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mc:AlternateContent xmlns:mc="http://schemas.openxmlformats.org/markup-compatibility/2006">
    <mc:Choice Requires="x15">
      <x15ac:absPath xmlns:x15ac="http://schemas.microsoft.com/office/spreadsheetml/2010/11/ac" url="C:\Users\sandile.nkala\Documents\"/>
    </mc:Choice>
  </mc:AlternateContent>
  <xr:revisionPtr revIDLastSave="0" documentId="8_{53422D36-AF4C-4ADE-B291-853903CFEE6D}" xr6:coauthVersionLast="45" xr6:coauthVersionMax="45" xr10:uidLastSave="{00000000-0000-0000-0000-000000000000}"/>
  <bookViews>
    <workbookView xWindow="-110" yWindow="-110" windowWidth="19420" windowHeight="10420" tabRatio="901" firstSheet="6" activeTab="29" xr2:uid="{00000000-000D-0000-FFFF-FFFF00000000}"/>
  </bookViews>
  <sheets>
    <sheet name="Quantities" sheetId="280" state="hidden" r:id="rId1"/>
    <sheet name="Info" sheetId="228" state="hidden" r:id="rId2"/>
    <sheet name="WD Calc" sheetId="320" state="hidden" r:id="rId3"/>
    <sheet name="Labour" sheetId="277" state="hidden" r:id="rId4"/>
    <sheet name="CSDG" sheetId="325" state="hidden" r:id="rId5"/>
    <sheet name="CPG" sheetId="278" state="hidden" r:id="rId6"/>
    <sheet name="C1.2" sheetId="159" r:id="rId7"/>
    <sheet name="C1.3" sheetId="161" r:id="rId8"/>
    <sheet name="C1.4" sheetId="162" r:id="rId9"/>
    <sheet name="C1.5" sheetId="163" r:id="rId10"/>
    <sheet name="C4.1" sheetId="211" r:id="rId11"/>
    <sheet name="C4.2" sheetId="212" r:id="rId12"/>
    <sheet name="C4.4" sheetId="235" r:id="rId13"/>
    <sheet name="C5.1" sheetId="166" r:id="rId14"/>
    <sheet name="C5.2" sheetId="167" r:id="rId15"/>
    <sheet name="C8.1" sheetId="171" r:id="rId16"/>
    <sheet name="C10.1" sheetId="250" r:id="rId17"/>
    <sheet name="C11.8" sheetId="286" r:id="rId18"/>
    <sheet name="C11.9" sheetId="287" r:id="rId19"/>
    <sheet name="C20.1" sheetId="192" r:id="rId20"/>
    <sheet name="A" sheetId="254" r:id="rId21"/>
    <sheet name="C13.1" sheetId="193" r:id="rId22"/>
    <sheet name="C13.6" sheetId="198" r:id="rId23"/>
    <sheet name="C13.7" sheetId="199" r:id="rId24"/>
    <sheet name="C13.8" sheetId="200" r:id="rId25"/>
    <sheet name="C13.1_STC3960a" sheetId="308" r:id="rId26"/>
    <sheet name="C13.2_STC3960" sheetId="309" r:id="rId27"/>
    <sheet name="C13.3_STC3960" sheetId="310" r:id="rId28"/>
    <sheet name="C13.4_STC3960" sheetId="311" r:id="rId29"/>
    <sheet name="C13.7_STC3960" sheetId="313" r:id="rId30"/>
    <sheet name="C13.8_STC3960" sheetId="314" r:id="rId31"/>
    <sheet name="C13.1_STC3909a" sheetId="301" r:id="rId32"/>
    <sheet name="C13.2_STC3909" sheetId="302" r:id="rId33"/>
    <sheet name="C13.3_STC3909" sheetId="303" r:id="rId34"/>
    <sheet name="C13.4_STC3909" sheetId="304" r:id="rId35"/>
    <sheet name="C13.7_STC3909" sheetId="306" r:id="rId36"/>
    <sheet name="C13.8_STC3909" sheetId="307" r:id="rId37"/>
    <sheet name="B" sheetId="318" r:id="rId38"/>
    <sheet name="Chapter E" sheetId="260" r:id="rId39"/>
    <sheet name="E" sheetId="261" r:id="rId40"/>
    <sheet name="Chapter F" sheetId="262" r:id="rId41"/>
    <sheet name="F" sheetId="263" r:id="rId42"/>
    <sheet name="Chapter G" sheetId="324" r:id="rId43"/>
    <sheet name="G" sheetId="323" r:id="rId44"/>
    <sheet name="Summary" sheetId="264" r:id="rId45"/>
    <sheet name="CPG Cover" sheetId="322" state="hidden" r:id="rId46"/>
    <sheet name="CPG C1.2" sheetId="267" state="hidden" r:id="rId47"/>
    <sheet name="CPG C1.3" sheetId="268" state="hidden" r:id="rId48"/>
    <sheet name="CPG C1.5" sheetId="321" state="hidden" r:id="rId49"/>
    <sheet name="CPG C1.6" sheetId="270" state="hidden" r:id="rId50"/>
    <sheet name="CPG C2.1" sheetId="281" state="hidden" r:id="rId51"/>
    <sheet name="CPG C3.1" sheetId="271" state="hidden" r:id="rId52"/>
    <sheet name="CPG C3.2" sheetId="282" state="hidden" r:id="rId53"/>
    <sheet name="CPG C3.3" sheetId="272" state="hidden" r:id="rId54"/>
    <sheet name="CPG C5.3" sheetId="168" state="hidden" r:id="rId55"/>
    <sheet name="CPG C5.4" sheetId="169" state="hidden" r:id="rId56"/>
    <sheet name="CPG C11.1" sheetId="283" state="hidden" r:id="rId57"/>
    <sheet name="CPG C11.2" sheetId="279" state="hidden" r:id="rId58"/>
    <sheet name="CPG C11.4" sheetId="284" state="hidden" r:id="rId59"/>
    <sheet name="CPG C11.5" sheetId="285" state="hidden" r:id="rId60"/>
    <sheet name="CPG C11.6" sheetId="275" state="hidden" r:id="rId61"/>
    <sheet name="CPG C11.7" sheetId="247" state="hidden" r:id="rId62"/>
    <sheet name="C1.2_Cwaka" sheetId="288" state="hidden" r:id="rId63"/>
    <sheet name="C1.3_Cwaka" sheetId="289" state="hidden" r:id="rId64"/>
    <sheet name="C13.1_Cwaka" sheetId="290" state="hidden" r:id="rId65"/>
    <sheet name="C13.2_Cwaka" sheetId="291" state="hidden" r:id="rId66"/>
    <sheet name="C13.3_Cwaka" sheetId="292" state="hidden" r:id="rId67"/>
    <sheet name="C13.4_Cwaka" sheetId="293" state="hidden" r:id="rId68"/>
    <sheet name="C13.6_Cwaka" sheetId="294" state="hidden" r:id="rId69"/>
    <sheet name="C13.7_Cwaka" sheetId="295" state="hidden" r:id="rId70"/>
    <sheet name="C13.8_Cwaka" sheetId="296" state="hidden" r:id="rId71"/>
    <sheet name="Relegated" sheetId="265" state="hidden" r:id="rId72"/>
    <sheet name="C13.1_STC3909b" sheetId="316" state="hidden" r:id="rId73"/>
    <sheet name="C1.2(STC3909)" sheetId="297" state="hidden" r:id="rId74"/>
    <sheet name="C1.3(STC3909)" sheetId="298" state="hidden" r:id="rId75"/>
    <sheet name="C1.2(STC3960)" sheetId="299" state="hidden" r:id="rId76"/>
    <sheet name="C1.3(STC3960)" sheetId="300" state="hidden" r:id="rId77"/>
    <sheet name="C13.1_STC3960b" sheetId="315" state="hidden" r:id="rId78"/>
  </sheets>
  <definedNames>
    <definedName name="_Backfill">Info!$E$51</definedName>
    <definedName name="_Benching">Info!$E$49</definedName>
    <definedName name="_Brickwork">Info!$E$43</definedName>
    <definedName name="_Clearing">Info!$E$50</definedName>
    <definedName name="_Contingencies">Info!$C$19</definedName>
    <definedName name="_ContractPeriod">Info!$C$16</definedName>
    <definedName name="_CPA">Info!$C$20</definedName>
    <definedName name="_Excavation">Info!$E$44</definedName>
    <definedName name="_Expansion">Info!$E$57</definedName>
    <definedName name="_xlnm._FilterDatabase" localSheetId="2" hidden="1">'WD Calc'!$B$1:$M$804</definedName>
    <definedName name="_Formwork">Info!$E$52</definedName>
    <definedName name="_Gabion">Info!$E$60</definedName>
    <definedName name="_Geofabric">Info!$E$55</definedName>
    <definedName name="_GPost">Info!$E$61</definedName>
    <definedName name="_GRail">Info!$E$62</definedName>
    <definedName name="_Haul">Info!$E$40</definedName>
    <definedName name="_HaulPerMetre">Info!$E$38</definedName>
    <definedName name="_KandC">Info!$E$59</definedName>
    <definedName name="_Kerb">Info!$E$58</definedName>
    <definedName name="_LabourDaily">Info!$C$13</definedName>
    <definedName name="_LabourHours">Info!$C$12</definedName>
    <definedName name="_LabourRate">Info!$C$11</definedName>
    <definedName name="_Markup">Info!$C$27</definedName>
    <definedName name="_Mesh">Info!$E$53</definedName>
    <definedName name="_Mix">Info!$E$41</definedName>
    <definedName name="_Place">Info!$E$42</definedName>
    <definedName name="_Plaster">Info!$E$48</definedName>
    <definedName name="_RoadLength">Info!$C$25</definedName>
    <definedName name="_Roadmarkings">Info!$C$30</definedName>
    <definedName name="_RoadstudSpc">Info!$C$31</definedName>
    <definedName name="_Sheeting">Info!$E$54</definedName>
    <definedName name="_Show_Price">Info!$C$8</definedName>
    <definedName name="_Sign">Info!$E$63</definedName>
    <definedName name="_Spread">Info!$E$47</definedName>
    <definedName name="_Stamp">Info!$E$45</definedName>
    <definedName name="_Subsoil">Info!$E$56</definedName>
    <definedName name="_Summary">Info!$J$17</definedName>
    <definedName name="_Wacker">Info!$E$46</definedName>
    <definedName name="Client1">Info!$C$2</definedName>
    <definedName name="Client2">Info!$C$3</definedName>
    <definedName name="ContractDescription">Info!$C$6</definedName>
    <definedName name="ContractNo">Info!$C$5</definedName>
    <definedName name="Labour_perc_roads">Info!$C$33</definedName>
    <definedName name="Labour_perc_structures">Info!$C$34</definedName>
    <definedName name="Page_A">Info!$J$12</definedName>
    <definedName name="Page_B">Info!$J$13</definedName>
    <definedName name="Page_F">Info!$J$14</definedName>
    <definedName name="Page_G">Info!$J$15</definedName>
    <definedName name="Page_H">Info!$J$16</definedName>
    <definedName name="_xlnm.Print_Area" localSheetId="20">A!$A$2:$F$73</definedName>
    <definedName name="_xlnm.Print_Area" localSheetId="37">B!$A$2:$F$55</definedName>
    <definedName name="_xlnm.Print_Area" localSheetId="6">'C1.2'!$A$3:$I$202</definedName>
    <definedName name="_xlnm.Print_Area" localSheetId="73">'C1.2(STC3909)'!$A$3:$H$73</definedName>
    <definedName name="_xlnm.Print_Area" localSheetId="75">'C1.2(STC3960)'!$A$3:$H$72</definedName>
    <definedName name="_xlnm.Print_Area" localSheetId="62">'C1.2_Cwaka'!$A$3:$I$73</definedName>
    <definedName name="_xlnm.Print_Area" localSheetId="7">'C1.3'!$A$3:$I$78</definedName>
    <definedName name="_xlnm.Print_Area" localSheetId="74">'C1.3(STC3909)'!$A$3:$H$76</definedName>
    <definedName name="_xlnm.Print_Area" localSheetId="76">'C1.3(STC3960)'!$A$3:$H$76</definedName>
    <definedName name="_xlnm.Print_Area" localSheetId="63">'C1.3_Cwaka'!$A$3:$I$74</definedName>
    <definedName name="_xlnm.Print_Area" localSheetId="8">'C1.4'!$A$3:$I$134</definedName>
    <definedName name="_xlnm.Print_Area" localSheetId="9">'C1.5'!$A$3:$I$139</definedName>
    <definedName name="_xlnm.Print_Area" localSheetId="16">'C10.1'!$A$3:$I$72</definedName>
    <definedName name="_xlnm.Print_Area" localSheetId="17">'C11.8'!$A$3:$I$73</definedName>
    <definedName name="_xlnm.Print_Area" localSheetId="18">'C11.9'!$A$3:$I$78</definedName>
    <definedName name="_xlnm.Print_Area" localSheetId="21">'C13.1'!$A$3:$I$71</definedName>
    <definedName name="_xlnm.Print_Area" localSheetId="64">'C13.1_Cwaka'!$A$3:$I$75</definedName>
    <definedName name="_xlnm.Print_Area" localSheetId="31">'C13.1_STC3909a'!$A$3:$I$66</definedName>
    <definedName name="_xlnm.Print_Area" localSheetId="72">'C13.1_STC3909b'!$A$3:$H$81</definedName>
    <definedName name="_xlnm.Print_Area" localSheetId="25">'C13.1_STC3960a'!$A$3:$I$64</definedName>
    <definedName name="_xlnm.Print_Area" localSheetId="77">'C13.1_STC3960b'!$A$3:$H$81</definedName>
    <definedName name="_xlnm.Print_Area" localSheetId="65">'C13.2_Cwaka'!$A$3:$I$73</definedName>
    <definedName name="_xlnm.Print_Area" localSheetId="32">'C13.2_STC3909'!$A$3:$I$75</definedName>
    <definedName name="_xlnm.Print_Area" localSheetId="26">'C13.2_STC3960'!$A$3:$I$74</definedName>
    <definedName name="_xlnm.Print_Area" localSheetId="66">'C13.3_Cwaka'!$A$3:$I$72</definedName>
    <definedName name="_xlnm.Print_Area" localSheetId="33">'C13.3_STC3909'!$A$3:$I$71</definedName>
    <definedName name="_xlnm.Print_Area" localSheetId="27">'C13.3_STC3960'!$A$3:$I$72</definedName>
    <definedName name="_xlnm.Print_Area" localSheetId="67">'C13.4_Cwaka'!$A$3:$I$65</definedName>
    <definedName name="_xlnm.Print_Area" localSheetId="34">'C13.4_STC3909'!$A$3:$I$70</definedName>
    <definedName name="_xlnm.Print_Area" localSheetId="28">'C13.4_STC3960'!$A$3:$I$71</definedName>
    <definedName name="_xlnm.Print_Area" localSheetId="22">'C13.6'!$A$3:$I$75</definedName>
    <definedName name="_xlnm.Print_Area" localSheetId="68">'C13.6_Cwaka'!$A$3:$I$75</definedName>
    <definedName name="_xlnm.Print_Area" localSheetId="23">'C13.7'!$A$3:$I$73</definedName>
    <definedName name="_xlnm.Print_Area" localSheetId="69">'C13.7_Cwaka'!$A$3:$I$69</definedName>
    <definedName name="_xlnm.Print_Area" localSheetId="35">'C13.7_STC3909'!$A$3:$I$72</definedName>
    <definedName name="_xlnm.Print_Area" localSheetId="29">'C13.7_STC3960'!$A$3:$I$71</definedName>
    <definedName name="_xlnm.Print_Area" localSheetId="24">'C13.8'!$A$3:$I$73</definedName>
    <definedName name="_xlnm.Print_Area" localSheetId="70">'C13.8_Cwaka'!$A$3:$I$62</definedName>
    <definedName name="_xlnm.Print_Area" localSheetId="36">'C13.8_STC3909'!$A$3:$I$69</definedName>
    <definedName name="_xlnm.Print_Area" localSheetId="30">'C13.8_STC3960'!$A$3:$I$70</definedName>
    <definedName name="_xlnm.Print_Area" localSheetId="19">'C20.1'!$A$3:$I$77</definedName>
    <definedName name="_xlnm.Print_Area" localSheetId="10">'C4.1'!$A$3:$I$71</definedName>
    <definedName name="_xlnm.Print_Area" localSheetId="11">'C4.2'!$A$3:$I$74</definedName>
    <definedName name="_xlnm.Print_Area" localSheetId="12">'C4.4'!$A$3:$I$75</definedName>
    <definedName name="_xlnm.Print_Area" localSheetId="13">'C5.1'!$A$3:$I$73</definedName>
    <definedName name="_xlnm.Print_Area" localSheetId="14">'C5.2'!$A$3:$I$72</definedName>
    <definedName name="_xlnm.Print_Area" localSheetId="15">'C8.1'!$A$3:$I$77</definedName>
    <definedName name="_xlnm.Print_Area" localSheetId="38">'Chapter E'!$A$3:$I$68</definedName>
    <definedName name="_xlnm.Print_Area" localSheetId="40">'Chapter F'!$A$3:$I$123</definedName>
    <definedName name="_xlnm.Print_Area" localSheetId="42">'Chapter G'!$A$3:$I$70</definedName>
    <definedName name="_xlnm.Print_Area" localSheetId="5">CPG!$A$1:$I$102</definedName>
    <definedName name="_xlnm.Print_Area" localSheetId="46">'CPG C1.2'!$A$3:$I$77</definedName>
    <definedName name="_xlnm.Print_Area" localSheetId="47">'CPG C1.3'!$A$3:$I$78</definedName>
    <definedName name="_xlnm.Print_Area" localSheetId="48">'CPG C1.5'!$A$3:$I$139</definedName>
    <definedName name="_xlnm.Print_Area" localSheetId="49">'CPG C1.6'!$A$3:$I$72</definedName>
    <definedName name="_xlnm.Print_Area" localSheetId="56">'CPG C11.1'!$A$3:$I$78</definedName>
    <definedName name="_xlnm.Print_Area" localSheetId="57">'CPG C11.2'!$A$3:$I$71</definedName>
    <definedName name="_xlnm.Print_Area" localSheetId="58">'CPG C11.4'!$A$3:$I$69</definedName>
    <definedName name="_xlnm.Print_Area" localSheetId="59">'CPG C11.5'!$A$3:$I$122</definedName>
    <definedName name="_xlnm.Print_Area" localSheetId="60">'CPG C11.6'!$A$3:$I$68</definedName>
    <definedName name="_xlnm.Print_Area" localSheetId="61">'CPG C11.7'!$A$3:$I$69</definedName>
    <definedName name="_xlnm.Print_Area" localSheetId="50">'CPG C2.1'!$A$3:$I$72</definedName>
    <definedName name="_xlnm.Print_Area" localSheetId="51">'CPG C3.1'!$A$3:$I$132</definedName>
    <definedName name="_xlnm.Print_Area" localSheetId="52">'CPG C3.2'!$A$3:$I$200</definedName>
    <definedName name="_xlnm.Print_Area" localSheetId="53">'CPG C3.3'!$A$3:$I$102</definedName>
    <definedName name="_xlnm.Print_Area" localSheetId="54">'CPG C5.3'!$A$3:$I$69</definedName>
    <definedName name="_xlnm.Print_Area" localSheetId="55">'CPG C5.4'!$A$3:$I$76</definedName>
    <definedName name="_xlnm.Print_Area" localSheetId="4">CSDG!$A$1:$I$64</definedName>
    <definedName name="_xlnm.Print_Area" localSheetId="39">E!$A$2:$F$70</definedName>
    <definedName name="_xlnm.Print_Area" localSheetId="41">F!$A$2:$F$73</definedName>
    <definedName name="_xlnm.Print_Area" localSheetId="43">G!$A$2:$F$73</definedName>
    <definedName name="_xlnm.Print_Area" localSheetId="3">Labour!$A$44:$N$55</definedName>
    <definedName name="_xlnm.Print_Area" localSheetId="44">Summary!$A$2:$H$27</definedName>
    <definedName name="_xlnm.Print_Area" localSheetId="2">'WD Calc'!$A$1:$M$804</definedName>
    <definedName name="_xlnm.Print_Titles" localSheetId="16">'C10.1'!$6:$11</definedName>
    <definedName name="_xlnm.Print_Titles" localSheetId="17">'C11.8'!$6:$10</definedName>
    <definedName name="_xlnm.Print_Titles" localSheetId="18">'C11.9'!$6:$10</definedName>
    <definedName name="_xlnm.Print_Titles" localSheetId="12">'C4.4'!$6:$12</definedName>
    <definedName name="_xlnm.Print_Titles" localSheetId="5">CPG!$6:$6</definedName>
    <definedName name="_xlnm.Print_Titles" localSheetId="56">'CPG C11.1'!$6:$11</definedName>
    <definedName name="_xlnm.Print_Titles" localSheetId="57">'CPG C11.2'!$6:$10</definedName>
    <definedName name="_xlnm.Print_Titles" localSheetId="58">'CPG C11.4'!$6:$11</definedName>
    <definedName name="_xlnm.Print_Titles" localSheetId="60">'CPG C11.6'!$6:$11</definedName>
    <definedName name="_xlnm.Print_Titles" localSheetId="61">'CPG C11.7'!$6:$11</definedName>
    <definedName name="_xlnm.Print_Titles" localSheetId="50">'CPG C2.1'!$6:$11</definedName>
    <definedName name="_xlnm.Print_Titles" localSheetId="2">'WD Calc'!$3:$3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54" i="325" l="1"/>
  <c r="G49" i="325"/>
  <c r="F55" i="325"/>
  <c r="H55" i="325" s="1"/>
  <c r="F53" i="325"/>
  <c r="H53" i="325" s="1"/>
  <c r="F50" i="325"/>
  <c r="F48" i="325"/>
  <c r="H48" i="325" s="1"/>
  <c r="F45" i="325"/>
  <c r="F44" i="325"/>
  <c r="H44" i="325" s="1"/>
  <c r="F41" i="325"/>
  <c r="H41" i="325" s="1"/>
  <c r="F40" i="325"/>
  <c r="H40" i="325" s="1"/>
  <c r="G29" i="325"/>
  <c r="H29" i="325" s="1"/>
  <c r="H14" i="325" s="1"/>
  <c r="G28" i="325"/>
  <c r="H13" i="325" s="1"/>
  <c r="G27" i="325"/>
  <c r="G26" i="325"/>
  <c r="H11" i="325" s="1"/>
  <c r="G25" i="325"/>
  <c r="H25" i="325" s="1"/>
  <c r="H50" i="325"/>
  <c r="F54" i="325"/>
  <c r="E30" i="325"/>
  <c r="G30" i="325" s="1"/>
  <c r="H30" i="325" s="1"/>
  <c r="H15" i="325" s="1"/>
  <c r="F49" i="325"/>
  <c r="H45" i="325"/>
  <c r="E16" i="325"/>
  <c r="D16" i="325"/>
  <c r="C2" i="325"/>
  <c r="C797" i="320"/>
  <c r="C796" i="320"/>
  <c r="C793" i="320"/>
  <c r="C791" i="320"/>
  <c r="C789" i="320"/>
  <c r="C785" i="320"/>
  <c r="C783" i="320"/>
  <c r="C782" i="320"/>
  <c r="C780" i="320"/>
  <c r="C779" i="320"/>
  <c r="C778" i="320"/>
  <c r="C776" i="320"/>
  <c r="C773" i="320"/>
  <c r="C772" i="320"/>
  <c r="C769" i="320"/>
  <c r="C768" i="320"/>
  <c r="C767" i="320"/>
  <c r="C765" i="320"/>
  <c r="C763" i="320"/>
  <c r="C758" i="320"/>
  <c r="C757" i="320"/>
  <c r="C756" i="320"/>
  <c r="C755" i="320"/>
  <c r="C753" i="320"/>
  <c r="C751" i="320"/>
  <c r="C747" i="320"/>
  <c r="C744" i="320"/>
  <c r="C741" i="320"/>
  <c r="C738" i="320"/>
  <c r="C737" i="320"/>
  <c r="C736" i="320"/>
  <c r="C735" i="320"/>
  <c r="C733" i="320"/>
  <c r="C732" i="320"/>
  <c r="C730" i="320"/>
  <c r="C729" i="320"/>
  <c r="C725" i="320"/>
  <c r="C721" i="320"/>
  <c r="C720" i="320"/>
  <c r="C719" i="320"/>
  <c r="C718" i="320"/>
  <c r="C713" i="320"/>
  <c r="C708" i="320"/>
  <c r="C706" i="320"/>
  <c r="C699" i="320"/>
  <c r="C698" i="320"/>
  <c r="C697" i="320"/>
  <c r="C696" i="320"/>
  <c r="C694" i="320"/>
  <c r="C693" i="320"/>
  <c r="C692" i="320"/>
  <c r="C691" i="320"/>
  <c r="C690" i="320"/>
  <c r="C688" i="320"/>
  <c r="C686" i="320"/>
  <c r="C682" i="320"/>
  <c r="C680" i="320"/>
  <c r="C679" i="320"/>
  <c r="C677" i="320"/>
  <c r="C676" i="320"/>
  <c r="C675" i="320"/>
  <c r="C673" i="320"/>
  <c r="C670" i="320"/>
  <c r="C669" i="320"/>
  <c r="C666" i="320"/>
  <c r="C665" i="320"/>
  <c r="C664" i="320"/>
  <c r="C662" i="320"/>
  <c r="C660" i="320"/>
  <c r="C655" i="320"/>
  <c r="C654" i="320"/>
  <c r="C653" i="320"/>
  <c r="C652" i="320"/>
  <c r="C650" i="320"/>
  <c r="C648" i="320"/>
  <c r="C644" i="320"/>
  <c r="C641" i="320"/>
  <c r="C638" i="320"/>
  <c r="C635" i="320"/>
  <c r="C634" i="320"/>
  <c r="C633" i="320"/>
  <c r="C632" i="320"/>
  <c r="C630" i="320"/>
  <c r="C629" i="320"/>
  <c r="C627" i="320"/>
  <c r="C626" i="320"/>
  <c r="C622" i="320"/>
  <c r="C618" i="320"/>
  <c r="C617" i="320"/>
  <c r="C616" i="320"/>
  <c r="C615" i="320"/>
  <c r="C610" i="320"/>
  <c r="C605" i="320"/>
  <c r="C603" i="320"/>
  <c r="C596" i="320"/>
  <c r="C595" i="320"/>
  <c r="C594" i="320"/>
  <c r="C593" i="320"/>
  <c r="C591" i="320"/>
  <c r="C590" i="320"/>
  <c r="C589" i="320"/>
  <c r="C588" i="320"/>
  <c r="C587" i="320"/>
  <c r="C584" i="320"/>
  <c r="C583" i="320"/>
  <c r="C581" i="320"/>
  <c r="C578" i="320"/>
  <c r="C576" i="320"/>
  <c r="C573" i="320"/>
  <c r="C572" i="320"/>
  <c r="C570" i="320"/>
  <c r="C569" i="320"/>
  <c r="C568" i="320"/>
  <c r="C565" i="320"/>
  <c r="C564" i="320"/>
  <c r="C562" i="320"/>
  <c r="C559" i="320"/>
  <c r="C558" i="320"/>
  <c r="C556" i="320"/>
  <c r="C555" i="320"/>
  <c r="C554" i="320"/>
  <c r="C552" i="320"/>
  <c r="C551" i="320"/>
  <c r="C550" i="320"/>
  <c r="C548" i="320"/>
  <c r="C547" i="320"/>
  <c r="C545" i="320"/>
  <c r="C535" i="320"/>
  <c r="C534" i="320"/>
  <c r="C533" i="320"/>
  <c r="C532" i="320"/>
  <c r="C529" i="320"/>
  <c r="C527" i="320"/>
  <c r="C524" i="320"/>
  <c r="C521" i="320"/>
  <c r="C518" i="320"/>
  <c r="C515" i="320"/>
  <c r="C514" i="320"/>
  <c r="C513" i="320"/>
  <c r="C512" i="320"/>
  <c r="C510" i="320"/>
  <c r="C509" i="320"/>
  <c r="C504" i="320"/>
  <c r="C500" i="320"/>
  <c r="C499" i="320"/>
  <c r="C498" i="320"/>
  <c r="C497" i="320"/>
  <c r="C494" i="320"/>
  <c r="C490" i="320"/>
  <c r="C489" i="320"/>
  <c r="C488" i="320"/>
  <c r="C487" i="320"/>
  <c r="C485" i="320"/>
  <c r="C484" i="320"/>
  <c r="C483" i="320"/>
  <c r="C481" i="320"/>
  <c r="C473" i="320"/>
  <c r="C470" i="320"/>
  <c r="C469" i="320"/>
  <c r="C468" i="320"/>
  <c r="C467" i="320"/>
  <c r="C465" i="320"/>
  <c r="C461" i="320"/>
  <c r="C459" i="320"/>
  <c r="C458" i="320"/>
  <c r="C456" i="320"/>
  <c r="C453" i="320"/>
  <c r="C451" i="320"/>
  <c r="C450" i="320"/>
  <c r="C449" i="320"/>
  <c r="C448" i="320"/>
  <c r="C443" i="320"/>
  <c r="C440" i="320"/>
  <c r="C436" i="320"/>
  <c r="C435" i="320"/>
  <c r="C432" i="320"/>
  <c r="C430" i="320"/>
  <c r="C429" i="320"/>
  <c r="C425" i="320"/>
  <c r="C423" i="320"/>
  <c r="C422" i="320"/>
  <c r="C415" i="320"/>
  <c r="C412" i="320"/>
  <c r="C410" i="320"/>
  <c r="C408" i="320"/>
  <c r="C406" i="320"/>
  <c r="C403" i="320"/>
  <c r="C402" i="320"/>
  <c r="C401" i="320"/>
  <c r="C400" i="320"/>
  <c r="C396" i="320"/>
  <c r="C393" i="320"/>
  <c r="C392" i="320"/>
  <c r="C391" i="320"/>
  <c r="C390" i="320"/>
  <c r="C386" i="320"/>
  <c r="C385" i="320"/>
  <c r="C384" i="320"/>
  <c r="C383" i="320"/>
  <c r="C379" i="320"/>
  <c r="C378" i="320"/>
  <c r="C377" i="320"/>
  <c r="C376" i="320"/>
  <c r="C368" i="320"/>
  <c r="C367" i="320"/>
  <c r="C366" i="320"/>
  <c r="C365" i="320"/>
  <c r="C362" i="320"/>
  <c r="C353" i="320"/>
  <c r="C350" i="320"/>
  <c r="C347" i="320"/>
  <c r="C344" i="320"/>
  <c r="C340" i="320"/>
  <c r="C337" i="320"/>
  <c r="C336" i="320"/>
  <c r="C334" i="320"/>
  <c r="C332" i="320"/>
  <c r="C331" i="320"/>
  <c r="C329" i="320"/>
  <c r="C328" i="320"/>
  <c r="C327" i="320"/>
  <c r="C326" i="320"/>
  <c r="C322" i="320"/>
  <c r="C319" i="320"/>
  <c r="C316" i="320"/>
  <c r="C315" i="320"/>
  <c r="C313" i="320"/>
  <c r="C312" i="320"/>
  <c r="C308" i="320"/>
  <c r="C305" i="320"/>
  <c r="C304" i="320"/>
  <c r="C303" i="320"/>
  <c r="C300" i="320"/>
  <c r="C299" i="320"/>
  <c r="C295" i="320"/>
  <c r="C291" i="320"/>
  <c r="C287" i="320"/>
  <c r="C285" i="320"/>
  <c r="C283" i="320"/>
  <c r="C279" i="320"/>
  <c r="C278" i="320"/>
  <c r="C275" i="320"/>
  <c r="C273" i="320"/>
  <c r="C268" i="320"/>
  <c r="C267" i="320"/>
  <c r="C266" i="320"/>
  <c r="C265" i="320"/>
  <c r="C262" i="320"/>
  <c r="C259" i="320"/>
  <c r="C256" i="320"/>
  <c r="C254" i="320"/>
  <c r="C252" i="320"/>
  <c r="C250" i="320"/>
  <c r="C246" i="320"/>
  <c r="C245" i="320"/>
  <c r="C243" i="320"/>
  <c r="C239" i="320"/>
  <c r="C238" i="320"/>
  <c r="C237" i="320"/>
  <c r="C236" i="320"/>
  <c r="C234" i="320"/>
  <c r="C232" i="320"/>
  <c r="C231" i="320"/>
  <c r="C229" i="320"/>
  <c r="C228" i="320"/>
  <c r="C226" i="320"/>
  <c r="C223" i="320"/>
  <c r="C222" i="320"/>
  <c r="C221" i="320"/>
  <c r="C220" i="320"/>
  <c r="C217" i="320"/>
  <c r="C214" i="320"/>
  <c r="C211" i="320"/>
  <c r="C210" i="320"/>
  <c r="C209" i="320"/>
  <c r="C206" i="320"/>
  <c r="C204" i="320"/>
  <c r="C200" i="320"/>
  <c r="C199" i="320"/>
  <c r="C197" i="320"/>
  <c r="C195" i="320"/>
  <c r="C194" i="320"/>
  <c r="C191" i="320"/>
  <c r="C190" i="320"/>
  <c r="C186" i="320"/>
  <c r="C185" i="320"/>
  <c r="C184" i="320"/>
  <c r="C183" i="320"/>
  <c r="C181" i="320"/>
  <c r="C180" i="320"/>
  <c r="C179" i="320"/>
  <c r="C177" i="320"/>
  <c r="C174" i="320"/>
  <c r="C173" i="320"/>
  <c r="C172" i="320"/>
  <c r="C169" i="320"/>
  <c r="C168" i="320"/>
  <c r="C167" i="320"/>
  <c r="C165" i="320"/>
  <c r="C162" i="320"/>
  <c r="C159" i="320"/>
  <c r="C158" i="320"/>
  <c r="C157" i="320"/>
  <c r="C156" i="320"/>
  <c r="C153" i="320"/>
  <c r="C152" i="320"/>
  <c r="C150" i="320"/>
  <c r="C147" i="320"/>
  <c r="C146" i="320"/>
  <c r="C144" i="320"/>
  <c r="C143" i="320"/>
  <c r="C142" i="320"/>
  <c r="C140" i="320"/>
  <c r="C139" i="320"/>
  <c r="C136" i="320"/>
  <c r="C135" i="320"/>
  <c r="C134" i="320"/>
  <c r="C130" i="320"/>
  <c r="C125" i="320"/>
  <c r="C122" i="320"/>
  <c r="C115" i="320"/>
  <c r="C114" i="320"/>
  <c r="C113" i="320"/>
  <c r="C111" i="320"/>
  <c r="C109" i="320"/>
  <c r="C108" i="320"/>
  <c r="C107" i="320"/>
  <c r="C104" i="320"/>
  <c r="C103" i="320"/>
  <c r="C100" i="320"/>
  <c r="C98" i="320"/>
  <c r="C97" i="320"/>
  <c r="C95" i="320"/>
  <c r="C94" i="320"/>
  <c r="C93" i="320"/>
  <c r="C91" i="320"/>
  <c r="C90" i="320"/>
  <c r="C89" i="320"/>
  <c r="C87" i="320"/>
  <c r="C86" i="320"/>
  <c r="C84" i="320"/>
  <c r="C82" i="320"/>
  <c r="C81" i="320"/>
  <c r="C80" i="320"/>
  <c r="C79" i="320"/>
  <c r="C75" i="320"/>
  <c r="C73" i="320"/>
  <c r="C72" i="320"/>
  <c r="C68" i="320"/>
  <c r="C67" i="320"/>
  <c r="C66" i="320"/>
  <c r="C63" i="320"/>
  <c r="C59" i="320"/>
  <c r="C58" i="320"/>
  <c r="C57" i="320"/>
  <c r="C53" i="320"/>
  <c r="C52" i="320"/>
  <c r="C45" i="320"/>
  <c r="C44" i="320"/>
  <c r="C43" i="320"/>
  <c r="C41" i="320"/>
  <c r="C39" i="320"/>
  <c r="C38" i="320"/>
  <c r="C37" i="320"/>
  <c r="C34" i="320"/>
  <c r="C31" i="320"/>
  <c r="C30" i="320"/>
  <c r="C28" i="320"/>
  <c r="C26" i="320"/>
  <c r="C25" i="320"/>
  <c r="C23" i="320"/>
  <c r="C21" i="320"/>
  <c r="C20" i="320"/>
  <c r="C19" i="320"/>
  <c r="C11" i="320"/>
  <c r="C8" i="320"/>
  <c r="I18" i="320"/>
  <c r="I17" i="320"/>
  <c r="I16" i="320"/>
  <c r="I15" i="320"/>
  <c r="J15" i="320" s="1"/>
  <c r="I14" i="320"/>
  <c r="I13" i="320"/>
  <c r="I12" i="320"/>
  <c r="J12" i="320" s="1"/>
  <c r="J18" i="320"/>
  <c r="H18" i="320"/>
  <c r="J17" i="320"/>
  <c r="H17" i="320"/>
  <c r="J16" i="320"/>
  <c r="H16" i="320"/>
  <c r="H15" i="320"/>
  <c r="J14" i="320"/>
  <c r="H14" i="320"/>
  <c r="J13" i="320"/>
  <c r="H13" i="320"/>
  <c r="M19" i="320"/>
  <c r="H12" i="320"/>
  <c r="F22" i="324"/>
  <c r="F18" i="324"/>
  <c r="F20" i="324"/>
  <c r="F44" i="262"/>
  <c r="F46" i="262"/>
  <c r="F48" i="262"/>
  <c r="H26" i="262"/>
  <c r="H28" i="262"/>
  <c r="G18" i="292"/>
  <c r="K26" i="169"/>
  <c r="L26" i="169" s="1"/>
  <c r="K28" i="169"/>
  <c r="L28" i="169" s="1"/>
  <c r="G16" i="268"/>
  <c r="G18" i="267"/>
  <c r="G16" i="267"/>
  <c r="K179" i="159"/>
  <c r="L179" i="159" s="1"/>
  <c r="K175" i="159"/>
  <c r="L175" i="159" s="1"/>
  <c r="K171" i="159"/>
  <c r="L171" i="159" s="1"/>
  <c r="K167" i="159"/>
  <c r="L167" i="159" s="1"/>
  <c r="K163" i="159"/>
  <c r="L163" i="159" s="1"/>
  <c r="K159" i="159"/>
  <c r="L159" i="159" s="1"/>
  <c r="K155" i="159"/>
  <c r="L155" i="159" s="1"/>
  <c r="L157" i="159"/>
  <c r="H177" i="159"/>
  <c r="F181" i="159"/>
  <c r="F177" i="159"/>
  <c r="F173" i="159"/>
  <c r="F169" i="159"/>
  <c r="F165" i="159"/>
  <c r="F161" i="159"/>
  <c r="F157" i="159"/>
  <c r="C9" i="320"/>
  <c r="C10" i="320"/>
  <c r="C12" i="320"/>
  <c r="C13" i="320"/>
  <c r="C14" i="320"/>
  <c r="F62" i="325" l="1"/>
  <c r="H62" i="325" s="1"/>
  <c r="H59" i="325"/>
  <c r="H27" i="325"/>
  <c r="H12" i="325" s="1"/>
  <c r="H10" i="325"/>
  <c r="H54" i="325"/>
  <c r="H49" i="325"/>
  <c r="F28" i="324"/>
  <c r="M155" i="159"/>
  <c r="M15" i="324"/>
  <c r="M16" i="324"/>
  <c r="M17" i="324"/>
  <c r="M18" i="324"/>
  <c r="M19" i="324"/>
  <c r="M20" i="324"/>
  <c r="M21" i="324"/>
  <c r="M22" i="324"/>
  <c r="H42" i="324"/>
  <c r="H32" i="324"/>
  <c r="H28" i="324"/>
  <c r="H18" i="324"/>
  <c r="H30" i="324"/>
  <c r="H44" i="324"/>
  <c r="H46" i="324"/>
  <c r="H26" i="324"/>
  <c r="L16" i="324"/>
  <c r="H16" i="324"/>
  <c r="L17" i="324"/>
  <c r="H17" i="324"/>
  <c r="B11" i="323"/>
  <c r="B8" i="323" s="1"/>
  <c r="M70" i="324"/>
  <c r="B70" i="324"/>
  <c r="M69" i="324"/>
  <c r="L69" i="324"/>
  <c r="H69" i="324"/>
  <c r="M68" i="324"/>
  <c r="L68" i="324"/>
  <c r="H68" i="324"/>
  <c r="M67" i="324"/>
  <c r="L67" i="324"/>
  <c r="M66" i="324"/>
  <c r="L66" i="324"/>
  <c r="H66" i="324"/>
  <c r="M65" i="324"/>
  <c r="L65" i="324"/>
  <c r="M64" i="324"/>
  <c r="L64" i="324"/>
  <c r="M63" i="324"/>
  <c r="L63" i="324"/>
  <c r="H63" i="324"/>
  <c r="M62" i="324"/>
  <c r="L62" i="324"/>
  <c r="H62" i="324"/>
  <c r="M61" i="324"/>
  <c r="L61" i="324"/>
  <c r="H61" i="324"/>
  <c r="M60" i="324"/>
  <c r="L60" i="324"/>
  <c r="H60" i="324"/>
  <c r="M59" i="324"/>
  <c r="L59" i="324"/>
  <c r="H59" i="324"/>
  <c r="M58" i="324"/>
  <c r="L58" i="324"/>
  <c r="H58" i="324"/>
  <c r="M57" i="324"/>
  <c r="L57" i="324"/>
  <c r="H57" i="324"/>
  <c r="M56" i="324"/>
  <c r="L56" i="324"/>
  <c r="H56" i="324"/>
  <c r="M55" i="324"/>
  <c r="L55" i="324"/>
  <c r="H55" i="324"/>
  <c r="M54" i="324"/>
  <c r="L54" i="324"/>
  <c r="H54" i="324"/>
  <c r="M53" i="324"/>
  <c r="L53" i="324"/>
  <c r="H53" i="324"/>
  <c r="M52" i="324"/>
  <c r="L52" i="324"/>
  <c r="H52" i="324"/>
  <c r="M51" i="324"/>
  <c r="L51" i="324"/>
  <c r="H51" i="324"/>
  <c r="M50" i="324"/>
  <c r="L50" i="324"/>
  <c r="H50" i="324"/>
  <c r="M49" i="324"/>
  <c r="L49" i="324"/>
  <c r="H49" i="324"/>
  <c r="M48" i="324"/>
  <c r="L48" i="324"/>
  <c r="H48" i="324"/>
  <c r="M41" i="324"/>
  <c r="L41" i="324"/>
  <c r="H41" i="324"/>
  <c r="L40" i="324"/>
  <c r="H40" i="324"/>
  <c r="M40" i="324" s="1"/>
  <c r="M39" i="324"/>
  <c r="L39" i="324"/>
  <c r="H39" i="324"/>
  <c r="M38" i="324"/>
  <c r="L38" i="324"/>
  <c r="H38" i="324"/>
  <c r="M47" i="324"/>
  <c r="L47" i="324"/>
  <c r="H47" i="324"/>
  <c r="M46" i="324"/>
  <c r="L46" i="324"/>
  <c r="M45" i="324"/>
  <c r="L45" i="324"/>
  <c r="H45" i="324"/>
  <c r="M44" i="324"/>
  <c r="L44" i="324"/>
  <c r="M43" i="324"/>
  <c r="L43" i="324"/>
  <c r="H43" i="324"/>
  <c r="M42" i="324"/>
  <c r="L42" i="324"/>
  <c r="M37" i="324"/>
  <c r="L37" i="324"/>
  <c r="H37" i="324"/>
  <c r="M36" i="324"/>
  <c r="L36" i="324"/>
  <c r="H36" i="324"/>
  <c r="M35" i="324"/>
  <c r="L35" i="324"/>
  <c r="H35" i="324"/>
  <c r="M34" i="324"/>
  <c r="L34" i="324"/>
  <c r="H34" i="324"/>
  <c r="M33" i="324"/>
  <c r="L33" i="324"/>
  <c r="H33" i="324"/>
  <c r="M32" i="324"/>
  <c r="L32" i="324"/>
  <c r="M31" i="324"/>
  <c r="L31" i="324"/>
  <c r="H31" i="324"/>
  <c r="M30" i="324"/>
  <c r="L30" i="324"/>
  <c r="M29" i="324"/>
  <c r="L29" i="324"/>
  <c r="H29" i="324"/>
  <c r="M28" i="324"/>
  <c r="L28" i="324"/>
  <c r="M27" i="324"/>
  <c r="L27" i="324"/>
  <c r="H27" i="324"/>
  <c r="M26" i="324"/>
  <c r="L26" i="324"/>
  <c r="M25" i="324"/>
  <c r="L25" i="324"/>
  <c r="H25" i="324"/>
  <c r="M24" i="324"/>
  <c r="L24" i="324"/>
  <c r="H24" i="324"/>
  <c r="M23" i="324"/>
  <c r="L23" i="324"/>
  <c r="H23" i="324"/>
  <c r="L22" i="324"/>
  <c r="H22" i="324"/>
  <c r="L21" i="324"/>
  <c r="H21" i="324"/>
  <c r="L20" i="324"/>
  <c r="H20" i="324"/>
  <c r="L19" i="324"/>
  <c r="H19" i="324"/>
  <c r="L18" i="324"/>
  <c r="L15" i="324"/>
  <c r="H15" i="324"/>
  <c r="M14" i="324"/>
  <c r="L14" i="324"/>
  <c r="H14" i="324"/>
  <c r="M13" i="324"/>
  <c r="L13" i="324"/>
  <c r="H13" i="324"/>
  <c r="M12" i="324"/>
  <c r="L12" i="324"/>
  <c r="H12" i="324"/>
  <c r="M11" i="324"/>
  <c r="L11" i="324"/>
  <c r="H11" i="324"/>
  <c r="B7" i="324"/>
  <c r="H6" i="324"/>
  <c r="B4" i="324"/>
  <c r="F3" i="324"/>
  <c r="B3" i="324"/>
  <c r="I1" i="324"/>
  <c r="B5" i="323"/>
  <c r="B3" i="323"/>
  <c r="E2" i="323"/>
  <c r="B2" i="323"/>
  <c r="J16" i="264"/>
  <c r="C15" i="320"/>
  <c r="C16" i="320"/>
  <c r="H56" i="325" l="1"/>
  <c r="H16" i="325"/>
  <c r="L70" i="324"/>
  <c r="L1" i="324" s="1"/>
  <c r="H70" i="324"/>
  <c r="H1" i="324" s="1"/>
  <c r="E11" i="323" s="1"/>
  <c r="J13" i="228"/>
  <c r="G31" i="278"/>
  <c r="K28" i="278"/>
  <c r="K29" i="278"/>
  <c r="K83" i="278"/>
  <c r="K82" i="278"/>
  <c r="C17" i="320"/>
  <c r="C18" i="320"/>
  <c r="H63" i="325" l="1"/>
  <c r="H20" i="325"/>
  <c r="L31" i="278"/>
  <c r="O31" i="278"/>
  <c r="P31" i="278"/>
  <c r="Q31" i="278"/>
  <c r="R31" i="278"/>
  <c r="S31" i="278"/>
  <c r="T31" i="278"/>
  <c r="D47" i="318"/>
  <c r="D45" i="318" s="1"/>
  <c r="D43" i="318" s="1"/>
  <c r="D41" i="318" s="1"/>
  <c r="D39" i="318" s="1"/>
  <c r="D37" i="318" s="1"/>
  <c r="K63" i="167"/>
  <c r="L63" i="167" s="1"/>
  <c r="H63" i="167"/>
  <c r="H59" i="167"/>
  <c r="H55" i="167"/>
  <c r="M54" i="167"/>
  <c r="L54" i="167"/>
  <c r="H54" i="167"/>
  <c r="K53" i="167"/>
  <c r="L53" i="167" s="1"/>
  <c r="H53" i="167"/>
  <c r="M52" i="167"/>
  <c r="L52" i="167"/>
  <c r="H52" i="167"/>
  <c r="K51" i="167"/>
  <c r="L51" i="167" s="1"/>
  <c r="H51" i="167"/>
  <c r="C37" i="318"/>
  <c r="B37" i="318"/>
  <c r="C23" i="318"/>
  <c r="B23" i="318"/>
  <c r="H34" i="308"/>
  <c r="M35" i="308"/>
  <c r="L35" i="308"/>
  <c r="H35" i="308"/>
  <c r="H34" i="301"/>
  <c r="M68" i="167"/>
  <c r="L68" i="167"/>
  <c r="H68" i="167"/>
  <c r="M67" i="167"/>
  <c r="L67" i="167"/>
  <c r="H67" i="167"/>
  <c r="M66" i="167"/>
  <c r="L66" i="167"/>
  <c r="H66" i="167"/>
  <c r="F16" i="235"/>
  <c r="B11" i="261"/>
  <c r="C47" i="318"/>
  <c r="C45" i="318"/>
  <c r="C43" i="318"/>
  <c r="C41" i="318"/>
  <c r="B47" i="318"/>
  <c r="C22" i="320"/>
  <c r="D85" i="278"/>
  <c r="D93" i="278"/>
  <c r="D87" i="278"/>
  <c r="D76" i="278"/>
  <c r="D78" i="278"/>
  <c r="D72" i="278"/>
  <c r="D74" i="278"/>
  <c r="D92" i="278"/>
  <c r="D82" i="278"/>
  <c r="D83" i="278"/>
  <c r="D71" i="278"/>
  <c r="D62" i="278"/>
  <c r="C24" i="320"/>
  <c r="C27" i="320"/>
  <c r="C29" i="320"/>
  <c r="C32" i="320"/>
  <c r="C33" i="320" s="1"/>
  <c r="C35" i="320"/>
  <c r="C36" i="320"/>
  <c r="C40" i="320"/>
  <c r="C42" i="320"/>
  <c r="C46" i="320"/>
  <c r="C47" i="320"/>
  <c r="C48" i="320"/>
  <c r="C49" i="320"/>
  <c r="C50" i="320"/>
  <c r="C51" i="320"/>
  <c r="C54" i="320"/>
  <c r="C55" i="320"/>
  <c r="C56" i="320"/>
  <c r="C60" i="320"/>
  <c r="C61" i="320"/>
  <c r="C62" i="320"/>
  <c r="C64" i="320"/>
  <c r="C65" i="320"/>
  <c r="C69" i="320"/>
  <c r="C70" i="320"/>
  <c r="C71" i="320"/>
  <c r="C74" i="320"/>
  <c r="D33" i="318" l="1"/>
  <c r="D31" i="318" s="1"/>
  <c r="D29" i="318" s="1"/>
  <c r="D27" i="318" s="1"/>
  <c r="D25" i="318" s="1"/>
  <c r="D23" i="318" s="1"/>
  <c r="D19" i="318" s="1"/>
  <c r="M53" i="167"/>
  <c r="M51" i="167"/>
  <c r="M63" i="167"/>
  <c r="C76" i="320"/>
  <c r="C77" i="320"/>
  <c r="C78" i="320" s="1"/>
  <c r="C83" i="320"/>
  <c r="C85" i="320"/>
  <c r="C88" i="320"/>
  <c r="C92" i="320" s="1"/>
  <c r="C96" i="320" s="1"/>
  <c r="I754" i="320" l="1"/>
  <c r="I752" i="320"/>
  <c r="I749" i="320"/>
  <c r="I748" i="320"/>
  <c r="I746" i="320"/>
  <c r="I745" i="320"/>
  <c r="I743" i="320"/>
  <c r="I742" i="320"/>
  <c r="I740" i="320"/>
  <c r="I739" i="320"/>
  <c r="I646" i="320"/>
  <c r="I645" i="320"/>
  <c r="I643" i="320"/>
  <c r="I642" i="320"/>
  <c r="I640" i="320"/>
  <c r="I639" i="320"/>
  <c r="I637" i="320"/>
  <c r="I636" i="320"/>
  <c r="I531" i="320"/>
  <c r="I530" i="320"/>
  <c r="I526" i="320"/>
  <c r="I525" i="320"/>
  <c r="I523" i="320"/>
  <c r="I522" i="320"/>
  <c r="I520" i="320"/>
  <c r="I519" i="320"/>
  <c r="I517" i="320"/>
  <c r="I516" i="320"/>
  <c r="I297" i="320"/>
  <c r="I296" i="320"/>
  <c r="I651" i="320"/>
  <c r="I649" i="320"/>
  <c r="G48" i="292"/>
  <c r="G46" i="292"/>
  <c r="G38" i="292"/>
  <c r="G36" i="292"/>
  <c r="G32" i="292"/>
  <c r="G30" i="292"/>
  <c r="G26" i="292"/>
  <c r="G24" i="292"/>
  <c r="G20" i="292"/>
  <c r="G48" i="303"/>
  <c r="C99" i="320"/>
  <c r="C101" i="320"/>
  <c r="C102" i="320"/>
  <c r="C105" i="320" s="1"/>
  <c r="C106" i="320"/>
  <c r="B45" i="318" l="1"/>
  <c r="B43" i="318"/>
  <c r="B41" i="318"/>
  <c r="B39" i="318"/>
  <c r="C39" i="318"/>
  <c r="G1" i="298"/>
  <c r="G1" i="297"/>
  <c r="B33" i="318"/>
  <c r="B31" i="318"/>
  <c r="B29" i="318"/>
  <c r="B27" i="318"/>
  <c r="C33" i="318"/>
  <c r="C31" i="318"/>
  <c r="C29" i="318"/>
  <c r="C27" i="318"/>
  <c r="C25" i="318"/>
  <c r="B25" i="318"/>
  <c r="C33" i="278"/>
  <c r="C110" i="320"/>
  <c r="C43" i="278"/>
  <c r="I95" i="278" l="1"/>
  <c r="G1" i="300"/>
  <c r="G1" i="299"/>
  <c r="K30" i="313"/>
  <c r="K26" i="313"/>
  <c r="K24" i="313"/>
  <c r="K18" i="313"/>
  <c r="K16" i="313"/>
  <c r="I571" i="320"/>
  <c r="I381" i="320"/>
  <c r="I380" i="320"/>
  <c r="I155" i="320"/>
  <c r="I154" i="320"/>
  <c r="I151" i="320"/>
  <c r="I149" i="320"/>
  <c r="I148" i="320"/>
  <c r="I145" i="320"/>
  <c r="I382" i="320"/>
  <c r="K20" i="169"/>
  <c r="K34" i="169"/>
  <c r="K18" i="169"/>
  <c r="I557" i="320"/>
  <c r="I560" i="320"/>
  <c r="I561" i="320"/>
  <c r="I563" i="320"/>
  <c r="I566" i="320"/>
  <c r="I567" i="320"/>
  <c r="I667" i="320"/>
  <c r="I668" i="320"/>
  <c r="I671" i="320"/>
  <c r="I672" i="320"/>
  <c r="I674" i="320"/>
  <c r="I777" i="320"/>
  <c r="I775" i="320"/>
  <c r="I774" i="320"/>
  <c r="I771" i="320"/>
  <c r="I770" i="320"/>
  <c r="K30" i="306"/>
  <c r="K26" i="306"/>
  <c r="K24" i="306"/>
  <c r="K18" i="306"/>
  <c r="K16" i="306"/>
  <c r="K36" i="295"/>
  <c r="K34" i="295"/>
  <c r="K28" i="295"/>
  <c r="K24" i="295"/>
  <c r="K22" i="295"/>
  <c r="K16" i="295"/>
  <c r="K38" i="199"/>
  <c r="K36" i="199"/>
  <c r="K30" i="199"/>
  <c r="K26" i="199"/>
  <c r="K24" i="199"/>
  <c r="K18" i="199"/>
  <c r="I574" i="320"/>
  <c r="I575" i="320"/>
  <c r="I577" i="320"/>
  <c r="I580" i="320"/>
  <c r="I582" i="320"/>
  <c r="I585" i="320"/>
  <c r="I586" i="320"/>
  <c r="I678" i="320"/>
  <c r="I681" i="320"/>
  <c r="I683" i="320"/>
  <c r="I684" i="320"/>
  <c r="I685" i="320"/>
  <c r="I687" i="320"/>
  <c r="I689" i="320"/>
  <c r="I792" i="320"/>
  <c r="I790" i="320"/>
  <c r="I788" i="320"/>
  <c r="I787" i="320"/>
  <c r="I786" i="320"/>
  <c r="I784" i="320"/>
  <c r="I781" i="320"/>
  <c r="I553" i="320"/>
  <c r="I141" i="320"/>
  <c r="I138" i="320"/>
  <c r="I137" i="320"/>
  <c r="K46" i="296"/>
  <c r="K44" i="296"/>
  <c r="K38" i="296"/>
  <c r="K34" i="296"/>
  <c r="K28" i="296"/>
  <c r="K24" i="296"/>
  <c r="K22" i="296"/>
  <c r="K16" i="296"/>
  <c r="K38" i="314"/>
  <c r="K34" i="314"/>
  <c r="K30" i="314"/>
  <c r="K28" i="314"/>
  <c r="K26" i="314"/>
  <c r="K22" i="314"/>
  <c r="K16" i="314"/>
  <c r="K38" i="307"/>
  <c r="K34" i="307"/>
  <c r="K30" i="307"/>
  <c r="K28" i="307"/>
  <c r="K26" i="307"/>
  <c r="K22" i="307"/>
  <c r="K16" i="307"/>
  <c r="K16" i="294"/>
  <c r="K32" i="198"/>
  <c r="K20" i="198"/>
  <c r="K18" i="198"/>
  <c r="C116" i="320"/>
  <c r="C117" i="320"/>
  <c r="C118" i="320"/>
  <c r="C119" i="320"/>
  <c r="C120" i="320"/>
  <c r="C121" i="320"/>
  <c r="C123" i="320"/>
  <c r="C124" i="320"/>
  <c r="C126" i="320"/>
  <c r="C127" i="320"/>
  <c r="C128" i="320"/>
  <c r="C129" i="320"/>
  <c r="C131" i="320" s="1"/>
  <c r="C132" i="320"/>
  <c r="C133" i="320" s="1"/>
  <c r="C137" i="320"/>
  <c r="C138" i="320"/>
  <c r="C141" i="320"/>
  <c r="C145" i="320"/>
  <c r="C148" i="320"/>
  <c r="C149" i="320"/>
  <c r="I106" i="320" l="1"/>
  <c r="I105" i="320"/>
  <c r="I102" i="320"/>
  <c r="I101" i="320"/>
  <c r="I99" i="320"/>
  <c r="K16" i="287"/>
  <c r="I110" i="320"/>
  <c r="I96" i="320"/>
  <c r="K36" i="286"/>
  <c r="K34" i="286"/>
  <c r="K28" i="286"/>
  <c r="K26" i="286"/>
  <c r="K22" i="286"/>
  <c r="K16" i="286"/>
  <c r="I528" i="320"/>
  <c r="J528" i="320" s="1"/>
  <c r="I166" i="320"/>
  <c r="I164" i="320"/>
  <c r="I163" i="320"/>
  <c r="I161" i="320"/>
  <c r="I160" i="320"/>
  <c r="C151" i="320"/>
  <c r="C154" i="320"/>
  <c r="C155" i="320"/>
  <c r="C160" i="320"/>
  <c r="C161" i="320"/>
  <c r="C163" i="320"/>
  <c r="C164" i="320"/>
  <c r="C166" i="320" s="1"/>
  <c r="C170" i="320"/>
  <c r="I360" i="320" l="1"/>
  <c r="I359" i="320"/>
  <c r="I358" i="320"/>
  <c r="I357" i="320"/>
  <c r="I356" i="320"/>
  <c r="I355" i="320"/>
  <c r="I354" i="320"/>
  <c r="I338" i="320"/>
  <c r="I339" i="320"/>
  <c r="I341" i="320"/>
  <c r="I342" i="320"/>
  <c r="I446" i="320"/>
  <c r="I445" i="320"/>
  <c r="I444" i="320"/>
  <c r="I442" i="320"/>
  <c r="I441" i="320"/>
  <c r="I439" i="320"/>
  <c r="I438" i="320"/>
  <c r="I437" i="320"/>
  <c r="I434" i="320"/>
  <c r="I433" i="320"/>
  <c r="I431" i="320"/>
  <c r="I428" i="320"/>
  <c r="I427" i="320"/>
  <c r="I426" i="320"/>
  <c r="I88" i="320"/>
  <c r="I27" i="320"/>
  <c r="K32" i="200"/>
  <c r="K28" i="200"/>
  <c r="K26" i="200"/>
  <c r="K22" i="200"/>
  <c r="K20" i="200"/>
  <c r="K89" i="272"/>
  <c r="K87" i="272"/>
  <c r="K85" i="272"/>
  <c r="K83" i="272"/>
  <c r="K81" i="272"/>
  <c r="K79" i="272"/>
  <c r="K77" i="272"/>
  <c r="K48" i="310"/>
  <c r="K44" i="310"/>
  <c r="K38" i="310"/>
  <c r="K36" i="310"/>
  <c r="K32" i="310"/>
  <c r="K30" i="310"/>
  <c r="K26" i="310"/>
  <c r="K24" i="310"/>
  <c r="K20" i="310"/>
  <c r="K18" i="310"/>
  <c r="K48" i="303"/>
  <c r="K44" i="303"/>
  <c r="K38" i="303"/>
  <c r="K36" i="303"/>
  <c r="K32" i="303"/>
  <c r="K30" i="303"/>
  <c r="K26" i="303"/>
  <c r="K24" i="303"/>
  <c r="K20" i="303"/>
  <c r="K18" i="303"/>
  <c r="K48" i="292"/>
  <c r="K46" i="292"/>
  <c r="K42" i="292"/>
  <c r="K38" i="292"/>
  <c r="K36" i="292"/>
  <c r="K32" i="292"/>
  <c r="K30" i="292"/>
  <c r="K26" i="292"/>
  <c r="K24" i="292"/>
  <c r="K20" i="292"/>
  <c r="K18" i="292"/>
  <c r="K69" i="285"/>
  <c r="K67" i="285"/>
  <c r="K65" i="285"/>
  <c r="K50" i="285"/>
  <c r="K48" i="285"/>
  <c r="K44" i="285"/>
  <c r="K42" i="285"/>
  <c r="K40" i="285"/>
  <c r="K34" i="285"/>
  <c r="K32" i="285"/>
  <c r="K28" i="285"/>
  <c r="K22" i="285"/>
  <c r="K20" i="285"/>
  <c r="K18" i="285"/>
  <c r="K14" i="163"/>
  <c r="K24" i="171"/>
  <c r="C171" i="320"/>
  <c r="C175" i="320" s="1"/>
  <c r="C176" i="320"/>
  <c r="C182" i="320" s="1"/>
  <c r="C187" i="320"/>
  <c r="C188" i="320"/>
  <c r="C189" i="320"/>
  <c r="C192" i="320"/>
  <c r="C193" i="320" s="1"/>
  <c r="B9" i="322" l="1"/>
  <c r="B3" i="322"/>
  <c r="D2" i="322"/>
  <c r="B2" i="322"/>
  <c r="C196" i="320"/>
  <c r="C198" i="320"/>
  <c r="C201" i="320"/>
  <c r="C202" i="320"/>
  <c r="C203" i="320"/>
  <c r="C205" i="320"/>
  <c r="C207" i="320"/>
  <c r="C208" i="320"/>
  <c r="F63" i="267" l="1"/>
  <c r="C212" i="320"/>
  <c r="C213" i="320" s="1"/>
  <c r="C215" i="320"/>
  <c r="C216" i="320"/>
  <c r="C218" i="320"/>
  <c r="C219" i="320"/>
  <c r="C224" i="320"/>
  <c r="C225" i="320"/>
  <c r="C227" i="320"/>
  <c r="C230" i="320"/>
  <c r="C233" i="320"/>
  <c r="C235" i="320"/>
  <c r="C240" i="320"/>
  <c r="C241" i="320"/>
  <c r="C242" i="320"/>
  <c r="C244" i="320"/>
  <c r="C247" i="320"/>
  <c r="C248" i="320"/>
  <c r="C249" i="320"/>
  <c r="C251" i="320"/>
  <c r="C253" i="320"/>
  <c r="C255" i="320"/>
  <c r="C257" i="320"/>
  <c r="C258" i="320" s="1"/>
  <c r="M72" i="159" l="1"/>
  <c r="L72" i="159"/>
  <c r="H72" i="159"/>
  <c r="M71" i="159"/>
  <c r="L71" i="159"/>
  <c r="H71" i="159"/>
  <c r="L42" i="212"/>
  <c r="M42" i="212"/>
  <c r="D37" i="254"/>
  <c r="B37" i="254"/>
  <c r="B35" i="254"/>
  <c r="B33" i="254"/>
  <c r="B31" i="254"/>
  <c r="B29" i="254"/>
  <c r="I62" i="320"/>
  <c r="J62" i="320" s="1"/>
  <c r="I61" i="320"/>
  <c r="J61" i="320" s="1"/>
  <c r="I60" i="320"/>
  <c r="J60" i="320" s="1"/>
  <c r="H62" i="320"/>
  <c r="H61" i="320"/>
  <c r="H60" i="320"/>
  <c r="K20" i="235"/>
  <c r="K18" i="235"/>
  <c r="K16" i="235"/>
  <c r="L34" i="235"/>
  <c r="H34" i="235"/>
  <c r="L33" i="235"/>
  <c r="H33" i="235"/>
  <c r="L32" i="235"/>
  <c r="H32" i="235"/>
  <c r="L31" i="235"/>
  <c r="H31" i="235"/>
  <c r="L30" i="235"/>
  <c r="H30" i="235"/>
  <c r="L29" i="235"/>
  <c r="H29" i="235"/>
  <c r="L28" i="235"/>
  <c r="H28" i="235"/>
  <c r="K27" i="235"/>
  <c r="L26" i="235"/>
  <c r="H26" i="235"/>
  <c r="K25" i="235"/>
  <c r="L24" i="235"/>
  <c r="H24" i="235"/>
  <c r="L23" i="235"/>
  <c r="H23" i="235"/>
  <c r="L22" i="235"/>
  <c r="H22" i="235"/>
  <c r="H21" i="235"/>
  <c r="H20" i="235"/>
  <c r="H19" i="235"/>
  <c r="H18" i="235"/>
  <c r="H17" i="235"/>
  <c r="K41" i="235"/>
  <c r="K39" i="235"/>
  <c r="C260" i="320"/>
  <c r="D35" i="254"/>
  <c r="C69" i="278"/>
  <c r="C261" i="320"/>
  <c r="C33" i="254"/>
  <c r="C31" i="254"/>
  <c r="C68" i="278"/>
  <c r="C29" i="254"/>
  <c r="C35" i="254"/>
  <c r="F40" i="211" l="1"/>
  <c r="K77" i="163"/>
  <c r="F77" i="163"/>
  <c r="H79" i="163"/>
  <c r="L79" i="163"/>
  <c r="M79" i="163"/>
  <c r="H80" i="163"/>
  <c r="L80" i="163"/>
  <c r="M80" i="163"/>
  <c r="H81" i="163"/>
  <c r="L81" i="163"/>
  <c r="M81" i="163"/>
  <c r="H82" i="163"/>
  <c r="L82" i="163"/>
  <c r="M82" i="163"/>
  <c r="H83" i="163"/>
  <c r="L83" i="163"/>
  <c r="M83" i="163"/>
  <c r="H84" i="163"/>
  <c r="L84" i="163"/>
  <c r="M84" i="163"/>
  <c r="H85" i="163"/>
  <c r="L85" i="163"/>
  <c r="M85" i="163"/>
  <c r="H86" i="163"/>
  <c r="L86" i="163"/>
  <c r="M86" i="163"/>
  <c r="H87" i="163"/>
  <c r="L87" i="163"/>
  <c r="M87" i="163"/>
  <c r="M121" i="285"/>
  <c r="L121" i="285"/>
  <c r="M120" i="285"/>
  <c r="L120" i="285"/>
  <c r="M119" i="285"/>
  <c r="L119" i="285"/>
  <c r="M118" i="285"/>
  <c r="L118" i="285"/>
  <c r="M117" i="285"/>
  <c r="L117" i="285"/>
  <c r="M116" i="285"/>
  <c r="L116" i="285"/>
  <c r="M115" i="285"/>
  <c r="L115" i="285"/>
  <c r="M114" i="285"/>
  <c r="L114" i="285"/>
  <c r="M113" i="285"/>
  <c r="L113" i="285"/>
  <c r="M112" i="285"/>
  <c r="L112" i="285"/>
  <c r="M111" i="285"/>
  <c r="L111" i="285"/>
  <c r="M110" i="285"/>
  <c r="L110" i="285"/>
  <c r="M109" i="285"/>
  <c r="L109" i="285"/>
  <c r="M108" i="285"/>
  <c r="L108" i="285"/>
  <c r="M107" i="285"/>
  <c r="L107" i="285"/>
  <c r="M106" i="285"/>
  <c r="L106" i="285"/>
  <c r="M105" i="285"/>
  <c r="L105" i="285"/>
  <c r="M104" i="285"/>
  <c r="L104" i="285"/>
  <c r="M103" i="285"/>
  <c r="L103" i="285"/>
  <c r="M102" i="285"/>
  <c r="L102" i="285"/>
  <c r="M101" i="285"/>
  <c r="L101" i="285"/>
  <c r="M100" i="285"/>
  <c r="L100" i="285"/>
  <c r="M99" i="285"/>
  <c r="L99" i="285"/>
  <c r="M98" i="285"/>
  <c r="L98" i="285"/>
  <c r="M97" i="285"/>
  <c r="L97" i="285"/>
  <c r="M96" i="285"/>
  <c r="L96" i="285"/>
  <c r="M95" i="285"/>
  <c r="L95" i="285"/>
  <c r="M94" i="285"/>
  <c r="L94" i="285"/>
  <c r="M93" i="285"/>
  <c r="L93" i="285"/>
  <c r="M92" i="285"/>
  <c r="L92" i="285"/>
  <c r="M91" i="285"/>
  <c r="L91" i="285"/>
  <c r="M90" i="285"/>
  <c r="L90" i="285"/>
  <c r="M89" i="285"/>
  <c r="L89" i="285"/>
  <c r="M88" i="285"/>
  <c r="L88" i="285"/>
  <c r="M87" i="285"/>
  <c r="L87" i="285"/>
  <c r="M86" i="285"/>
  <c r="L86" i="285"/>
  <c r="M85" i="285"/>
  <c r="L85" i="285"/>
  <c r="M84" i="285"/>
  <c r="L84" i="285"/>
  <c r="M83" i="285"/>
  <c r="L83" i="285"/>
  <c r="M82" i="285"/>
  <c r="L82" i="285"/>
  <c r="M81" i="285"/>
  <c r="L81" i="285"/>
  <c r="M80" i="285"/>
  <c r="L80" i="285"/>
  <c r="M79" i="285"/>
  <c r="L79" i="285"/>
  <c r="M78" i="285"/>
  <c r="L78" i="285"/>
  <c r="M77" i="285"/>
  <c r="L77" i="285"/>
  <c r="M76" i="285"/>
  <c r="L76" i="285"/>
  <c r="M75" i="285"/>
  <c r="L75" i="285"/>
  <c r="M74" i="285"/>
  <c r="L74" i="285"/>
  <c r="M73" i="285"/>
  <c r="L73" i="285"/>
  <c r="H121" i="285"/>
  <c r="H120" i="285"/>
  <c r="H119" i="285"/>
  <c r="H118" i="285"/>
  <c r="H117" i="285"/>
  <c r="H116" i="285"/>
  <c r="H115" i="285"/>
  <c r="H114" i="285"/>
  <c r="H113" i="285"/>
  <c r="H112" i="285"/>
  <c r="H111" i="285"/>
  <c r="H110" i="285"/>
  <c r="H109" i="285"/>
  <c r="H108" i="285"/>
  <c r="H107" i="285"/>
  <c r="H106" i="285"/>
  <c r="H105" i="285"/>
  <c r="H104" i="285"/>
  <c r="H103" i="285"/>
  <c r="H102" i="285"/>
  <c r="H101" i="285"/>
  <c r="H100" i="285"/>
  <c r="H99" i="285"/>
  <c r="H98" i="285"/>
  <c r="H97" i="285"/>
  <c r="H96" i="285"/>
  <c r="H95" i="285"/>
  <c r="H94" i="285"/>
  <c r="H93" i="285"/>
  <c r="H92" i="285"/>
  <c r="H91" i="285"/>
  <c r="H90" i="285"/>
  <c r="H89" i="285"/>
  <c r="H88" i="285"/>
  <c r="H87" i="285"/>
  <c r="H86" i="285"/>
  <c r="H85" i="285"/>
  <c r="H84" i="285"/>
  <c r="H83" i="285"/>
  <c r="H82" i="285"/>
  <c r="H81" i="285"/>
  <c r="H80" i="285"/>
  <c r="H79" i="285"/>
  <c r="H78" i="285"/>
  <c r="H77" i="285"/>
  <c r="H76" i="285"/>
  <c r="H75" i="285"/>
  <c r="H74" i="285"/>
  <c r="H73" i="285"/>
  <c r="G2" i="264"/>
  <c r="E2" i="263"/>
  <c r="E2" i="318"/>
  <c r="E2" i="254"/>
  <c r="C263" i="320"/>
  <c r="C37" i="254"/>
  <c r="D33" i="254"/>
  <c r="C264" i="320"/>
  <c r="C269" i="320"/>
  <c r="C270" i="320"/>
  <c r="C271" i="320"/>
  <c r="C272" i="320"/>
  <c r="C274" i="320"/>
  <c r="C276" i="320"/>
  <c r="C277" i="320"/>
  <c r="C280" i="320"/>
  <c r="C281" i="320"/>
  <c r="C282" i="320"/>
  <c r="C284" i="320"/>
  <c r="C286" i="320"/>
  <c r="C288" i="320"/>
  <c r="C289" i="320"/>
  <c r="C290" i="320"/>
  <c r="C292" i="320"/>
  <c r="C293" i="320"/>
  <c r="C294" i="320"/>
  <c r="C296" i="320"/>
  <c r="C297" i="320"/>
  <c r="C298" i="320"/>
  <c r="C301" i="320"/>
  <c r="C302" i="320"/>
  <c r="C306" i="320"/>
  <c r="C307" i="320"/>
  <c r="C309" i="320"/>
  <c r="C310" i="320"/>
  <c r="C311" i="320"/>
  <c r="C314" i="320"/>
  <c r="C317" i="320"/>
  <c r="C318" i="320"/>
  <c r="C320" i="320"/>
  <c r="C321" i="320"/>
  <c r="C323" i="320"/>
  <c r="C324" i="320"/>
  <c r="C325" i="320"/>
  <c r="C330" i="320"/>
  <c r="C333" i="320"/>
  <c r="C335" i="320"/>
  <c r="C338" i="320"/>
  <c r="C339" i="320"/>
  <c r="C341" i="320"/>
  <c r="C342" i="320"/>
  <c r="C343" i="320"/>
  <c r="C345" i="320"/>
  <c r="L77" i="163" l="1"/>
  <c r="H77" i="163"/>
  <c r="C346" i="320"/>
  <c r="D31" i="254"/>
  <c r="C348" i="320"/>
  <c r="C349" i="320"/>
  <c r="C351" i="320"/>
  <c r="C352" i="320"/>
  <c r="C354" i="320"/>
  <c r="C355" i="320"/>
  <c r="C356" i="320"/>
  <c r="C357" i="320"/>
  <c r="C358" i="320"/>
  <c r="C359" i="320"/>
  <c r="C360" i="320"/>
  <c r="C361" i="320"/>
  <c r="C363" i="320" s="1"/>
  <c r="C364" i="320"/>
  <c r="C369" i="320"/>
  <c r="C370" i="320"/>
  <c r="C371" i="320"/>
  <c r="C372" i="320"/>
  <c r="C373" i="320"/>
  <c r="C374" i="320"/>
  <c r="C375" i="320"/>
  <c r="C380" i="320"/>
  <c r="C381" i="320"/>
  <c r="C382" i="320"/>
  <c r="C387" i="320"/>
  <c r="C388" i="320"/>
  <c r="C389" i="320"/>
  <c r="C394" i="320"/>
  <c r="C395" i="320"/>
  <c r="C397" i="320"/>
  <c r="C398" i="320"/>
  <c r="C399" i="320"/>
  <c r="C404" i="320" s="1"/>
  <c r="C405" i="320"/>
  <c r="C407" i="320"/>
  <c r="C409" i="320"/>
  <c r="C411" i="320"/>
  <c r="C413" i="320"/>
  <c r="C414" i="320"/>
  <c r="C416" i="320"/>
  <c r="C417" i="320"/>
  <c r="C418" i="320"/>
  <c r="C419" i="320"/>
  <c r="C420" i="320"/>
  <c r="C421" i="320"/>
  <c r="C424" i="320"/>
  <c r="C426" i="320"/>
  <c r="C427" i="320"/>
  <c r="C428" i="320"/>
  <c r="C431" i="320"/>
  <c r="C433" i="320"/>
  <c r="C434" i="320"/>
  <c r="C437" i="320"/>
  <c r="C438" i="320"/>
  <c r="C439" i="320"/>
  <c r="C441" i="320"/>
  <c r="C442" i="320"/>
  <c r="C444" i="320"/>
  <c r="C445" i="320"/>
  <c r="C446" i="320"/>
  <c r="C447" i="320"/>
  <c r="C452" i="320"/>
  <c r="C454" i="320"/>
  <c r="C455" i="320"/>
  <c r="C457" i="320"/>
  <c r="C460" i="320"/>
  <c r="C462" i="320"/>
  <c r="C463" i="320"/>
  <c r="C464" i="320"/>
  <c r="C466" i="320"/>
  <c r="C471" i="320"/>
  <c r="C472" i="320"/>
  <c r="C474" i="320"/>
  <c r="C475" i="320"/>
  <c r="C476" i="320"/>
  <c r="C477" i="320"/>
  <c r="C478" i="320" s="1"/>
  <c r="C479" i="320"/>
  <c r="C480" i="320"/>
  <c r="M77" i="163" l="1"/>
  <c r="M140" i="159"/>
  <c r="L140" i="159"/>
  <c r="M139" i="159"/>
  <c r="L139" i="159"/>
  <c r="M138" i="159"/>
  <c r="L138" i="159"/>
  <c r="M137" i="159"/>
  <c r="L137" i="159"/>
  <c r="M136" i="159"/>
  <c r="L136" i="159"/>
  <c r="M135" i="159"/>
  <c r="L135" i="159"/>
  <c r="H139" i="159"/>
  <c r="H138" i="159"/>
  <c r="H137" i="159"/>
  <c r="M19" i="168"/>
  <c r="L19" i="168"/>
  <c r="M18" i="168"/>
  <c r="L18" i="168"/>
  <c r="M17" i="168"/>
  <c r="L17" i="168"/>
  <c r="M16" i="168"/>
  <c r="L16" i="168"/>
  <c r="M15" i="168"/>
  <c r="L15" i="168"/>
  <c r="M14" i="168"/>
  <c r="L14" i="168"/>
  <c r="M13" i="168"/>
  <c r="L13" i="168"/>
  <c r="M12" i="168"/>
  <c r="L12" i="168"/>
  <c r="H19" i="168"/>
  <c r="H18" i="168"/>
  <c r="H17" i="168"/>
  <c r="H16" i="168"/>
  <c r="H15" i="168"/>
  <c r="H14" i="168"/>
  <c r="H13" i="168"/>
  <c r="H12" i="168"/>
  <c r="C486" i="320"/>
  <c r="D29" i="254"/>
  <c r="H20" i="167" l="1"/>
  <c r="M25" i="167"/>
  <c r="L25" i="167"/>
  <c r="M24" i="167"/>
  <c r="L24" i="167"/>
  <c r="M23" i="167"/>
  <c r="L23" i="167"/>
  <c r="M22" i="167"/>
  <c r="L22" i="167"/>
  <c r="M21" i="167"/>
  <c r="L21" i="167"/>
  <c r="M18" i="167"/>
  <c r="L18" i="167"/>
  <c r="M17" i="167"/>
  <c r="L17" i="167"/>
  <c r="M16" i="167"/>
  <c r="L16" i="167"/>
  <c r="M15" i="167"/>
  <c r="L15" i="167"/>
  <c r="M14" i="167"/>
  <c r="L14" i="167"/>
  <c r="M13" i="167"/>
  <c r="L13" i="167"/>
  <c r="M12" i="167"/>
  <c r="L12" i="167"/>
  <c r="H25" i="167"/>
  <c r="H24" i="167"/>
  <c r="H23" i="167"/>
  <c r="H22" i="167"/>
  <c r="H21" i="167"/>
  <c r="H18" i="167"/>
  <c r="H17" i="167"/>
  <c r="H16" i="167"/>
  <c r="H15" i="167"/>
  <c r="H14" i="167"/>
  <c r="H13" i="167"/>
  <c r="H12" i="167"/>
  <c r="C491" i="320"/>
  <c r="D27" i="254"/>
  <c r="C492" i="320"/>
  <c r="C493" i="320"/>
  <c r="C495" i="320"/>
  <c r="C496" i="320"/>
  <c r="C501" i="320"/>
  <c r="C502" i="320"/>
  <c r="C503" i="320"/>
  <c r="C505" i="320"/>
  <c r="M27" i="169" l="1"/>
  <c r="L27" i="169"/>
  <c r="I27" i="169"/>
  <c r="H27" i="169"/>
  <c r="M25" i="169"/>
  <c r="L25" i="169"/>
  <c r="I25" i="169"/>
  <c r="H25" i="169"/>
  <c r="M24" i="169"/>
  <c r="L24" i="169"/>
  <c r="I24" i="169"/>
  <c r="H24" i="169"/>
  <c r="M23" i="169"/>
  <c r="L23" i="169"/>
  <c r="I23" i="169"/>
  <c r="H23" i="169"/>
  <c r="M22" i="169"/>
  <c r="L22" i="169"/>
  <c r="I22" i="169"/>
  <c r="H22" i="169"/>
  <c r="C506" i="320"/>
  <c r="D25" i="254"/>
  <c r="C507" i="320"/>
  <c r="C508" i="320"/>
  <c r="C511" i="320" s="1"/>
  <c r="C516" i="320"/>
  <c r="C517" i="320"/>
  <c r="C519" i="320"/>
  <c r="C520" i="320"/>
  <c r="C522" i="320"/>
  <c r="C523" i="320"/>
  <c r="C525" i="320"/>
  <c r="C526" i="320"/>
  <c r="C528" i="320"/>
  <c r="C530" i="320"/>
  <c r="C531" i="320"/>
  <c r="C536" i="320"/>
  <c r="C537" i="320"/>
  <c r="C538" i="320"/>
  <c r="C539" i="320"/>
  <c r="C540" i="320"/>
  <c r="C541" i="320"/>
  <c r="C542" i="320" s="1"/>
  <c r="H26" i="167" l="1"/>
  <c r="K26" i="167"/>
  <c r="L26" i="167" s="1"/>
  <c r="M26" i="167" s="1"/>
  <c r="H27" i="167"/>
  <c r="L27" i="167"/>
  <c r="M27" i="167"/>
  <c r="H28" i="167"/>
  <c r="L28" i="167"/>
  <c r="M28" i="167"/>
  <c r="H29" i="167"/>
  <c r="L29" i="167"/>
  <c r="M29" i="167"/>
  <c r="L30" i="167"/>
  <c r="M30" i="167"/>
  <c r="H31" i="167"/>
  <c r="L31" i="167"/>
  <c r="M31" i="167"/>
  <c r="H32" i="167"/>
  <c r="L32" i="167"/>
  <c r="M32" i="167"/>
  <c r="H33" i="167"/>
  <c r="L33" i="167"/>
  <c r="M33" i="167"/>
  <c r="K34" i="167"/>
  <c r="H35" i="167"/>
  <c r="L35" i="167"/>
  <c r="M35" i="167"/>
  <c r="H36" i="167"/>
  <c r="L36" i="167"/>
  <c r="M36" i="167"/>
  <c r="H37" i="167"/>
  <c r="L37" i="167"/>
  <c r="M37" i="167"/>
  <c r="H38" i="167"/>
  <c r="L38" i="167"/>
  <c r="M38" i="167"/>
  <c r="H39" i="167"/>
  <c r="L39" i="167"/>
  <c r="M39" i="167"/>
  <c r="M148" i="282"/>
  <c r="L148" i="282"/>
  <c r="H148" i="282"/>
  <c r="H147" i="282"/>
  <c r="M145" i="282"/>
  <c r="L145" i="282"/>
  <c r="H145" i="282"/>
  <c r="H144" i="282"/>
  <c r="M143" i="282"/>
  <c r="L143" i="282"/>
  <c r="H143" i="282"/>
  <c r="M142" i="282"/>
  <c r="L142" i="282"/>
  <c r="H142" i="282"/>
  <c r="M141" i="282"/>
  <c r="L141" i="282"/>
  <c r="H141" i="282"/>
  <c r="M140" i="282"/>
  <c r="L140" i="282"/>
  <c r="H140" i="282"/>
  <c r="H149" i="282"/>
  <c r="L149" i="282"/>
  <c r="M149" i="282"/>
  <c r="H150" i="282"/>
  <c r="L150" i="282"/>
  <c r="M150" i="282"/>
  <c r="H151" i="282"/>
  <c r="K151" i="282"/>
  <c r="L151" i="282" s="1"/>
  <c r="H152" i="282"/>
  <c r="L152" i="282"/>
  <c r="M152" i="282"/>
  <c r="H153" i="282"/>
  <c r="K153" i="282"/>
  <c r="L153" i="282" s="1"/>
  <c r="H154" i="282"/>
  <c r="L154" i="282"/>
  <c r="M154" i="282"/>
  <c r="H155" i="282"/>
  <c r="L155" i="282"/>
  <c r="M155" i="282"/>
  <c r="H156" i="282"/>
  <c r="L156" i="282"/>
  <c r="M156" i="282"/>
  <c r="H157" i="282"/>
  <c r="K157" i="282"/>
  <c r="L157" i="282" s="1"/>
  <c r="H158" i="282"/>
  <c r="L158" i="282"/>
  <c r="M158" i="282"/>
  <c r="H159" i="282"/>
  <c r="K159" i="282"/>
  <c r="L159" i="282" s="1"/>
  <c r="H160" i="282"/>
  <c r="L160" i="282"/>
  <c r="M160" i="282"/>
  <c r="H161" i="282"/>
  <c r="L161" i="282"/>
  <c r="H162" i="282"/>
  <c r="L162" i="282"/>
  <c r="M162" i="282"/>
  <c r="H163" i="282"/>
  <c r="L163" i="282"/>
  <c r="M163" i="282"/>
  <c r="H164" i="282"/>
  <c r="L164" i="282"/>
  <c r="M164" i="282"/>
  <c r="H165" i="282"/>
  <c r="L165" i="282"/>
  <c r="M165" i="282"/>
  <c r="H166" i="282"/>
  <c r="L166" i="282"/>
  <c r="M166" i="282"/>
  <c r="H167" i="282"/>
  <c r="L167" i="282"/>
  <c r="M167" i="282"/>
  <c r="H168" i="282"/>
  <c r="L168" i="282"/>
  <c r="M168" i="282"/>
  <c r="C543" i="320"/>
  <c r="C544" i="320" s="1"/>
  <c r="C546" i="320"/>
  <c r="D23" i="254"/>
  <c r="M161" i="282" l="1"/>
  <c r="M151" i="282"/>
  <c r="M157" i="282"/>
  <c r="M153" i="282"/>
  <c r="M159" i="282"/>
  <c r="D21" i="254"/>
  <c r="C549" i="320"/>
  <c r="C553" i="320"/>
  <c r="I24" i="320" l="1"/>
  <c r="J24" i="320" s="1"/>
  <c r="H24" i="320"/>
  <c r="I604" i="320"/>
  <c r="J604" i="320" s="1"/>
  <c r="J795" i="320"/>
  <c r="H795" i="320"/>
  <c r="M794" i="320"/>
  <c r="J792" i="320"/>
  <c r="H792" i="320"/>
  <c r="J790" i="320"/>
  <c r="H790" i="320"/>
  <c r="J788" i="320"/>
  <c r="H788" i="320"/>
  <c r="J787" i="320"/>
  <c r="H787" i="320"/>
  <c r="J786" i="320"/>
  <c r="H786" i="320"/>
  <c r="J784" i="320"/>
  <c r="H784" i="320"/>
  <c r="J781" i="320"/>
  <c r="H781" i="320"/>
  <c r="J777" i="320"/>
  <c r="H777" i="320"/>
  <c r="J775" i="320"/>
  <c r="H775" i="320"/>
  <c r="J774" i="320"/>
  <c r="H774" i="320"/>
  <c r="J771" i="320"/>
  <c r="H771" i="320"/>
  <c r="J770" i="320"/>
  <c r="H770" i="320"/>
  <c r="I766" i="320"/>
  <c r="J766" i="320" s="1"/>
  <c r="H766" i="320"/>
  <c r="I764" i="320"/>
  <c r="J764" i="320" s="1"/>
  <c r="H764" i="320"/>
  <c r="I762" i="320"/>
  <c r="J762" i="320" s="1"/>
  <c r="H762" i="320"/>
  <c r="I761" i="320"/>
  <c r="J761" i="320" s="1"/>
  <c r="H761" i="320"/>
  <c r="I760" i="320"/>
  <c r="J760" i="320" s="1"/>
  <c r="H760" i="320"/>
  <c r="I759" i="320"/>
  <c r="J759" i="320" s="1"/>
  <c r="H759" i="320"/>
  <c r="J754" i="320"/>
  <c r="H754" i="320"/>
  <c r="J752" i="320"/>
  <c r="H752" i="320"/>
  <c r="H750" i="320"/>
  <c r="J749" i="320"/>
  <c r="H749" i="320"/>
  <c r="J748" i="320"/>
  <c r="H748" i="320"/>
  <c r="J746" i="320"/>
  <c r="H746" i="320"/>
  <c r="J745" i="320"/>
  <c r="H745" i="320"/>
  <c r="J743" i="320"/>
  <c r="H743" i="320"/>
  <c r="J742" i="320"/>
  <c r="H742" i="320"/>
  <c r="J740" i="320"/>
  <c r="H740" i="320"/>
  <c r="J739" i="320"/>
  <c r="H739" i="320"/>
  <c r="H734" i="320"/>
  <c r="H731" i="320"/>
  <c r="H728" i="320"/>
  <c r="H727" i="320"/>
  <c r="H726" i="320"/>
  <c r="H724" i="320"/>
  <c r="H723" i="320"/>
  <c r="H722" i="320"/>
  <c r="H717" i="320"/>
  <c r="H716" i="320"/>
  <c r="I715" i="320"/>
  <c r="J715" i="320" s="1"/>
  <c r="H715" i="320"/>
  <c r="I714" i="320"/>
  <c r="J714" i="320" s="1"/>
  <c r="H714" i="320"/>
  <c r="I712" i="320"/>
  <c r="J712" i="320" s="1"/>
  <c r="H712" i="320"/>
  <c r="I711" i="320"/>
  <c r="J711" i="320" s="1"/>
  <c r="H711" i="320"/>
  <c r="I710" i="320"/>
  <c r="J710" i="320" s="1"/>
  <c r="H710" i="320"/>
  <c r="I709" i="320"/>
  <c r="J709" i="320" s="1"/>
  <c r="H709" i="320"/>
  <c r="I707" i="320"/>
  <c r="J707" i="320" s="1"/>
  <c r="H707" i="320"/>
  <c r="I705" i="320"/>
  <c r="J705" i="320" s="1"/>
  <c r="H705" i="320"/>
  <c r="I704" i="320"/>
  <c r="J704" i="320" s="1"/>
  <c r="H704" i="320"/>
  <c r="I703" i="320"/>
  <c r="J703" i="320" s="1"/>
  <c r="H703" i="320"/>
  <c r="I702" i="320"/>
  <c r="J702" i="320" s="1"/>
  <c r="H702" i="320"/>
  <c r="I701" i="320"/>
  <c r="J701" i="320" s="1"/>
  <c r="H701" i="320"/>
  <c r="I700" i="320"/>
  <c r="J700" i="320" s="1"/>
  <c r="H700" i="320"/>
  <c r="I695" i="320"/>
  <c r="J695" i="320" s="1"/>
  <c r="H695" i="320"/>
  <c r="J689" i="320"/>
  <c r="H689" i="320"/>
  <c r="J687" i="320"/>
  <c r="H687" i="320"/>
  <c r="J685" i="320"/>
  <c r="H685" i="320"/>
  <c r="J684" i="320"/>
  <c r="H684" i="320"/>
  <c r="J683" i="320"/>
  <c r="H683" i="320"/>
  <c r="J681" i="320"/>
  <c r="H681" i="320"/>
  <c r="J678" i="320"/>
  <c r="H678" i="320"/>
  <c r="J674" i="320"/>
  <c r="H674" i="320"/>
  <c r="J672" i="320"/>
  <c r="H672" i="320"/>
  <c r="J671" i="320"/>
  <c r="H671" i="320"/>
  <c r="J668" i="320"/>
  <c r="H668" i="320"/>
  <c r="J667" i="320"/>
  <c r="H667" i="320"/>
  <c r="I663" i="320"/>
  <c r="J663" i="320" s="1"/>
  <c r="H663" i="320"/>
  <c r="I661" i="320"/>
  <c r="J661" i="320" s="1"/>
  <c r="H661" i="320"/>
  <c r="I659" i="320"/>
  <c r="J659" i="320" s="1"/>
  <c r="H659" i="320"/>
  <c r="I658" i="320"/>
  <c r="J658" i="320" s="1"/>
  <c r="H658" i="320"/>
  <c r="I657" i="320"/>
  <c r="J657" i="320" s="1"/>
  <c r="H657" i="320"/>
  <c r="I656" i="320"/>
  <c r="J656" i="320" s="1"/>
  <c r="H656" i="320"/>
  <c r="J651" i="320"/>
  <c r="H651" i="320"/>
  <c r="J649" i="320"/>
  <c r="H649" i="320"/>
  <c r="H647" i="320"/>
  <c r="J646" i="320"/>
  <c r="H646" i="320"/>
  <c r="J645" i="320"/>
  <c r="H645" i="320"/>
  <c r="J643" i="320"/>
  <c r="H643" i="320"/>
  <c r="J642" i="320"/>
  <c r="H642" i="320"/>
  <c r="J640" i="320"/>
  <c r="H640" i="320"/>
  <c r="J639" i="320"/>
  <c r="H639" i="320"/>
  <c r="J637" i="320"/>
  <c r="H637" i="320"/>
  <c r="J636" i="320"/>
  <c r="H636" i="320"/>
  <c r="H631" i="320"/>
  <c r="H628" i="320"/>
  <c r="H625" i="320"/>
  <c r="H624" i="320"/>
  <c r="H623" i="320"/>
  <c r="H621" i="320"/>
  <c r="H620" i="320"/>
  <c r="H619" i="320"/>
  <c r="H614" i="320"/>
  <c r="H613" i="320"/>
  <c r="I612" i="320"/>
  <c r="J612" i="320" s="1"/>
  <c r="H612" i="320"/>
  <c r="I611" i="320"/>
  <c r="J611" i="320" s="1"/>
  <c r="H611" i="320"/>
  <c r="I609" i="320"/>
  <c r="J609" i="320" s="1"/>
  <c r="H609" i="320"/>
  <c r="I608" i="320"/>
  <c r="J608" i="320" s="1"/>
  <c r="H608" i="320"/>
  <c r="I607" i="320"/>
  <c r="J607" i="320" s="1"/>
  <c r="H607" i="320"/>
  <c r="I606" i="320"/>
  <c r="J606" i="320" s="1"/>
  <c r="H606" i="320"/>
  <c r="H604" i="320"/>
  <c r="I602" i="320"/>
  <c r="J602" i="320" s="1"/>
  <c r="H602" i="320"/>
  <c r="I601" i="320"/>
  <c r="J601" i="320" s="1"/>
  <c r="H601" i="320"/>
  <c r="I600" i="320"/>
  <c r="J600" i="320" s="1"/>
  <c r="H600" i="320"/>
  <c r="I599" i="320"/>
  <c r="J599" i="320" s="1"/>
  <c r="H599" i="320"/>
  <c r="I598" i="320"/>
  <c r="J598" i="320" s="1"/>
  <c r="H598" i="320"/>
  <c r="I597" i="320"/>
  <c r="J597" i="320" s="1"/>
  <c r="H597" i="320"/>
  <c r="I592" i="320"/>
  <c r="J592" i="320" s="1"/>
  <c r="H592" i="320"/>
  <c r="J586" i="320"/>
  <c r="H586" i="320"/>
  <c r="J585" i="320"/>
  <c r="H585" i="320"/>
  <c r="J582" i="320"/>
  <c r="H582" i="320"/>
  <c r="J580" i="320"/>
  <c r="H580" i="320"/>
  <c r="H579" i="320"/>
  <c r="J577" i="320"/>
  <c r="H577" i="320"/>
  <c r="J575" i="320"/>
  <c r="H575" i="320"/>
  <c r="J574" i="320"/>
  <c r="H574" i="320"/>
  <c r="J571" i="320"/>
  <c r="H571" i="320"/>
  <c r="J567" i="320"/>
  <c r="H567" i="320"/>
  <c r="J566" i="320"/>
  <c r="H566" i="320"/>
  <c r="J563" i="320"/>
  <c r="H563" i="320"/>
  <c r="J561" i="320"/>
  <c r="H561" i="320"/>
  <c r="J560" i="320"/>
  <c r="H560" i="320"/>
  <c r="J557" i="320"/>
  <c r="H557" i="320"/>
  <c r="J553" i="320"/>
  <c r="H553" i="320"/>
  <c r="I549" i="320"/>
  <c r="J549" i="320" s="1"/>
  <c r="H549" i="320"/>
  <c r="I546" i="320"/>
  <c r="J546" i="320" s="1"/>
  <c r="H546" i="320"/>
  <c r="I544" i="320"/>
  <c r="J544" i="320" s="1"/>
  <c r="H544" i="320"/>
  <c r="I543" i="320"/>
  <c r="J543" i="320" s="1"/>
  <c r="H543" i="320"/>
  <c r="I542" i="320"/>
  <c r="J542" i="320" s="1"/>
  <c r="H542" i="320"/>
  <c r="I541" i="320"/>
  <c r="J541" i="320" s="1"/>
  <c r="H541" i="320"/>
  <c r="I540" i="320"/>
  <c r="J540" i="320" s="1"/>
  <c r="H540" i="320"/>
  <c r="I539" i="320"/>
  <c r="J539" i="320" s="1"/>
  <c r="H539" i="320"/>
  <c r="I538" i="320"/>
  <c r="J538" i="320" s="1"/>
  <c r="H538" i="320"/>
  <c r="I537" i="320"/>
  <c r="J537" i="320" s="1"/>
  <c r="H537" i="320"/>
  <c r="I536" i="320"/>
  <c r="J536" i="320" s="1"/>
  <c r="H536" i="320"/>
  <c r="J531" i="320"/>
  <c r="H531" i="320"/>
  <c r="J530" i="320"/>
  <c r="H530" i="320"/>
  <c r="H528" i="320"/>
  <c r="J526" i="320"/>
  <c r="H526" i="320"/>
  <c r="J525" i="320"/>
  <c r="H525" i="320"/>
  <c r="J523" i="320"/>
  <c r="H523" i="320"/>
  <c r="J522" i="320"/>
  <c r="H522" i="320"/>
  <c r="J520" i="320"/>
  <c r="H520" i="320"/>
  <c r="J519" i="320"/>
  <c r="H519" i="320"/>
  <c r="J517" i="320"/>
  <c r="H517" i="320"/>
  <c r="J516" i="320"/>
  <c r="H516" i="320"/>
  <c r="H511" i="320"/>
  <c r="H508" i="320"/>
  <c r="H507" i="320"/>
  <c r="H506" i="320"/>
  <c r="H505" i="320"/>
  <c r="H503" i="320"/>
  <c r="H502" i="320"/>
  <c r="H501" i="320"/>
  <c r="I496" i="320"/>
  <c r="J496" i="320" s="1"/>
  <c r="H496" i="320"/>
  <c r="I495" i="320"/>
  <c r="J495" i="320" s="1"/>
  <c r="H495" i="320"/>
  <c r="I493" i="320"/>
  <c r="J493" i="320" s="1"/>
  <c r="H493" i="320"/>
  <c r="I492" i="320"/>
  <c r="J492" i="320" s="1"/>
  <c r="H492" i="320"/>
  <c r="I491" i="320"/>
  <c r="J491" i="320" s="1"/>
  <c r="H491" i="320"/>
  <c r="I486" i="320"/>
  <c r="J486" i="320" s="1"/>
  <c r="H486" i="320"/>
  <c r="I480" i="320"/>
  <c r="J480" i="320" s="1"/>
  <c r="H480" i="320"/>
  <c r="I479" i="320"/>
  <c r="J479" i="320" s="1"/>
  <c r="H479" i="320"/>
  <c r="I478" i="320"/>
  <c r="J478" i="320" s="1"/>
  <c r="H478" i="320"/>
  <c r="I477" i="320"/>
  <c r="J477" i="320" s="1"/>
  <c r="H477" i="320"/>
  <c r="I476" i="320"/>
  <c r="J476" i="320" s="1"/>
  <c r="H476" i="320"/>
  <c r="I475" i="320"/>
  <c r="J475" i="320" s="1"/>
  <c r="H475" i="320"/>
  <c r="I474" i="320"/>
  <c r="J474" i="320" s="1"/>
  <c r="H474" i="320"/>
  <c r="I472" i="320"/>
  <c r="J472" i="320" s="1"/>
  <c r="H472" i="320"/>
  <c r="I471" i="320"/>
  <c r="J471" i="320" s="1"/>
  <c r="H471" i="320"/>
  <c r="H466" i="320"/>
  <c r="I464" i="320"/>
  <c r="J464" i="320" s="1"/>
  <c r="H464" i="320"/>
  <c r="I463" i="320"/>
  <c r="J463" i="320" s="1"/>
  <c r="H463" i="320"/>
  <c r="H462" i="320"/>
  <c r="I460" i="320"/>
  <c r="J460" i="320" s="1"/>
  <c r="H460" i="320"/>
  <c r="H457" i="320"/>
  <c r="H455" i="320"/>
  <c r="H454" i="320"/>
  <c r="H452" i="320"/>
  <c r="I447" i="320"/>
  <c r="J447" i="320" s="1"/>
  <c r="H447" i="320"/>
  <c r="J446" i="320"/>
  <c r="H446" i="320"/>
  <c r="J445" i="320"/>
  <c r="H445" i="320"/>
  <c r="J444" i="320"/>
  <c r="H444" i="320"/>
  <c r="J442" i="320"/>
  <c r="H442" i="320"/>
  <c r="J441" i="320"/>
  <c r="H441" i="320"/>
  <c r="J439" i="320"/>
  <c r="H439" i="320"/>
  <c r="J438" i="320"/>
  <c r="H438" i="320"/>
  <c r="J437" i="320"/>
  <c r="H437" i="320"/>
  <c r="J434" i="320"/>
  <c r="H434" i="320"/>
  <c r="J433" i="320"/>
  <c r="H433" i="320"/>
  <c r="J431" i="320"/>
  <c r="H431" i="320"/>
  <c r="J428" i="320"/>
  <c r="H428" i="320"/>
  <c r="J427" i="320"/>
  <c r="H427" i="320"/>
  <c r="J426" i="320"/>
  <c r="H426" i="320"/>
  <c r="I424" i="320"/>
  <c r="J424" i="320" s="1"/>
  <c r="H424" i="320"/>
  <c r="H421" i="320"/>
  <c r="I420" i="320"/>
  <c r="J420" i="320" s="1"/>
  <c r="H420" i="320"/>
  <c r="I419" i="320"/>
  <c r="J419" i="320" s="1"/>
  <c r="H419" i="320"/>
  <c r="I418" i="320"/>
  <c r="J418" i="320" s="1"/>
  <c r="H418" i="320"/>
  <c r="I417" i="320"/>
  <c r="J417" i="320" s="1"/>
  <c r="H417" i="320"/>
  <c r="I416" i="320"/>
  <c r="J416" i="320" s="1"/>
  <c r="H416" i="320"/>
  <c r="H414" i="320"/>
  <c r="I413" i="320"/>
  <c r="J413" i="320" s="1"/>
  <c r="H413" i="320"/>
  <c r="H411" i="320"/>
  <c r="I409" i="320"/>
  <c r="J409" i="320" s="1"/>
  <c r="H409" i="320"/>
  <c r="I407" i="320"/>
  <c r="J407" i="320" s="1"/>
  <c r="H407" i="320"/>
  <c r="I405" i="320"/>
  <c r="J405" i="320" s="1"/>
  <c r="H405" i="320"/>
  <c r="H404" i="320"/>
  <c r="H399" i="320"/>
  <c r="H398" i="320"/>
  <c r="H397" i="320"/>
  <c r="I395" i="320"/>
  <c r="J395" i="320" s="1"/>
  <c r="H395" i="320"/>
  <c r="I394" i="320"/>
  <c r="J394" i="320" s="1"/>
  <c r="H394" i="320"/>
  <c r="I389" i="320"/>
  <c r="J389" i="320" s="1"/>
  <c r="H389" i="320"/>
  <c r="I388" i="320"/>
  <c r="J388" i="320" s="1"/>
  <c r="H388" i="320"/>
  <c r="I387" i="320"/>
  <c r="J387" i="320" s="1"/>
  <c r="H387" i="320"/>
  <c r="I364" i="320"/>
  <c r="J364" i="320" s="1"/>
  <c r="H364" i="320"/>
  <c r="I363" i="320"/>
  <c r="J363" i="320" s="1"/>
  <c r="H363" i="320"/>
  <c r="H361" i="320"/>
  <c r="J360" i="320"/>
  <c r="H360" i="320"/>
  <c r="J359" i="320"/>
  <c r="H359" i="320"/>
  <c r="J358" i="320"/>
  <c r="H358" i="320"/>
  <c r="J357" i="320"/>
  <c r="H357" i="320"/>
  <c r="J356" i="320"/>
  <c r="H356" i="320"/>
  <c r="J355" i="320"/>
  <c r="H355" i="320"/>
  <c r="J354" i="320"/>
  <c r="H354" i="320"/>
  <c r="H352" i="320"/>
  <c r="H351" i="320"/>
  <c r="H349" i="320"/>
  <c r="I348" i="320"/>
  <c r="J348" i="320" s="1"/>
  <c r="H348" i="320"/>
  <c r="H346" i="320"/>
  <c r="H345" i="320"/>
  <c r="I343" i="320"/>
  <c r="J343" i="320" s="1"/>
  <c r="H343" i="320"/>
  <c r="J342" i="320"/>
  <c r="H342" i="320"/>
  <c r="J341" i="320"/>
  <c r="H341" i="320"/>
  <c r="J339" i="320"/>
  <c r="H339" i="320"/>
  <c r="J338" i="320"/>
  <c r="H338" i="320"/>
  <c r="I335" i="320"/>
  <c r="J335" i="320" s="1"/>
  <c r="H335" i="320"/>
  <c r="H333" i="320"/>
  <c r="H330" i="320"/>
  <c r="J325" i="320"/>
  <c r="H325" i="320"/>
  <c r="I324" i="320"/>
  <c r="J324" i="320" s="1"/>
  <c r="H324" i="320"/>
  <c r="I323" i="320"/>
  <c r="J323" i="320" s="1"/>
  <c r="H323" i="320"/>
  <c r="I321" i="320"/>
  <c r="J321" i="320" s="1"/>
  <c r="H321" i="320"/>
  <c r="I320" i="320"/>
  <c r="J320" i="320" s="1"/>
  <c r="H320" i="320"/>
  <c r="H318" i="320"/>
  <c r="H317" i="320"/>
  <c r="I314" i="320"/>
  <c r="J314" i="320" s="1"/>
  <c r="H314" i="320"/>
  <c r="H311" i="320"/>
  <c r="H310" i="320"/>
  <c r="H309" i="320"/>
  <c r="I307" i="320"/>
  <c r="J307" i="320" s="1"/>
  <c r="H307" i="320"/>
  <c r="I306" i="320"/>
  <c r="J306" i="320" s="1"/>
  <c r="H306" i="320"/>
  <c r="I302" i="320"/>
  <c r="J302" i="320" s="1"/>
  <c r="H302" i="320"/>
  <c r="I301" i="320"/>
  <c r="J301" i="320" s="1"/>
  <c r="H301" i="320"/>
  <c r="H298" i="320"/>
  <c r="J297" i="320"/>
  <c r="H297" i="320"/>
  <c r="J296" i="320"/>
  <c r="H296" i="320"/>
  <c r="J294" i="320"/>
  <c r="H294" i="320"/>
  <c r="H293" i="320"/>
  <c r="H292" i="320"/>
  <c r="H290" i="320"/>
  <c r="H289" i="320"/>
  <c r="H288" i="320"/>
  <c r="I286" i="320"/>
  <c r="J286" i="320" s="1"/>
  <c r="H286" i="320"/>
  <c r="I284" i="320"/>
  <c r="J284" i="320" s="1"/>
  <c r="H284" i="320"/>
  <c r="I282" i="320"/>
  <c r="J282" i="320" s="1"/>
  <c r="H282" i="320"/>
  <c r="I281" i="320"/>
  <c r="J281" i="320" s="1"/>
  <c r="H281" i="320"/>
  <c r="I280" i="320"/>
  <c r="J280" i="320" s="1"/>
  <c r="H280" i="320"/>
  <c r="I277" i="320"/>
  <c r="J277" i="320" s="1"/>
  <c r="H277" i="320"/>
  <c r="H276" i="320"/>
  <c r="H274" i="320"/>
  <c r="I272" i="320"/>
  <c r="J272" i="320" s="1"/>
  <c r="H272" i="320"/>
  <c r="H271" i="320"/>
  <c r="I270" i="320"/>
  <c r="J270" i="320" s="1"/>
  <c r="H270" i="320"/>
  <c r="I269" i="320"/>
  <c r="J269" i="320" s="1"/>
  <c r="H269" i="320"/>
  <c r="I264" i="320"/>
  <c r="J264" i="320" s="1"/>
  <c r="H264" i="320"/>
  <c r="I263" i="320"/>
  <c r="J263" i="320" s="1"/>
  <c r="H263" i="320"/>
  <c r="I261" i="320"/>
  <c r="J261" i="320" s="1"/>
  <c r="H261" i="320"/>
  <c r="H260" i="320"/>
  <c r="H258" i="320"/>
  <c r="H257" i="320"/>
  <c r="I255" i="320"/>
  <c r="J255" i="320" s="1"/>
  <c r="H255" i="320"/>
  <c r="I253" i="320"/>
  <c r="J253" i="320" s="1"/>
  <c r="H253" i="320"/>
  <c r="H251" i="320"/>
  <c r="I249" i="320"/>
  <c r="J249" i="320" s="1"/>
  <c r="H249" i="320"/>
  <c r="I248" i="320"/>
  <c r="J248" i="320" s="1"/>
  <c r="H248" i="320"/>
  <c r="I247" i="320"/>
  <c r="J247" i="320" s="1"/>
  <c r="H247" i="320"/>
  <c r="I244" i="320"/>
  <c r="J244" i="320" s="1"/>
  <c r="H244" i="320"/>
  <c r="H242" i="320"/>
  <c r="I241" i="320"/>
  <c r="J241" i="320" s="1"/>
  <c r="H241" i="320"/>
  <c r="I240" i="320"/>
  <c r="J240" i="320" s="1"/>
  <c r="H240" i="320"/>
  <c r="H235" i="320"/>
  <c r="H233" i="320"/>
  <c r="H230" i="320"/>
  <c r="I227" i="320"/>
  <c r="J227" i="320" s="1"/>
  <c r="H227" i="320"/>
  <c r="I225" i="320"/>
  <c r="J225" i="320" s="1"/>
  <c r="H225" i="320"/>
  <c r="I224" i="320"/>
  <c r="J224" i="320" s="1"/>
  <c r="H224" i="320"/>
  <c r="I219" i="320"/>
  <c r="J219" i="320" s="1"/>
  <c r="H219" i="320"/>
  <c r="H218" i="320"/>
  <c r="I216" i="320"/>
  <c r="J216" i="320" s="1"/>
  <c r="H216" i="320"/>
  <c r="I215" i="320"/>
  <c r="J215" i="320" s="1"/>
  <c r="H215" i="320"/>
  <c r="I213" i="320"/>
  <c r="J213" i="320" s="1"/>
  <c r="H213" i="320"/>
  <c r="I212" i="320"/>
  <c r="J212" i="320" s="1"/>
  <c r="H212" i="320"/>
  <c r="H208" i="320"/>
  <c r="H207" i="320"/>
  <c r="H205" i="320"/>
  <c r="H203" i="320"/>
  <c r="H202" i="320"/>
  <c r="H201" i="320"/>
  <c r="I198" i="320"/>
  <c r="J198" i="320" s="1"/>
  <c r="H198" i="320"/>
  <c r="I196" i="320"/>
  <c r="J196" i="320" s="1"/>
  <c r="H196" i="320"/>
  <c r="H193" i="320"/>
  <c r="I192" i="320"/>
  <c r="J192" i="320" s="1"/>
  <c r="H192" i="320"/>
  <c r="H189" i="320"/>
  <c r="I188" i="320"/>
  <c r="J188" i="320" s="1"/>
  <c r="H188" i="320"/>
  <c r="I187" i="320"/>
  <c r="J187" i="320" s="1"/>
  <c r="H187" i="320"/>
  <c r="I182" i="320"/>
  <c r="J182" i="320" s="1"/>
  <c r="H182" i="320"/>
  <c r="I176" i="320"/>
  <c r="J176" i="320" s="1"/>
  <c r="H176" i="320"/>
  <c r="I175" i="320"/>
  <c r="J175" i="320" s="1"/>
  <c r="H175" i="320"/>
  <c r="I171" i="320"/>
  <c r="J171" i="320" s="1"/>
  <c r="H171" i="320"/>
  <c r="I170" i="320"/>
  <c r="J170" i="320" s="1"/>
  <c r="H170" i="320"/>
  <c r="J166" i="320"/>
  <c r="H166" i="320"/>
  <c r="J164" i="320"/>
  <c r="H164" i="320"/>
  <c r="J163" i="320"/>
  <c r="H163" i="320"/>
  <c r="J161" i="320"/>
  <c r="H161" i="320"/>
  <c r="J160" i="320"/>
  <c r="H160" i="320"/>
  <c r="J155" i="320"/>
  <c r="H155" i="320"/>
  <c r="J154" i="320"/>
  <c r="H154" i="320"/>
  <c r="J151" i="320"/>
  <c r="H151" i="320"/>
  <c r="J149" i="320"/>
  <c r="H149" i="320"/>
  <c r="J148" i="320"/>
  <c r="H148" i="320"/>
  <c r="J145" i="320"/>
  <c r="H145" i="320"/>
  <c r="J141" i="320"/>
  <c r="H141" i="320"/>
  <c r="J138" i="320"/>
  <c r="H138" i="320"/>
  <c r="J137" i="320"/>
  <c r="H137" i="320"/>
  <c r="H133" i="320"/>
  <c r="I132" i="320"/>
  <c r="J132" i="320" s="1"/>
  <c r="H132" i="320"/>
  <c r="I131" i="320"/>
  <c r="J131" i="320" s="1"/>
  <c r="H131" i="320"/>
  <c r="I129" i="320"/>
  <c r="J129" i="320" s="1"/>
  <c r="H129" i="320"/>
  <c r="I128" i="320"/>
  <c r="J128" i="320" s="1"/>
  <c r="H128" i="320"/>
  <c r="I127" i="320"/>
  <c r="J127" i="320" s="1"/>
  <c r="H127" i="320"/>
  <c r="I126" i="320"/>
  <c r="J126" i="320" s="1"/>
  <c r="H126" i="320"/>
  <c r="I124" i="320"/>
  <c r="J124" i="320" s="1"/>
  <c r="H124" i="320"/>
  <c r="I123" i="320"/>
  <c r="J123" i="320" s="1"/>
  <c r="H123" i="320"/>
  <c r="I121" i="320"/>
  <c r="J121" i="320" s="1"/>
  <c r="H121" i="320"/>
  <c r="I120" i="320"/>
  <c r="J120" i="320" s="1"/>
  <c r="H120" i="320"/>
  <c r="I119" i="320"/>
  <c r="J119" i="320" s="1"/>
  <c r="H119" i="320"/>
  <c r="I118" i="320"/>
  <c r="J118" i="320" s="1"/>
  <c r="H118" i="320"/>
  <c r="I117" i="320"/>
  <c r="J117" i="320" s="1"/>
  <c r="H117" i="320"/>
  <c r="I116" i="320"/>
  <c r="J116" i="320" s="1"/>
  <c r="H116" i="320"/>
  <c r="M111" i="320"/>
  <c r="J110" i="320"/>
  <c r="H110" i="320"/>
  <c r="M109" i="320"/>
  <c r="M108" i="320"/>
  <c r="J106" i="320"/>
  <c r="H106" i="320"/>
  <c r="J105" i="320"/>
  <c r="H105" i="320"/>
  <c r="J102" i="320"/>
  <c r="H102" i="320"/>
  <c r="J101" i="320"/>
  <c r="H101" i="320"/>
  <c r="J99" i="320"/>
  <c r="H99" i="320"/>
  <c r="J96" i="320"/>
  <c r="H96" i="320"/>
  <c r="M93" i="320"/>
  <c r="I92" i="320"/>
  <c r="J92" i="320" s="1"/>
  <c r="H92" i="320"/>
  <c r="M91" i="320"/>
  <c r="M90" i="320"/>
  <c r="J88" i="320"/>
  <c r="H88" i="320"/>
  <c r="J382" i="320"/>
  <c r="H382" i="320"/>
  <c r="J381" i="320"/>
  <c r="H381" i="320"/>
  <c r="J380" i="320"/>
  <c r="H380" i="320"/>
  <c r="I375" i="320"/>
  <c r="J375" i="320" s="1"/>
  <c r="H375" i="320"/>
  <c r="I374" i="320"/>
  <c r="J374" i="320" s="1"/>
  <c r="H374" i="320"/>
  <c r="I373" i="320"/>
  <c r="J373" i="320" s="1"/>
  <c r="H373" i="320"/>
  <c r="I372" i="320"/>
  <c r="J372" i="320" s="1"/>
  <c r="H372" i="320"/>
  <c r="I371" i="320"/>
  <c r="J371" i="320" s="1"/>
  <c r="H371" i="320"/>
  <c r="I370" i="320"/>
  <c r="J370" i="320" s="1"/>
  <c r="H370" i="320"/>
  <c r="I369" i="320"/>
  <c r="J369" i="320" s="1"/>
  <c r="H369" i="320"/>
  <c r="I85" i="320"/>
  <c r="J85" i="320" s="1"/>
  <c r="H85" i="320"/>
  <c r="I83" i="320"/>
  <c r="J83" i="320" s="1"/>
  <c r="H83" i="320"/>
  <c r="I78" i="320"/>
  <c r="J78" i="320" s="1"/>
  <c r="H78" i="320"/>
  <c r="I77" i="320"/>
  <c r="J77" i="320" s="1"/>
  <c r="H77" i="320"/>
  <c r="I76" i="320"/>
  <c r="J76" i="320" s="1"/>
  <c r="H76" i="320"/>
  <c r="I74" i="320"/>
  <c r="J74" i="320" s="1"/>
  <c r="H74" i="320"/>
  <c r="I71" i="320"/>
  <c r="J71" i="320" s="1"/>
  <c r="H71" i="320"/>
  <c r="I70" i="320"/>
  <c r="J70" i="320" s="1"/>
  <c r="H70" i="320"/>
  <c r="I69" i="320"/>
  <c r="J69" i="320" s="1"/>
  <c r="H69" i="320"/>
  <c r="I65" i="320"/>
  <c r="J65" i="320" s="1"/>
  <c r="H65" i="320"/>
  <c r="I64" i="320"/>
  <c r="J64" i="320" s="1"/>
  <c r="H64" i="320"/>
  <c r="I56" i="320"/>
  <c r="J56" i="320" s="1"/>
  <c r="H56" i="320"/>
  <c r="I55" i="320"/>
  <c r="J55" i="320" s="1"/>
  <c r="H55" i="320"/>
  <c r="I54" i="320"/>
  <c r="J54" i="320" s="1"/>
  <c r="H54" i="320"/>
  <c r="I51" i="320"/>
  <c r="J51" i="320" s="1"/>
  <c r="H51" i="320"/>
  <c r="I50" i="320"/>
  <c r="J50" i="320" s="1"/>
  <c r="H50" i="320"/>
  <c r="I49" i="320"/>
  <c r="J49" i="320" s="1"/>
  <c r="H49" i="320"/>
  <c r="I48" i="320"/>
  <c r="J48" i="320" s="1"/>
  <c r="H48" i="320"/>
  <c r="I47" i="320"/>
  <c r="J47" i="320" s="1"/>
  <c r="H47" i="320"/>
  <c r="I46" i="320"/>
  <c r="J46" i="320" s="1"/>
  <c r="H46" i="320"/>
  <c r="I42" i="320"/>
  <c r="J42" i="320" s="1"/>
  <c r="H42" i="320"/>
  <c r="I40" i="320"/>
  <c r="J40" i="320" s="1"/>
  <c r="H40" i="320"/>
  <c r="I36" i="320"/>
  <c r="J36" i="320" s="1"/>
  <c r="H36" i="320"/>
  <c r="I35" i="320"/>
  <c r="J35" i="320" s="1"/>
  <c r="H35" i="320"/>
  <c r="I33" i="320"/>
  <c r="J33" i="320" s="1"/>
  <c r="H33" i="320"/>
  <c r="I32" i="320"/>
  <c r="J32" i="320" s="1"/>
  <c r="H32" i="320"/>
  <c r="I29" i="320"/>
  <c r="J29" i="320" s="1"/>
  <c r="H29" i="320"/>
  <c r="J27" i="320"/>
  <c r="H27" i="320"/>
  <c r="M25" i="320"/>
  <c r="I22" i="320"/>
  <c r="J22" i="320" s="1"/>
  <c r="H22" i="320"/>
  <c r="M21" i="320"/>
  <c r="M20" i="320"/>
  <c r="M11" i="320"/>
  <c r="H10" i="320"/>
  <c r="I9" i="320"/>
  <c r="I10" i="320" s="1"/>
  <c r="J10" i="320" s="1"/>
  <c r="H9" i="320"/>
  <c r="M8" i="320"/>
  <c r="J7" i="320"/>
  <c r="H7" i="320"/>
  <c r="C557" i="320"/>
  <c r="D19" i="254"/>
  <c r="C560" i="320"/>
  <c r="C561" i="320"/>
  <c r="C563" i="320"/>
  <c r="C566" i="320"/>
  <c r="C567" i="320"/>
  <c r="C571" i="320"/>
  <c r="C574" i="320"/>
  <c r="C575" i="320"/>
  <c r="C577" i="320"/>
  <c r="C579" i="320"/>
  <c r="C580" i="320"/>
  <c r="C582" i="320"/>
  <c r="C585" i="320"/>
  <c r="C586" i="320"/>
  <c r="C592" i="320"/>
  <c r="C597" i="320"/>
  <c r="C598" i="320"/>
  <c r="C599" i="320" s="1"/>
  <c r="C600" i="320"/>
  <c r="C601" i="320"/>
  <c r="C602" i="320"/>
  <c r="C604" i="320"/>
  <c r="C606" i="320"/>
  <c r="C607" i="320"/>
  <c r="C608" i="320"/>
  <c r="C609" i="320"/>
  <c r="C611" i="320"/>
  <c r="C612" i="320"/>
  <c r="C613" i="320"/>
  <c r="C614" i="320"/>
  <c r="C619" i="320"/>
  <c r="C620" i="320"/>
  <c r="C621" i="320"/>
  <c r="C623" i="320"/>
  <c r="C624" i="320"/>
  <c r="C625" i="320"/>
  <c r="C628" i="320"/>
  <c r="J9" i="320" l="1"/>
  <c r="C631" i="320"/>
  <c r="D17" i="254"/>
  <c r="C636" i="320"/>
  <c r="C637" i="320"/>
  <c r="C639" i="320"/>
  <c r="C640" i="320"/>
  <c r="C642" i="320"/>
  <c r="C643" i="320"/>
  <c r="C645" i="320"/>
  <c r="C646" i="320"/>
  <c r="K118" i="162" l="1"/>
  <c r="H54" i="159"/>
  <c r="M56" i="159"/>
  <c r="L56" i="159"/>
  <c r="F56" i="159"/>
  <c r="M55" i="159"/>
  <c r="L55" i="159"/>
  <c r="H55" i="159"/>
  <c r="H57" i="159"/>
  <c r="L57" i="159"/>
  <c r="L58" i="159"/>
  <c r="L59" i="159"/>
  <c r="L60" i="159"/>
  <c r="L61" i="159"/>
  <c r="K62" i="159"/>
  <c r="K64" i="159" s="1"/>
  <c r="L64" i="159" s="1"/>
  <c r="L63" i="159"/>
  <c r="L65" i="159"/>
  <c r="L66" i="159"/>
  <c r="K72" i="285"/>
  <c r="L72" i="285" s="1"/>
  <c r="C647" i="320"/>
  <c r="D15" i="254"/>
  <c r="C649" i="320"/>
  <c r="C651" i="320"/>
  <c r="C656" i="320"/>
  <c r="C657" i="320"/>
  <c r="C658" i="320" s="1"/>
  <c r="C659" i="320"/>
  <c r="C661" i="320"/>
  <c r="C663" i="320"/>
  <c r="C667" i="320"/>
  <c r="C668" i="320"/>
  <c r="C671" i="320"/>
  <c r="C672" i="320"/>
  <c r="C674" i="320" s="1"/>
  <c r="C678" i="320"/>
  <c r="C681" i="320"/>
  <c r="C683" i="320"/>
  <c r="C684" i="320" s="1"/>
  <c r="H56" i="159" l="1"/>
  <c r="L62" i="159"/>
  <c r="K155" i="285"/>
  <c r="L155" i="285" s="1"/>
  <c r="K153" i="285"/>
  <c r="L153" i="285" s="1"/>
  <c r="K151" i="285"/>
  <c r="L151" i="285" s="1"/>
  <c r="K149" i="285"/>
  <c r="L149" i="285" s="1"/>
  <c r="K147" i="285"/>
  <c r="L147" i="285" s="1"/>
  <c r="K145" i="285"/>
  <c r="L145" i="285" s="1"/>
  <c r="K143" i="285"/>
  <c r="L143" i="285" s="1"/>
  <c r="K141" i="285"/>
  <c r="L141" i="285" s="1"/>
  <c r="K137" i="285"/>
  <c r="L137" i="285" s="1"/>
  <c r="K135" i="285"/>
  <c r="L135" i="285" s="1"/>
  <c r="K133" i="285"/>
  <c r="L133" i="285" s="1"/>
  <c r="K119" i="285"/>
  <c r="K117" i="285"/>
  <c r="K89" i="285"/>
  <c r="K87" i="285"/>
  <c r="K85" i="285"/>
  <c r="K81" i="285"/>
  <c r="K79" i="285"/>
  <c r="C685" i="320"/>
  <c r="C687" i="320"/>
  <c r="C689" i="320"/>
  <c r="D13" i="254"/>
  <c r="F115" i="159" l="1"/>
  <c r="H69" i="159"/>
  <c r="H68" i="159"/>
  <c r="H67" i="159"/>
  <c r="H73" i="159"/>
  <c r="L68" i="159"/>
  <c r="L67" i="159"/>
  <c r="H117" i="159"/>
  <c r="H118" i="159"/>
  <c r="H120" i="159"/>
  <c r="H122" i="159"/>
  <c r="H123" i="159"/>
  <c r="H124" i="159"/>
  <c r="H125" i="159"/>
  <c r="F126" i="159"/>
  <c r="F128" i="159" s="1"/>
  <c r="H127" i="159"/>
  <c r="H129" i="159"/>
  <c r="H130" i="159"/>
  <c r="H131" i="159"/>
  <c r="H133" i="159"/>
  <c r="H135" i="159"/>
  <c r="H136" i="159"/>
  <c r="H116" i="159"/>
  <c r="H114" i="159"/>
  <c r="L46" i="272"/>
  <c r="K44" i="272"/>
  <c r="H46" i="272"/>
  <c r="M46" i="272"/>
  <c r="H47" i="272"/>
  <c r="L47" i="272"/>
  <c r="M47" i="272"/>
  <c r="H49" i="272"/>
  <c r="L49" i="272"/>
  <c r="M49" i="272"/>
  <c r="H51" i="272"/>
  <c r="L51" i="272"/>
  <c r="M51" i="272"/>
  <c r="H52" i="272"/>
  <c r="L52" i="272"/>
  <c r="M52" i="272"/>
  <c r="H53" i="272"/>
  <c r="L53" i="272"/>
  <c r="M53" i="272"/>
  <c r="K54" i="272"/>
  <c r="H55" i="272"/>
  <c r="L55" i="272"/>
  <c r="M55" i="272"/>
  <c r="C695" i="320"/>
  <c r="C700" i="320"/>
  <c r="C701" i="320"/>
  <c r="C702" i="320" s="1"/>
  <c r="C703" i="320"/>
  <c r="C704" i="320"/>
  <c r="D11" i="254"/>
  <c r="C705" i="320"/>
  <c r="C707" i="320"/>
  <c r="C709" i="320"/>
  <c r="C710" i="320"/>
  <c r="C711" i="320"/>
  <c r="C712" i="320"/>
  <c r="C714" i="320"/>
  <c r="C715" i="320"/>
  <c r="C716" i="320"/>
  <c r="C717" i="320"/>
  <c r="C722" i="320"/>
  <c r="H115" i="159" l="1"/>
  <c r="L69" i="159"/>
  <c r="H128" i="159"/>
  <c r="H126" i="159"/>
  <c r="H96" i="159"/>
  <c r="K44" i="166"/>
  <c r="K34" i="212"/>
  <c r="K32" i="212"/>
  <c r="K28" i="301"/>
  <c r="J32" i="297"/>
  <c r="K28" i="308"/>
  <c r="J32" i="299"/>
  <c r="K32" i="288"/>
  <c r="K14" i="285"/>
  <c r="K95" i="282"/>
  <c r="K36" i="250"/>
  <c r="K30" i="212"/>
  <c r="K104" i="162"/>
  <c r="C723" i="320"/>
  <c r="C14" i="278"/>
  <c r="C724" i="320"/>
  <c r="C13" i="278"/>
  <c r="H134" i="285" l="1"/>
  <c r="M134" i="285"/>
  <c r="L134" i="285"/>
  <c r="M133" i="285"/>
  <c r="H133" i="285"/>
  <c r="H51" i="285"/>
  <c r="L51" i="285"/>
  <c r="M51" i="285"/>
  <c r="B52" i="285"/>
  <c r="M52" i="285"/>
  <c r="M157" i="285"/>
  <c r="L157" i="285"/>
  <c r="M156" i="285"/>
  <c r="L156" i="285"/>
  <c r="H157" i="285"/>
  <c r="H156" i="285"/>
  <c r="M154" i="285"/>
  <c r="L154" i="285"/>
  <c r="M152" i="285"/>
  <c r="L152" i="285"/>
  <c r="M150" i="285"/>
  <c r="L150" i="285"/>
  <c r="M148" i="285"/>
  <c r="L148" i="285"/>
  <c r="M146" i="285"/>
  <c r="L146" i="285"/>
  <c r="M144" i="285"/>
  <c r="L144" i="285"/>
  <c r="M142" i="285"/>
  <c r="L142" i="285"/>
  <c r="M140" i="285"/>
  <c r="L140" i="285"/>
  <c r="M139" i="285"/>
  <c r="L139" i="285"/>
  <c r="M138" i="285"/>
  <c r="L138" i="285"/>
  <c r="M136" i="285"/>
  <c r="L136" i="285"/>
  <c r="H155" i="285"/>
  <c r="M155" i="285" s="1"/>
  <c r="H154" i="285"/>
  <c r="H153" i="285"/>
  <c r="M153" i="285" s="1"/>
  <c r="H152" i="285"/>
  <c r="H151" i="285"/>
  <c r="M151" i="285" s="1"/>
  <c r="H150" i="285"/>
  <c r="H149" i="285"/>
  <c r="M149" i="285" s="1"/>
  <c r="H148" i="285"/>
  <c r="H147" i="285"/>
  <c r="M147" i="285" s="1"/>
  <c r="H146" i="285"/>
  <c r="H145" i="285"/>
  <c r="M145" i="285" s="1"/>
  <c r="H144" i="285"/>
  <c r="H143" i="285"/>
  <c r="M143" i="285" s="1"/>
  <c r="H142" i="285"/>
  <c r="H141" i="285"/>
  <c r="M141" i="285" s="1"/>
  <c r="H140" i="285"/>
  <c r="H139" i="285"/>
  <c r="H138" i="285"/>
  <c r="H137" i="285"/>
  <c r="M137" i="285" s="1"/>
  <c r="H136" i="285"/>
  <c r="H135" i="285"/>
  <c r="M135" i="285" s="1"/>
  <c r="M71" i="285"/>
  <c r="L71" i="285"/>
  <c r="M70" i="285"/>
  <c r="L70" i="285"/>
  <c r="M68" i="285"/>
  <c r="L68" i="285"/>
  <c r="M66" i="285"/>
  <c r="L66" i="285"/>
  <c r="M64" i="285"/>
  <c r="L64" i="285"/>
  <c r="H72" i="285"/>
  <c r="M72" i="285" s="1"/>
  <c r="H71" i="285"/>
  <c r="H70" i="285"/>
  <c r="H69" i="285"/>
  <c r="H68" i="285"/>
  <c r="H67" i="285"/>
  <c r="H66" i="285"/>
  <c r="H65" i="285"/>
  <c r="H64" i="285"/>
  <c r="M49" i="285"/>
  <c r="L49" i="285"/>
  <c r="M47" i="285"/>
  <c r="L47" i="285"/>
  <c r="M46" i="285"/>
  <c r="L46" i="285"/>
  <c r="M45" i="285"/>
  <c r="L45" i="285"/>
  <c r="L44" i="285"/>
  <c r="M43" i="285"/>
  <c r="L43" i="285"/>
  <c r="L42" i="285"/>
  <c r="M41" i="285"/>
  <c r="L41" i="285"/>
  <c r="L40" i="285"/>
  <c r="M39" i="285"/>
  <c r="L39" i="285"/>
  <c r="M38" i="285"/>
  <c r="L38" i="285"/>
  <c r="M37" i="285"/>
  <c r="L37" i="285"/>
  <c r="M36" i="285"/>
  <c r="L36" i="285"/>
  <c r="M35" i="285"/>
  <c r="L35" i="285"/>
  <c r="H50" i="285"/>
  <c r="H49" i="285"/>
  <c r="H48" i="285"/>
  <c r="H47" i="285"/>
  <c r="H46" i="285"/>
  <c r="H45" i="285"/>
  <c r="H44" i="285"/>
  <c r="H43" i="285"/>
  <c r="H42" i="285"/>
  <c r="H41" i="285"/>
  <c r="H40" i="285"/>
  <c r="H39" i="285"/>
  <c r="H38" i="285"/>
  <c r="H37" i="285"/>
  <c r="H36" i="285"/>
  <c r="H35" i="285"/>
  <c r="L69" i="285"/>
  <c r="M69" i="285" s="1"/>
  <c r="L67" i="285"/>
  <c r="K66" i="285"/>
  <c r="L65" i="285"/>
  <c r="M63" i="285"/>
  <c r="L63" i="285"/>
  <c r="H63" i="285"/>
  <c r="L50" i="285"/>
  <c r="L48" i="285"/>
  <c r="K42" i="166"/>
  <c r="L44" i="166"/>
  <c r="M43" i="166"/>
  <c r="L43" i="166"/>
  <c r="M41" i="166"/>
  <c r="L41" i="166"/>
  <c r="H43" i="166"/>
  <c r="H41" i="166"/>
  <c r="C726" i="320"/>
  <c r="C727" i="320"/>
  <c r="C728" i="320"/>
  <c r="C731" i="320"/>
  <c r="M40" i="285" l="1"/>
  <c r="M42" i="285"/>
  <c r="M44" i="285"/>
  <c r="M65" i="285"/>
  <c r="M67" i="285"/>
  <c r="M48" i="285"/>
  <c r="M50" i="285"/>
  <c r="C734" i="320"/>
  <c r="C739" i="320" s="1"/>
  <c r="C740" i="320"/>
  <c r="C742" i="320"/>
  <c r="C743" i="320"/>
  <c r="C745" i="320"/>
  <c r="C746" i="320"/>
  <c r="C748" i="320"/>
  <c r="C749" i="320"/>
  <c r="C750" i="320" s="1"/>
  <c r="K28" i="166" l="1"/>
  <c r="K28" i="272"/>
  <c r="K34" i="271"/>
  <c r="K26" i="271"/>
  <c r="K24" i="270"/>
  <c r="K18" i="270"/>
  <c r="K34" i="267"/>
  <c r="C752" i="320"/>
  <c r="C754" i="320"/>
  <c r="C759" i="320"/>
  <c r="C760" i="320"/>
  <c r="M69" i="306" l="1"/>
  <c r="L69" i="306"/>
  <c r="H69" i="306"/>
  <c r="M68" i="306"/>
  <c r="L68" i="306"/>
  <c r="H68" i="306"/>
  <c r="M67" i="306"/>
  <c r="L67" i="306"/>
  <c r="H67" i="306"/>
  <c r="M66" i="306"/>
  <c r="L66" i="306"/>
  <c r="H66" i="306"/>
  <c r="M65" i="306"/>
  <c r="L65" i="306"/>
  <c r="H65" i="306"/>
  <c r="M64" i="306"/>
  <c r="L64" i="306"/>
  <c r="H64" i="306"/>
  <c r="M63" i="306"/>
  <c r="L63" i="306"/>
  <c r="H63" i="306"/>
  <c r="M62" i="306"/>
  <c r="L62" i="306"/>
  <c r="H62" i="306"/>
  <c r="M61" i="306"/>
  <c r="L61" i="306"/>
  <c r="H61" i="306"/>
  <c r="M60" i="306"/>
  <c r="L60" i="306"/>
  <c r="H60" i="306"/>
  <c r="M59" i="306"/>
  <c r="L59" i="306"/>
  <c r="H59" i="306"/>
  <c r="M58" i="306"/>
  <c r="L58" i="306"/>
  <c r="H58" i="306"/>
  <c r="M57" i="306"/>
  <c r="L57" i="306"/>
  <c r="H57" i="306"/>
  <c r="M56" i="306"/>
  <c r="L56" i="306"/>
  <c r="H56" i="306"/>
  <c r="M55" i="306"/>
  <c r="L55" i="306"/>
  <c r="H55" i="306"/>
  <c r="M54" i="306"/>
  <c r="L54" i="306"/>
  <c r="H54" i="306"/>
  <c r="M53" i="306"/>
  <c r="L53" i="306"/>
  <c r="H53" i="306"/>
  <c r="M52" i="306"/>
  <c r="L52" i="306"/>
  <c r="H52" i="306"/>
  <c r="M51" i="306"/>
  <c r="L51" i="306"/>
  <c r="H51" i="306"/>
  <c r="M50" i="306"/>
  <c r="L50" i="306"/>
  <c r="H50" i="306"/>
  <c r="M68" i="313"/>
  <c r="L68" i="313"/>
  <c r="K68" i="313"/>
  <c r="H68" i="313"/>
  <c r="M67" i="313"/>
  <c r="L67" i="313"/>
  <c r="K67" i="313"/>
  <c r="H67" i="313"/>
  <c r="M66" i="313"/>
  <c r="L66" i="313"/>
  <c r="K66" i="313"/>
  <c r="H66" i="313"/>
  <c r="M65" i="313"/>
  <c r="L65" i="313"/>
  <c r="K65" i="313"/>
  <c r="H65" i="313"/>
  <c r="M64" i="313"/>
  <c r="L64" i="313"/>
  <c r="K64" i="313"/>
  <c r="H64" i="313"/>
  <c r="M63" i="313"/>
  <c r="L63" i="313"/>
  <c r="K63" i="313"/>
  <c r="H63" i="313"/>
  <c r="M62" i="313"/>
  <c r="L62" i="313"/>
  <c r="K62" i="313"/>
  <c r="H62" i="313"/>
  <c r="M61" i="313"/>
  <c r="L61" i="313"/>
  <c r="K61" i="313"/>
  <c r="H61" i="313"/>
  <c r="M60" i="313"/>
  <c r="L60" i="313"/>
  <c r="K60" i="313"/>
  <c r="H60" i="313"/>
  <c r="M59" i="313"/>
  <c r="L59" i="313"/>
  <c r="K59" i="313"/>
  <c r="H59" i="313"/>
  <c r="M58" i="313"/>
  <c r="L58" i="313"/>
  <c r="K58" i="313"/>
  <c r="H58" i="313"/>
  <c r="M57" i="313"/>
  <c r="L57" i="313"/>
  <c r="K57" i="313"/>
  <c r="H57" i="313"/>
  <c r="M56" i="313"/>
  <c r="L56" i="313"/>
  <c r="K56" i="313"/>
  <c r="H56" i="313"/>
  <c r="M55" i="313"/>
  <c r="L55" i="313"/>
  <c r="K55" i="313"/>
  <c r="H55" i="313"/>
  <c r="M54" i="313"/>
  <c r="L54" i="313"/>
  <c r="K54" i="313"/>
  <c r="H54" i="313"/>
  <c r="M53" i="313"/>
  <c r="L53" i="313"/>
  <c r="K53" i="313"/>
  <c r="H53" i="313"/>
  <c r="M52" i="313"/>
  <c r="L52" i="313"/>
  <c r="K52" i="313"/>
  <c r="H52" i="313"/>
  <c r="M51" i="313"/>
  <c r="L51" i="313"/>
  <c r="K51" i="313"/>
  <c r="H51" i="313"/>
  <c r="M50" i="313"/>
  <c r="L50" i="313"/>
  <c r="K50" i="313"/>
  <c r="H50" i="313"/>
  <c r="M49" i="313"/>
  <c r="L49" i="313"/>
  <c r="K49" i="313"/>
  <c r="H49" i="313"/>
  <c r="M48" i="313"/>
  <c r="L48" i="313"/>
  <c r="K48" i="313"/>
  <c r="H48" i="313"/>
  <c r="M47" i="313"/>
  <c r="L47" i="313"/>
  <c r="K47" i="313"/>
  <c r="H47" i="313"/>
  <c r="M46" i="313"/>
  <c r="L46" i="313"/>
  <c r="K46" i="313"/>
  <c r="H46" i="313"/>
  <c r="M45" i="313"/>
  <c r="L45" i="313"/>
  <c r="K45" i="313"/>
  <c r="H45" i="313"/>
  <c r="M44" i="313"/>
  <c r="L44" i="313"/>
  <c r="K44" i="313"/>
  <c r="H44" i="313"/>
  <c r="M43" i="313"/>
  <c r="L43" i="313"/>
  <c r="K43" i="313"/>
  <c r="H43" i="313"/>
  <c r="M42" i="313"/>
  <c r="L42" i="313"/>
  <c r="K42" i="313"/>
  <c r="H42" i="313"/>
  <c r="M41" i="313"/>
  <c r="L41" i="313"/>
  <c r="K41" i="313"/>
  <c r="H41" i="313"/>
  <c r="F85" i="272"/>
  <c r="F28" i="272"/>
  <c r="F24" i="272"/>
  <c r="F18" i="272"/>
  <c r="F111" i="282"/>
  <c r="F60" i="282"/>
  <c r="F58" i="282"/>
  <c r="F54" i="282"/>
  <c r="F44" i="282"/>
  <c r="F42" i="282"/>
  <c r="F40" i="282"/>
  <c r="F28" i="166"/>
  <c r="L22" i="278"/>
  <c r="T48" i="278"/>
  <c r="S48" i="278"/>
  <c r="R48" i="278"/>
  <c r="Q48" i="278"/>
  <c r="P48" i="278"/>
  <c r="O48" i="278"/>
  <c r="T47" i="278"/>
  <c r="S47" i="278"/>
  <c r="R47" i="278"/>
  <c r="Q47" i="278"/>
  <c r="P47" i="278"/>
  <c r="O47" i="278"/>
  <c r="T46" i="278"/>
  <c r="S46" i="278"/>
  <c r="R46" i="278"/>
  <c r="Q46" i="278"/>
  <c r="P46" i="278"/>
  <c r="O46" i="278"/>
  <c r="T45" i="278"/>
  <c r="S45" i="278"/>
  <c r="R45" i="278"/>
  <c r="Q45" i="278"/>
  <c r="P45" i="278"/>
  <c r="O45" i="278"/>
  <c r="T37" i="278"/>
  <c r="S37" i="278"/>
  <c r="R37" i="278"/>
  <c r="Q37" i="278"/>
  <c r="P37" i="278"/>
  <c r="O37" i="278"/>
  <c r="T36" i="278"/>
  <c r="S36" i="278"/>
  <c r="R36" i="278"/>
  <c r="Q36" i="278"/>
  <c r="P36" i="278"/>
  <c r="O36" i="278"/>
  <c r="T35" i="278"/>
  <c r="S35" i="278"/>
  <c r="R35" i="278"/>
  <c r="Q35" i="278"/>
  <c r="P35" i="278"/>
  <c r="O35" i="278"/>
  <c r="T34" i="278"/>
  <c r="S34" i="278"/>
  <c r="R34" i="278"/>
  <c r="Q34" i="278"/>
  <c r="P34" i="278"/>
  <c r="O34" i="278"/>
  <c r="T92" i="278"/>
  <c r="S92" i="278"/>
  <c r="R92" i="278"/>
  <c r="Q92" i="278"/>
  <c r="P92" i="278"/>
  <c r="O92" i="278"/>
  <c r="T91" i="278"/>
  <c r="S91" i="278"/>
  <c r="R91" i="278"/>
  <c r="Q91" i="278"/>
  <c r="P91" i="278"/>
  <c r="O91" i="278"/>
  <c r="T88" i="278"/>
  <c r="S88" i="278"/>
  <c r="R88" i="278"/>
  <c r="Q88" i="278"/>
  <c r="P88" i="278"/>
  <c r="O88" i="278"/>
  <c r="T87" i="278"/>
  <c r="S87" i="278"/>
  <c r="R87" i="278"/>
  <c r="Q87" i="278"/>
  <c r="P87" i="278"/>
  <c r="O87" i="278"/>
  <c r="T71" i="278"/>
  <c r="S71" i="278"/>
  <c r="R71" i="278"/>
  <c r="Q71" i="278"/>
  <c r="P71" i="278"/>
  <c r="O71" i="278"/>
  <c r="F89" i="282"/>
  <c r="F73" i="282"/>
  <c r="C761" i="320"/>
  <c r="C762" i="320"/>
  <c r="C764" i="320" s="1"/>
  <c r="C766" i="320"/>
  <c r="C770" i="320"/>
  <c r="C771" i="320"/>
  <c r="C774" i="320"/>
  <c r="C775" i="320"/>
  <c r="C777" i="320"/>
  <c r="C781" i="320"/>
  <c r="C784" i="320"/>
  <c r="C786" i="320"/>
  <c r="C787" i="320"/>
  <c r="M33" i="166" l="1"/>
  <c r="L33" i="166"/>
  <c r="M32" i="166"/>
  <c r="L32" i="166"/>
  <c r="M31" i="166"/>
  <c r="L31" i="166"/>
  <c r="M30" i="166"/>
  <c r="L30" i="166"/>
  <c r="M29" i="166"/>
  <c r="L29" i="166"/>
  <c r="L28" i="166"/>
  <c r="M27" i="166"/>
  <c r="L27" i="166"/>
  <c r="H33" i="166"/>
  <c r="H32" i="166"/>
  <c r="H31" i="166"/>
  <c r="H30" i="166"/>
  <c r="H29" i="166"/>
  <c r="H28" i="166"/>
  <c r="H27" i="166"/>
  <c r="M39" i="212"/>
  <c r="L39" i="212"/>
  <c r="M38" i="212"/>
  <c r="L38" i="212"/>
  <c r="M37" i="212"/>
  <c r="L37" i="212"/>
  <c r="M36" i="212"/>
  <c r="L36" i="212"/>
  <c r="M35" i="212"/>
  <c r="L35" i="212"/>
  <c r="L34" i="212"/>
  <c r="M33" i="212"/>
  <c r="L33" i="212"/>
  <c r="L32" i="212"/>
  <c r="M31" i="212"/>
  <c r="L31" i="212"/>
  <c r="M29" i="212"/>
  <c r="L29" i="212"/>
  <c r="H39" i="212"/>
  <c r="H38" i="212"/>
  <c r="H37" i="212"/>
  <c r="H36" i="212"/>
  <c r="H35" i="212"/>
  <c r="H34" i="212"/>
  <c r="H33" i="212"/>
  <c r="H32" i="212"/>
  <c r="H31" i="212"/>
  <c r="H29" i="212"/>
  <c r="H30" i="306"/>
  <c r="M29" i="306"/>
  <c r="L29" i="306"/>
  <c r="K29" i="306"/>
  <c r="H29" i="306"/>
  <c r="M28" i="306"/>
  <c r="L28" i="306"/>
  <c r="K28" i="306"/>
  <c r="H28" i="306"/>
  <c r="M50" i="303"/>
  <c r="L50" i="303"/>
  <c r="F50" i="303"/>
  <c r="H50" i="303" s="1"/>
  <c r="M49" i="303"/>
  <c r="L49" i="303"/>
  <c r="H49" i="303"/>
  <c r="H48" i="303"/>
  <c r="M47" i="303"/>
  <c r="L47" i="303"/>
  <c r="H47" i="303"/>
  <c r="M46" i="303"/>
  <c r="L46" i="303"/>
  <c r="H46" i="303"/>
  <c r="M45" i="303"/>
  <c r="L45" i="303"/>
  <c r="H45" i="303"/>
  <c r="H44" i="303"/>
  <c r="M43" i="303"/>
  <c r="L43" i="303"/>
  <c r="H43" i="303"/>
  <c r="M42" i="303"/>
  <c r="L42" i="303"/>
  <c r="H42" i="303"/>
  <c r="C788" i="320"/>
  <c r="C790" i="320"/>
  <c r="C792" i="320" s="1"/>
  <c r="C795" i="320"/>
  <c r="M34" i="212" l="1"/>
  <c r="M32" i="212"/>
  <c r="M28" i="166"/>
  <c r="M70" i="313"/>
  <c r="L70" i="313"/>
  <c r="M69" i="313"/>
  <c r="L69" i="313"/>
  <c r="M40" i="313"/>
  <c r="L40" i="313"/>
  <c r="M39" i="313"/>
  <c r="L39" i="313"/>
  <c r="M38" i="313"/>
  <c r="L38" i="313"/>
  <c r="M37" i="313"/>
  <c r="L37" i="313"/>
  <c r="M36" i="313"/>
  <c r="L36" i="313"/>
  <c r="M35" i="313"/>
  <c r="L35" i="313"/>
  <c r="M34" i="313"/>
  <c r="L34" i="313"/>
  <c r="M33" i="313"/>
  <c r="L33" i="313"/>
  <c r="M32" i="313"/>
  <c r="L32" i="313"/>
  <c r="M31" i="313"/>
  <c r="L31" i="313"/>
  <c r="H70" i="313"/>
  <c r="H69" i="313"/>
  <c r="H40" i="313"/>
  <c r="H39" i="313"/>
  <c r="H38" i="313"/>
  <c r="H37" i="313"/>
  <c r="H36" i="313"/>
  <c r="H35" i="313"/>
  <c r="H34" i="313"/>
  <c r="H33" i="313"/>
  <c r="H32" i="313"/>
  <c r="H31" i="313"/>
  <c r="H30" i="313"/>
  <c r="M29" i="313"/>
  <c r="L29" i="313"/>
  <c r="K29" i="313"/>
  <c r="H29" i="313"/>
  <c r="M28" i="313"/>
  <c r="L28" i="313"/>
  <c r="K28" i="313"/>
  <c r="H28" i="313"/>
  <c r="F50" i="310"/>
  <c r="H50" i="310" s="1"/>
  <c r="H48" i="310"/>
  <c r="M47" i="310"/>
  <c r="L47" i="310"/>
  <c r="H47" i="310"/>
  <c r="M46" i="310"/>
  <c r="L46" i="310"/>
  <c r="H46" i="310"/>
  <c r="H44" i="310"/>
  <c r="M45" i="296"/>
  <c r="H45" i="296"/>
  <c r="M43" i="296"/>
  <c r="L43" i="296"/>
  <c r="M42" i="296"/>
  <c r="L42" i="296"/>
  <c r="M41" i="296"/>
  <c r="L41" i="296"/>
  <c r="M40" i="296"/>
  <c r="L40" i="296"/>
  <c r="M39" i="296"/>
  <c r="L39" i="296"/>
  <c r="H43" i="296"/>
  <c r="H42" i="296"/>
  <c r="H41" i="296"/>
  <c r="H40" i="296"/>
  <c r="H39" i="296"/>
  <c r="H44" i="296"/>
  <c r="K95" i="272"/>
  <c r="H96" i="272"/>
  <c r="L96" i="272"/>
  <c r="M96" i="272"/>
  <c r="K97" i="272"/>
  <c r="H94" i="272" l="1"/>
  <c r="M93" i="272"/>
  <c r="L93" i="272"/>
  <c r="H93" i="272"/>
  <c r="L94" i="272" l="1"/>
  <c r="M94" i="272" s="1"/>
  <c r="M68" i="314" l="1"/>
  <c r="L68" i="314"/>
  <c r="H68" i="314"/>
  <c r="M67" i="314"/>
  <c r="L67" i="314"/>
  <c r="H67" i="314"/>
  <c r="M66" i="314"/>
  <c r="L66" i="314"/>
  <c r="H66" i="314"/>
  <c r="M65" i="314"/>
  <c r="L65" i="314"/>
  <c r="H65" i="314"/>
  <c r="M64" i="314"/>
  <c r="L64" i="314"/>
  <c r="H64" i="314"/>
  <c r="M63" i="314"/>
  <c r="L63" i="314"/>
  <c r="H63" i="314"/>
  <c r="M62" i="314"/>
  <c r="L62" i="314"/>
  <c r="H62" i="314"/>
  <c r="M61" i="314"/>
  <c r="L61" i="314"/>
  <c r="H61" i="314"/>
  <c r="M60" i="314"/>
  <c r="L60" i="314"/>
  <c r="H60" i="314"/>
  <c r="M59" i="314"/>
  <c r="L59" i="314"/>
  <c r="H59" i="314"/>
  <c r="M66" i="307"/>
  <c r="L66" i="307"/>
  <c r="H66" i="307"/>
  <c r="M65" i="307"/>
  <c r="L65" i="307"/>
  <c r="H65" i="307"/>
  <c r="M64" i="307"/>
  <c r="L64" i="307"/>
  <c r="H64" i="307"/>
  <c r="M63" i="307"/>
  <c r="L63" i="307"/>
  <c r="H63" i="307"/>
  <c r="M62" i="307"/>
  <c r="L62" i="307"/>
  <c r="H62" i="307"/>
  <c r="M61" i="307"/>
  <c r="L61" i="307"/>
  <c r="H61" i="307"/>
  <c r="M60" i="307"/>
  <c r="L60" i="307"/>
  <c r="H60" i="307"/>
  <c r="M23" i="301"/>
  <c r="L23" i="301"/>
  <c r="H23" i="301"/>
  <c r="H22" i="301"/>
  <c r="M23" i="308" l="1"/>
  <c r="L23" i="308"/>
  <c r="M21" i="308"/>
  <c r="L21" i="308"/>
  <c r="M19" i="308"/>
  <c r="L19" i="308"/>
  <c r="H23" i="308"/>
  <c r="H22" i="308"/>
  <c r="H21" i="308"/>
  <c r="H20" i="308"/>
  <c r="H19" i="308"/>
  <c r="H18" i="308"/>
  <c r="L48" i="293"/>
  <c r="M64" i="293"/>
  <c r="L64" i="293"/>
  <c r="H64" i="293"/>
  <c r="M63" i="293"/>
  <c r="L63" i="293"/>
  <c r="H63" i="293"/>
  <c r="M62" i="293"/>
  <c r="L62" i="293"/>
  <c r="H62" i="293"/>
  <c r="M61" i="293"/>
  <c r="L61" i="293"/>
  <c r="H61" i="293"/>
  <c r="M60" i="293"/>
  <c r="L60" i="293"/>
  <c r="H60" i="293"/>
  <c r="M59" i="293"/>
  <c r="L59" i="293"/>
  <c r="H59" i="293"/>
  <c r="M58" i="293"/>
  <c r="L58" i="293"/>
  <c r="H58" i="293"/>
  <c r="M57" i="293"/>
  <c r="L57" i="293"/>
  <c r="H57" i="293"/>
  <c r="M56" i="293"/>
  <c r="L56" i="293"/>
  <c r="H56" i="293"/>
  <c r="M55" i="293"/>
  <c r="L55" i="293"/>
  <c r="H55" i="293"/>
  <c r="M54" i="293"/>
  <c r="L54" i="293"/>
  <c r="H54" i="293"/>
  <c r="M53" i="293"/>
  <c r="L53" i="293"/>
  <c r="H53" i="293"/>
  <c r="M52" i="293"/>
  <c r="L52" i="293"/>
  <c r="H52" i="293"/>
  <c r="M51" i="293"/>
  <c r="L51" i="293"/>
  <c r="H51" i="293"/>
  <c r="M50" i="293"/>
  <c r="L50" i="293"/>
  <c r="H50" i="293"/>
  <c r="F44" i="293"/>
  <c r="H44" i="293" s="1"/>
  <c r="M45" i="293"/>
  <c r="L45" i="293"/>
  <c r="M43" i="293"/>
  <c r="L43" i="293"/>
  <c r="M42" i="293"/>
  <c r="L42" i="293"/>
  <c r="M41" i="293"/>
  <c r="L41" i="293"/>
  <c r="M40" i="293"/>
  <c r="L40" i="293"/>
  <c r="M39" i="293"/>
  <c r="L39" i="293"/>
  <c r="H45" i="293"/>
  <c r="H43" i="293"/>
  <c r="H42" i="293"/>
  <c r="H41" i="293"/>
  <c r="H40" i="293"/>
  <c r="H39" i="293"/>
  <c r="M69" i="292"/>
  <c r="L69" i="292"/>
  <c r="H69" i="292"/>
  <c r="M68" i="292"/>
  <c r="L68" i="292"/>
  <c r="H68" i="292"/>
  <c r="M67" i="292"/>
  <c r="L67" i="292"/>
  <c r="H67" i="292"/>
  <c r="M66" i="292"/>
  <c r="L66" i="292"/>
  <c r="H66" i="292"/>
  <c r="M65" i="292"/>
  <c r="L65" i="292"/>
  <c r="H65" i="292"/>
  <c r="M64" i="292"/>
  <c r="L64" i="292"/>
  <c r="H64" i="292"/>
  <c r="M63" i="292"/>
  <c r="L63" i="292"/>
  <c r="H63" i="292"/>
  <c r="M71" i="291"/>
  <c r="L71" i="291"/>
  <c r="H71" i="291"/>
  <c r="M70" i="291"/>
  <c r="L70" i="291"/>
  <c r="H70" i="291"/>
  <c r="M69" i="291"/>
  <c r="L69" i="291"/>
  <c r="H69" i="291"/>
  <c r="M68" i="291"/>
  <c r="L68" i="291"/>
  <c r="H68" i="291"/>
  <c r="M67" i="291"/>
  <c r="L67" i="291"/>
  <c r="H67" i="291"/>
  <c r="M66" i="291"/>
  <c r="L66" i="291"/>
  <c r="H66" i="291"/>
  <c r="M65" i="291"/>
  <c r="L65" i="291"/>
  <c r="H65" i="291"/>
  <c r="M64" i="291"/>
  <c r="L64" i="291"/>
  <c r="H64" i="291"/>
  <c r="M63" i="291"/>
  <c r="L63" i="291"/>
  <c r="H63" i="291"/>
  <c r="M62" i="291"/>
  <c r="L62" i="291"/>
  <c r="H62" i="291"/>
  <c r="M61" i="291"/>
  <c r="L61" i="291"/>
  <c r="H61" i="291"/>
  <c r="M60" i="291"/>
  <c r="L60" i="291"/>
  <c r="H60" i="291"/>
  <c r="M59" i="291"/>
  <c r="L59" i="291"/>
  <c r="H59" i="291"/>
  <c r="M58" i="291"/>
  <c r="L58" i="291"/>
  <c r="H58" i="291"/>
  <c r="M57" i="291"/>
  <c r="L57" i="291"/>
  <c r="H57" i="291"/>
  <c r="M56" i="291"/>
  <c r="L56" i="291"/>
  <c r="H56" i="291"/>
  <c r="M55" i="291"/>
  <c r="L55" i="291"/>
  <c r="H55" i="291"/>
  <c r="M54" i="291"/>
  <c r="L54" i="291"/>
  <c r="H54" i="291"/>
  <c r="M53" i="291"/>
  <c r="L53" i="291"/>
  <c r="H53" i="291"/>
  <c r="M52" i="291"/>
  <c r="L52" i="291"/>
  <c r="H52" i="291"/>
  <c r="M51" i="291"/>
  <c r="L51" i="291"/>
  <c r="H51" i="291"/>
  <c r="M50" i="291"/>
  <c r="L50" i="291"/>
  <c r="H50" i="291"/>
  <c r="M67" i="275"/>
  <c r="L67" i="275"/>
  <c r="H67" i="275"/>
  <c r="M66" i="275"/>
  <c r="L66" i="275"/>
  <c r="H66" i="275"/>
  <c r="M65" i="275"/>
  <c r="L65" i="275"/>
  <c r="H65" i="275"/>
  <c r="M64" i="275"/>
  <c r="L64" i="275"/>
  <c r="H64" i="275"/>
  <c r="M63" i="275"/>
  <c r="L63" i="275"/>
  <c r="H63" i="275"/>
  <c r="M62" i="275"/>
  <c r="L62" i="275"/>
  <c r="H62" i="275"/>
  <c r="M61" i="275"/>
  <c r="L61" i="275"/>
  <c r="H61" i="275"/>
  <c r="M60" i="275"/>
  <c r="L60" i="275"/>
  <c r="H60" i="275"/>
  <c r="M59" i="275"/>
  <c r="L59" i="275"/>
  <c r="H59" i="275"/>
  <c r="M58" i="275"/>
  <c r="L58" i="275"/>
  <c r="H58" i="275"/>
  <c r="M57" i="275"/>
  <c r="L57" i="275"/>
  <c r="H57" i="275"/>
  <c r="M56" i="275"/>
  <c r="L56" i="275"/>
  <c r="H56" i="275"/>
  <c r="M55" i="275"/>
  <c r="L55" i="275"/>
  <c r="H55" i="275"/>
  <c r="M54" i="275"/>
  <c r="L54" i="275"/>
  <c r="H54" i="275"/>
  <c r="M53" i="275"/>
  <c r="L53" i="275"/>
  <c r="H53" i="275"/>
  <c r="M52" i="275"/>
  <c r="L52" i="275"/>
  <c r="H52" i="275"/>
  <c r="M51" i="275"/>
  <c r="L51" i="275"/>
  <c r="H51" i="275"/>
  <c r="M50" i="275"/>
  <c r="L50" i="275"/>
  <c r="H50" i="275"/>
  <c r="M49" i="275"/>
  <c r="L49" i="275"/>
  <c r="H49" i="275"/>
  <c r="M48" i="275"/>
  <c r="L48" i="275"/>
  <c r="H48" i="275"/>
  <c r="C19" i="278"/>
  <c r="M72" i="286" l="1"/>
  <c r="L72" i="286"/>
  <c r="H72" i="286"/>
  <c r="M71" i="286"/>
  <c r="L71" i="286"/>
  <c r="H71" i="286"/>
  <c r="M70" i="286"/>
  <c r="L70" i="286"/>
  <c r="H70" i="286"/>
  <c r="M69" i="286"/>
  <c r="L69" i="286"/>
  <c r="H69" i="286"/>
  <c r="M68" i="286"/>
  <c r="L68" i="286"/>
  <c r="H68" i="286"/>
  <c r="M67" i="286"/>
  <c r="L67" i="286"/>
  <c r="H67" i="286"/>
  <c r="M66" i="286"/>
  <c r="L66" i="286"/>
  <c r="H66" i="286"/>
  <c r="M65" i="286"/>
  <c r="L65" i="286"/>
  <c r="H65" i="286"/>
  <c r="M64" i="286"/>
  <c r="L64" i="286"/>
  <c r="H64" i="286"/>
  <c r="M63" i="286"/>
  <c r="L63" i="286"/>
  <c r="H63" i="286"/>
  <c r="M62" i="286"/>
  <c r="L62" i="286"/>
  <c r="H62" i="286"/>
  <c r="M61" i="286"/>
  <c r="L61" i="286"/>
  <c r="H61" i="286"/>
  <c r="M60" i="286"/>
  <c r="L60" i="286"/>
  <c r="H60" i="286"/>
  <c r="M59" i="286"/>
  <c r="L59" i="286"/>
  <c r="H59" i="286"/>
  <c r="M58" i="286"/>
  <c r="L58" i="286"/>
  <c r="H58" i="286"/>
  <c r="M57" i="286"/>
  <c r="L57" i="286"/>
  <c r="H57" i="286"/>
  <c r="M56" i="286"/>
  <c r="L56" i="286"/>
  <c r="H56" i="286"/>
  <c r="M55" i="286"/>
  <c r="L55" i="286"/>
  <c r="H55" i="286"/>
  <c r="M54" i="286"/>
  <c r="L54" i="286"/>
  <c r="H54" i="286"/>
  <c r="M53" i="286"/>
  <c r="L53" i="286"/>
  <c r="H53" i="286"/>
  <c r="M52" i="286"/>
  <c r="L52" i="286"/>
  <c r="H52" i="286"/>
  <c r="M51" i="286"/>
  <c r="L51" i="286"/>
  <c r="H51" i="286"/>
  <c r="M50" i="286"/>
  <c r="L50" i="286"/>
  <c r="H50" i="286"/>
  <c r="M49" i="286"/>
  <c r="L49" i="286"/>
  <c r="H49" i="286"/>
  <c r="M48" i="286"/>
  <c r="L48" i="286"/>
  <c r="H48" i="286"/>
  <c r="M47" i="286"/>
  <c r="L47" i="286"/>
  <c r="H47" i="286"/>
  <c r="M46" i="286"/>
  <c r="L46" i="286"/>
  <c r="H46" i="286"/>
  <c r="M45" i="286"/>
  <c r="L45" i="286"/>
  <c r="H45" i="286"/>
  <c r="M69" i="250"/>
  <c r="L69" i="250"/>
  <c r="H69" i="250"/>
  <c r="M68" i="250"/>
  <c r="L68" i="250"/>
  <c r="H68" i="250"/>
  <c r="M67" i="250"/>
  <c r="L67" i="250"/>
  <c r="H67" i="250"/>
  <c r="M66" i="250"/>
  <c r="L66" i="250"/>
  <c r="H66" i="250"/>
  <c r="M65" i="250"/>
  <c r="L65" i="250"/>
  <c r="H65" i="250"/>
  <c r="F42" i="211"/>
  <c r="H42" i="211" s="1"/>
  <c r="M47" i="211"/>
  <c r="L47" i="211"/>
  <c r="M46" i="211"/>
  <c r="L46" i="211"/>
  <c r="M45" i="211"/>
  <c r="L45" i="211"/>
  <c r="M44" i="211"/>
  <c r="L44" i="211"/>
  <c r="M41" i="211"/>
  <c r="L41" i="211"/>
  <c r="M40" i="211"/>
  <c r="L40" i="211"/>
  <c r="M39" i="211"/>
  <c r="L39" i="211"/>
  <c r="M38" i="211"/>
  <c r="L38" i="211"/>
  <c r="M37" i="211"/>
  <c r="L37" i="211"/>
  <c r="M36" i="211"/>
  <c r="L36" i="211"/>
  <c r="M35" i="211"/>
  <c r="L35" i="211"/>
  <c r="H39" i="211"/>
  <c r="H38" i="211"/>
  <c r="H37" i="211"/>
  <c r="H36" i="211"/>
  <c r="H35" i="211"/>
  <c r="H38" i="286" l="1"/>
  <c r="H88" i="159" l="1"/>
  <c r="M88" i="159"/>
  <c r="L88" i="159"/>
  <c r="M87" i="159"/>
  <c r="L87" i="159"/>
  <c r="H87" i="159"/>
  <c r="H143" i="212"/>
  <c r="L143" i="212"/>
  <c r="M143" i="212"/>
  <c r="H144" i="212"/>
  <c r="L144" i="212"/>
  <c r="M144" i="212"/>
  <c r="M73" i="212"/>
  <c r="L73" i="212"/>
  <c r="M72" i="212"/>
  <c r="L72" i="212"/>
  <c r="M71" i="212"/>
  <c r="L71" i="212"/>
  <c r="M70" i="212"/>
  <c r="L70" i="212"/>
  <c r="M69" i="212"/>
  <c r="L69" i="212"/>
  <c r="M68" i="212"/>
  <c r="L68" i="212"/>
  <c r="M67" i="212"/>
  <c r="L67" i="212"/>
  <c r="M66" i="212"/>
  <c r="L66" i="212"/>
  <c r="M65" i="212"/>
  <c r="L65" i="212"/>
  <c r="M64" i="212"/>
  <c r="L64" i="212"/>
  <c r="M63" i="212"/>
  <c r="L63" i="212"/>
  <c r="M62" i="212"/>
  <c r="L62" i="212"/>
  <c r="M61" i="212"/>
  <c r="L61" i="212"/>
  <c r="M60" i="212"/>
  <c r="L60" i="212"/>
  <c r="M59" i="212"/>
  <c r="L59" i="212"/>
  <c r="M58" i="212"/>
  <c r="L58" i="212"/>
  <c r="M57" i="212"/>
  <c r="L57" i="212"/>
  <c r="M56" i="212"/>
  <c r="L56" i="212"/>
  <c r="M55" i="212"/>
  <c r="L55" i="212"/>
  <c r="M54" i="212"/>
  <c r="L54" i="212"/>
  <c r="M53" i="212"/>
  <c r="L53" i="212"/>
  <c r="M52" i="212"/>
  <c r="L52" i="212"/>
  <c r="M51" i="212"/>
  <c r="L51" i="212"/>
  <c r="M50" i="212"/>
  <c r="L50" i="212"/>
  <c r="M49" i="212"/>
  <c r="L49" i="212"/>
  <c r="M48" i="212"/>
  <c r="L48" i="212"/>
  <c r="M47" i="212"/>
  <c r="L47" i="212"/>
  <c r="H73" i="212"/>
  <c r="H72" i="212"/>
  <c r="H71" i="212"/>
  <c r="H70" i="212"/>
  <c r="H69" i="212"/>
  <c r="H68" i="212"/>
  <c r="H67" i="212"/>
  <c r="H66" i="212"/>
  <c r="H65" i="212"/>
  <c r="H64" i="212"/>
  <c r="H63" i="212"/>
  <c r="H62" i="212"/>
  <c r="H61" i="212"/>
  <c r="H60" i="212"/>
  <c r="H59" i="212"/>
  <c r="H58" i="212"/>
  <c r="H57" i="212"/>
  <c r="H56" i="212"/>
  <c r="H55" i="212"/>
  <c r="H54" i="212"/>
  <c r="H53" i="212"/>
  <c r="H52" i="212"/>
  <c r="H51" i="212"/>
  <c r="H50" i="212"/>
  <c r="H49" i="212"/>
  <c r="H48" i="212"/>
  <c r="H47" i="212"/>
  <c r="K46" i="212"/>
  <c r="M45" i="212"/>
  <c r="L45" i="212"/>
  <c r="H45" i="212"/>
  <c r="K44" i="212"/>
  <c r="M43" i="212"/>
  <c r="L43" i="212"/>
  <c r="H43" i="212"/>
  <c r="H42" i="212"/>
  <c r="M41" i="212"/>
  <c r="L41" i="212"/>
  <c r="H41" i="212"/>
  <c r="K40" i="212"/>
  <c r="M29" i="159"/>
  <c r="L29" i="159"/>
  <c r="H29" i="159"/>
  <c r="M28" i="159"/>
  <c r="L28" i="159"/>
  <c r="M27" i="159"/>
  <c r="L27" i="159"/>
  <c r="H27" i="159"/>
  <c r="M26" i="159"/>
  <c r="L26" i="159"/>
  <c r="M25" i="159"/>
  <c r="L25" i="159"/>
  <c r="H25" i="159"/>
  <c r="M24" i="159"/>
  <c r="L24" i="159"/>
  <c r="H24" i="159"/>
  <c r="M23" i="159"/>
  <c r="L23" i="159"/>
  <c r="H23" i="159"/>
  <c r="M22" i="159"/>
  <c r="L22" i="159"/>
  <c r="H22" i="159"/>
  <c r="M21" i="159"/>
  <c r="L21" i="159"/>
  <c r="H21" i="159"/>
  <c r="M20" i="159"/>
  <c r="L20" i="159"/>
  <c r="H20" i="159"/>
  <c r="M19" i="159"/>
  <c r="L19" i="159"/>
  <c r="H19" i="159"/>
  <c r="D1" i="278" l="1"/>
  <c r="B1" i="278"/>
  <c r="M67" i="247"/>
  <c r="L67" i="247"/>
  <c r="H67" i="247"/>
  <c r="M66" i="247"/>
  <c r="L66" i="247"/>
  <c r="H66" i="247"/>
  <c r="M65" i="247"/>
  <c r="L65" i="247"/>
  <c r="H65" i="247"/>
  <c r="M64" i="247"/>
  <c r="L64" i="247"/>
  <c r="H64" i="247"/>
  <c r="M63" i="247"/>
  <c r="L63" i="247"/>
  <c r="H63" i="247"/>
  <c r="M62" i="247"/>
  <c r="L62" i="247"/>
  <c r="H62" i="247"/>
  <c r="M61" i="247"/>
  <c r="L61" i="247"/>
  <c r="H61" i="247"/>
  <c r="M60" i="247"/>
  <c r="L60" i="247"/>
  <c r="H60" i="247"/>
  <c r="M127" i="271"/>
  <c r="L127" i="271"/>
  <c r="H127" i="271"/>
  <c r="M126" i="271"/>
  <c r="L126" i="271"/>
  <c r="H126" i="271"/>
  <c r="M125" i="271"/>
  <c r="L125" i="271"/>
  <c r="H125" i="271"/>
  <c r="M124" i="271"/>
  <c r="L124" i="271"/>
  <c r="H124" i="271"/>
  <c r="M123" i="271"/>
  <c r="L123" i="271"/>
  <c r="H123" i="271"/>
  <c r="M122" i="271"/>
  <c r="L122" i="271"/>
  <c r="H122" i="271"/>
  <c r="M121" i="271"/>
  <c r="L121" i="271"/>
  <c r="H121" i="271"/>
  <c r="M120" i="271"/>
  <c r="L120" i="271"/>
  <c r="H120" i="271"/>
  <c r="M119" i="271"/>
  <c r="L119" i="271"/>
  <c r="H119" i="271"/>
  <c r="M118" i="271"/>
  <c r="L118" i="271"/>
  <c r="H118" i="271"/>
  <c r="M117" i="271"/>
  <c r="L117" i="271"/>
  <c r="H117" i="271"/>
  <c r="M116" i="271"/>
  <c r="L116" i="271"/>
  <c r="H116" i="271"/>
  <c r="M115" i="271"/>
  <c r="L115" i="271"/>
  <c r="H115" i="271"/>
  <c r="M114" i="271"/>
  <c r="L114" i="271"/>
  <c r="H114" i="271"/>
  <c r="M113" i="271"/>
  <c r="L113" i="271"/>
  <c r="H113" i="271"/>
  <c r="M112" i="271"/>
  <c r="L112" i="271"/>
  <c r="H112" i="271"/>
  <c r="M111" i="271"/>
  <c r="L111" i="271"/>
  <c r="H111" i="271"/>
  <c r="M110" i="271"/>
  <c r="L110" i="271"/>
  <c r="H110" i="271"/>
  <c r="M109" i="271"/>
  <c r="L109" i="271"/>
  <c r="H109" i="271"/>
  <c r="M108" i="271"/>
  <c r="L108" i="271"/>
  <c r="H108" i="271"/>
  <c r="M107" i="271"/>
  <c r="L107" i="271"/>
  <c r="H107" i="271"/>
  <c r="K42" i="247"/>
  <c r="K44" i="247"/>
  <c r="K46" i="247"/>
  <c r="K30" i="247"/>
  <c r="K28" i="247"/>
  <c r="K26" i="247"/>
  <c r="K24" i="247"/>
  <c r="K20" i="247"/>
  <c r="K18" i="247"/>
  <c r="M73" i="287" l="1"/>
  <c r="L73" i="287"/>
  <c r="H73" i="287"/>
  <c r="M72" i="287"/>
  <c r="L72" i="287"/>
  <c r="H72" i="287"/>
  <c r="M71" i="287"/>
  <c r="L71" i="287"/>
  <c r="H71" i="287"/>
  <c r="M70" i="287"/>
  <c r="L70" i="287"/>
  <c r="H70" i="287"/>
  <c r="H101" i="272"/>
  <c r="H99" i="272"/>
  <c r="H98" i="272"/>
  <c r="H92" i="272"/>
  <c r="M101" i="272"/>
  <c r="L101" i="272"/>
  <c r="M99" i="272"/>
  <c r="L99" i="272"/>
  <c r="M98" i="272"/>
  <c r="L98" i="272"/>
  <c r="H91" i="272"/>
  <c r="M74" i="282"/>
  <c r="L74" i="282"/>
  <c r="H74" i="282"/>
  <c r="F79" i="282"/>
  <c r="F77" i="282"/>
  <c r="M78" i="282"/>
  <c r="L78" i="282"/>
  <c r="H78" i="282"/>
  <c r="M76" i="282"/>
  <c r="L76" i="282"/>
  <c r="H76" i="282"/>
  <c r="M75" i="282"/>
  <c r="L75" i="282"/>
  <c r="H75" i="282"/>
  <c r="K48" i="282"/>
  <c r="M53" i="282"/>
  <c r="L53" i="282"/>
  <c r="M52" i="282"/>
  <c r="L52" i="282"/>
  <c r="M51" i="282"/>
  <c r="L51" i="282"/>
  <c r="M49" i="282"/>
  <c r="L49" i="282"/>
  <c r="M47" i="282"/>
  <c r="L47" i="282"/>
  <c r="M46" i="282"/>
  <c r="L46" i="282"/>
  <c r="M45" i="282"/>
  <c r="L45" i="282"/>
  <c r="H53" i="282"/>
  <c r="H52" i="282"/>
  <c r="H51" i="282"/>
  <c r="H49" i="282"/>
  <c r="H47" i="282"/>
  <c r="H46" i="282"/>
  <c r="H45" i="282"/>
  <c r="H73" i="282" l="1"/>
  <c r="H77" i="282"/>
  <c r="H79" i="282"/>
  <c r="H57" i="272" l="1"/>
  <c r="M57" i="272"/>
  <c r="L57" i="272"/>
  <c r="M57" i="284"/>
  <c r="L57" i="284"/>
  <c r="L58" i="284"/>
  <c r="M58" i="284"/>
  <c r="L59" i="284"/>
  <c r="M59" i="284"/>
  <c r="L60" i="284"/>
  <c r="M60" i="284"/>
  <c r="L61" i="284"/>
  <c r="M61" i="284"/>
  <c r="L66" i="284"/>
  <c r="M66" i="284"/>
  <c r="L67" i="284"/>
  <c r="M67" i="284"/>
  <c r="L68" i="284"/>
  <c r="M68" i="284"/>
  <c r="H68" i="284"/>
  <c r="H67" i="284"/>
  <c r="H66" i="284"/>
  <c r="H65" i="284"/>
  <c r="H64" i="284"/>
  <c r="H63" i="284"/>
  <c r="H62" i="284"/>
  <c r="H61" i="284"/>
  <c r="H60" i="284"/>
  <c r="H59" i="284"/>
  <c r="H58" i="284"/>
  <c r="H57" i="284"/>
  <c r="M65" i="279"/>
  <c r="L65" i="279"/>
  <c r="H65" i="279"/>
  <c r="M64" i="279"/>
  <c r="L64" i="279"/>
  <c r="H64" i="279"/>
  <c r="M63" i="279"/>
  <c r="L63" i="279"/>
  <c r="H63" i="279"/>
  <c r="M62" i="279"/>
  <c r="L62" i="279"/>
  <c r="H62" i="279"/>
  <c r="M61" i="279"/>
  <c r="L61" i="279"/>
  <c r="H61" i="279"/>
  <c r="M60" i="279"/>
  <c r="L60" i="279"/>
  <c r="H60" i="279"/>
  <c r="M59" i="279"/>
  <c r="L59" i="279"/>
  <c r="H59" i="279"/>
  <c r="M58" i="279"/>
  <c r="L58" i="279"/>
  <c r="H58" i="279"/>
  <c r="M57" i="279"/>
  <c r="L57" i="279"/>
  <c r="H57" i="279"/>
  <c r="M56" i="279"/>
  <c r="L56" i="279"/>
  <c r="H56" i="279"/>
  <c r="M55" i="279"/>
  <c r="L55" i="279"/>
  <c r="H55" i="279"/>
  <c r="M54" i="279"/>
  <c r="L54" i="279"/>
  <c r="H54" i="279"/>
  <c r="M53" i="279"/>
  <c r="L53" i="279"/>
  <c r="H53" i="279"/>
  <c r="M52" i="279"/>
  <c r="L52" i="279"/>
  <c r="H52" i="279"/>
  <c r="M77" i="283"/>
  <c r="L77" i="283"/>
  <c r="M76" i="283"/>
  <c r="L76" i="283"/>
  <c r="M75" i="283"/>
  <c r="L75" i="283"/>
  <c r="M74" i="283"/>
  <c r="L74" i="283"/>
  <c r="M73" i="283"/>
  <c r="L73" i="283"/>
  <c r="M72" i="283"/>
  <c r="L72" i="283"/>
  <c r="M71" i="283"/>
  <c r="L71" i="283"/>
  <c r="M70" i="283"/>
  <c r="L70" i="283"/>
  <c r="M69" i="283"/>
  <c r="L69" i="283"/>
  <c r="M68" i="283"/>
  <c r="L68" i="283"/>
  <c r="M67" i="283"/>
  <c r="L67" i="283"/>
  <c r="M66" i="283"/>
  <c r="L66" i="283"/>
  <c r="M65" i="283"/>
  <c r="L65" i="283"/>
  <c r="M64" i="283"/>
  <c r="L64" i="283"/>
  <c r="M63" i="283"/>
  <c r="L63" i="283"/>
  <c r="M62" i="283"/>
  <c r="L62" i="283"/>
  <c r="M61" i="283"/>
  <c r="L61" i="283"/>
  <c r="M60" i="283"/>
  <c r="L60" i="283"/>
  <c r="M59" i="283"/>
  <c r="L59" i="283"/>
  <c r="M58" i="283"/>
  <c r="L58" i="283"/>
  <c r="M57" i="283"/>
  <c r="L57" i="283"/>
  <c r="M56" i="283"/>
  <c r="L56" i="283"/>
  <c r="M55" i="283"/>
  <c r="L55" i="283"/>
  <c r="M54" i="283"/>
  <c r="L54" i="283"/>
  <c r="M53" i="283"/>
  <c r="L53" i="283"/>
  <c r="M52" i="283"/>
  <c r="L52" i="283"/>
  <c r="M51" i="283"/>
  <c r="L51" i="283"/>
  <c r="M50" i="283"/>
  <c r="L50" i="283"/>
  <c r="M49" i="283"/>
  <c r="L49" i="283"/>
  <c r="M48" i="283"/>
  <c r="L48" i="283"/>
  <c r="M47" i="283"/>
  <c r="L47" i="283"/>
  <c r="M46" i="283"/>
  <c r="L46" i="283"/>
  <c r="M45" i="283"/>
  <c r="L45" i="283"/>
  <c r="M44" i="283"/>
  <c r="L44" i="283"/>
  <c r="M43" i="283"/>
  <c r="L43" i="283"/>
  <c r="M42" i="283"/>
  <c r="L42" i="283"/>
  <c r="M41" i="283"/>
  <c r="L41" i="283"/>
  <c r="M40" i="283"/>
  <c r="L40" i="283"/>
  <c r="M39" i="283"/>
  <c r="L39" i="283"/>
  <c r="M38" i="283"/>
  <c r="L38" i="283"/>
  <c r="M37" i="283"/>
  <c r="L37" i="283"/>
  <c r="M36" i="283"/>
  <c r="L36" i="283"/>
  <c r="M35" i="283"/>
  <c r="L35" i="283"/>
  <c r="M34" i="283"/>
  <c r="L34" i="283"/>
  <c r="M33" i="283"/>
  <c r="L33" i="283"/>
  <c r="M32" i="283"/>
  <c r="L32" i="283"/>
  <c r="M31" i="283"/>
  <c r="L31" i="283"/>
  <c r="M30" i="283"/>
  <c r="L30" i="283"/>
  <c r="M29" i="283"/>
  <c r="L29" i="283"/>
  <c r="M28" i="283"/>
  <c r="L28" i="283"/>
  <c r="M27" i="283"/>
  <c r="L27" i="283"/>
  <c r="M26" i="283"/>
  <c r="L26" i="283"/>
  <c r="M25" i="283"/>
  <c r="L25" i="283"/>
  <c r="M24" i="283"/>
  <c r="L24" i="283"/>
  <c r="M23" i="283"/>
  <c r="L23" i="283"/>
  <c r="M21" i="283"/>
  <c r="L21" i="283"/>
  <c r="M19" i="283"/>
  <c r="L19" i="283"/>
  <c r="M17" i="283"/>
  <c r="L17" i="283"/>
  <c r="M16" i="283"/>
  <c r="L16" i="283"/>
  <c r="M15" i="283"/>
  <c r="L15" i="283"/>
  <c r="M14" i="283"/>
  <c r="L14" i="283"/>
  <c r="M13" i="283"/>
  <c r="L13" i="283"/>
  <c r="M12" i="283"/>
  <c r="L12" i="283"/>
  <c r="H77" i="283"/>
  <c r="H76" i="283"/>
  <c r="H75" i="283"/>
  <c r="H74" i="283"/>
  <c r="H73" i="283"/>
  <c r="H72" i="283"/>
  <c r="H71" i="283"/>
  <c r="H70" i="283"/>
  <c r="H69" i="283"/>
  <c r="H68" i="283"/>
  <c r="H67" i="283"/>
  <c r="H66" i="283"/>
  <c r="H65" i="283"/>
  <c r="H64" i="283"/>
  <c r="H63" i="283"/>
  <c r="H62" i="283"/>
  <c r="H61" i="283"/>
  <c r="H60" i="283"/>
  <c r="H59" i="283"/>
  <c r="H58" i="283"/>
  <c r="H57" i="283"/>
  <c r="H56" i="283"/>
  <c r="H55" i="283"/>
  <c r="H54" i="283"/>
  <c r="H53" i="283"/>
  <c r="H52" i="283"/>
  <c r="H51" i="283"/>
  <c r="H50" i="283"/>
  <c r="H49" i="283"/>
  <c r="H48" i="283"/>
  <c r="H47" i="283"/>
  <c r="H46" i="283"/>
  <c r="H45" i="283"/>
  <c r="H44" i="283"/>
  <c r="H43" i="283"/>
  <c r="H42" i="283"/>
  <c r="H41" i="283"/>
  <c r="H40" i="283"/>
  <c r="H39" i="283"/>
  <c r="H38" i="283"/>
  <c r="H37" i="283"/>
  <c r="H36" i="283"/>
  <c r="H35" i="283"/>
  <c r="H34" i="283"/>
  <c r="H33" i="283"/>
  <c r="H32" i="283"/>
  <c r="H31" i="283"/>
  <c r="H30" i="283"/>
  <c r="H29" i="283"/>
  <c r="H28" i="283"/>
  <c r="H27" i="283"/>
  <c r="H26" i="283"/>
  <c r="H25" i="283"/>
  <c r="H24" i="283"/>
  <c r="H23" i="283"/>
  <c r="H22" i="283"/>
  <c r="H21" i="283"/>
  <c r="H20" i="283"/>
  <c r="H19" i="283"/>
  <c r="H18" i="283"/>
  <c r="H17" i="283"/>
  <c r="H16" i="283"/>
  <c r="H15" i="283"/>
  <c r="H14" i="283"/>
  <c r="H13" i="283"/>
  <c r="H12" i="283"/>
  <c r="K22" i="283"/>
  <c r="L22" i="283" s="1"/>
  <c r="M22" i="283" s="1"/>
  <c r="M211" i="235"/>
  <c r="L211" i="235"/>
  <c r="M210" i="235"/>
  <c r="L210" i="235"/>
  <c r="M209" i="235"/>
  <c r="L209" i="235"/>
  <c r="M208" i="235"/>
  <c r="L208" i="235"/>
  <c r="M207" i="235"/>
  <c r="L207" i="235"/>
  <c r="M206" i="235"/>
  <c r="L206" i="235"/>
  <c r="M205" i="235"/>
  <c r="L205" i="235"/>
  <c r="M204" i="235"/>
  <c r="L204" i="235"/>
  <c r="M203" i="235"/>
  <c r="L203" i="235"/>
  <c r="M202" i="235"/>
  <c r="L202" i="235"/>
  <c r="M201" i="235"/>
  <c r="L201" i="235"/>
  <c r="M200" i="235"/>
  <c r="L200" i="235"/>
  <c r="M199" i="235"/>
  <c r="L199" i="235"/>
  <c r="M198" i="235"/>
  <c r="L198" i="235"/>
  <c r="M197" i="235"/>
  <c r="L197" i="235"/>
  <c r="M196" i="235"/>
  <c r="L196" i="235"/>
  <c r="M195" i="235"/>
  <c r="L195" i="235"/>
  <c r="M194" i="235"/>
  <c r="L194" i="235"/>
  <c r="M193" i="235"/>
  <c r="L193" i="235"/>
  <c r="M192" i="235"/>
  <c r="L192" i="235"/>
  <c r="M191" i="235"/>
  <c r="L191" i="235"/>
  <c r="M190" i="235"/>
  <c r="L190" i="235"/>
  <c r="M189" i="235"/>
  <c r="L189" i="235"/>
  <c r="M188" i="235"/>
  <c r="L188" i="235"/>
  <c r="M187" i="235"/>
  <c r="L187" i="235"/>
  <c r="M186" i="235"/>
  <c r="L186" i="235"/>
  <c r="M185" i="235"/>
  <c r="L185" i="235"/>
  <c r="M184" i="235"/>
  <c r="L184" i="235"/>
  <c r="M183" i="235"/>
  <c r="L183" i="235"/>
  <c r="M182" i="235"/>
  <c r="L182" i="235"/>
  <c r="M181" i="235"/>
  <c r="L181" i="235"/>
  <c r="M180" i="235"/>
  <c r="L180" i="235"/>
  <c r="M179" i="235"/>
  <c r="L179" i="235"/>
  <c r="M178" i="235"/>
  <c r="L178" i="235"/>
  <c r="M177" i="235"/>
  <c r="L177" i="235"/>
  <c r="M176" i="235"/>
  <c r="L176" i="235"/>
  <c r="M175" i="235"/>
  <c r="L175" i="235"/>
  <c r="M174" i="235"/>
  <c r="L174" i="235"/>
  <c r="M173" i="235"/>
  <c r="L173" i="235"/>
  <c r="M172" i="235"/>
  <c r="L172" i="235"/>
  <c r="M171" i="235"/>
  <c r="L171" i="235"/>
  <c r="M170" i="235"/>
  <c r="L170" i="235"/>
  <c r="M169" i="235"/>
  <c r="L169" i="235"/>
  <c r="M168" i="235"/>
  <c r="L168" i="235"/>
  <c r="M167" i="235"/>
  <c r="L167" i="235"/>
  <c r="M166" i="235"/>
  <c r="L166" i="235"/>
  <c r="M165" i="235"/>
  <c r="L165" i="235"/>
  <c r="M164" i="235"/>
  <c r="L164" i="235"/>
  <c r="M163" i="235"/>
  <c r="L163" i="235"/>
  <c r="M162" i="235"/>
  <c r="L162" i="235"/>
  <c r="M161" i="235"/>
  <c r="L161" i="235"/>
  <c r="M160" i="235"/>
  <c r="L160" i="235"/>
  <c r="M159" i="235"/>
  <c r="L159" i="235"/>
  <c r="M158" i="235"/>
  <c r="L158" i="235"/>
  <c r="M157" i="235"/>
  <c r="L157" i="235"/>
  <c r="H211" i="235"/>
  <c r="H210" i="235"/>
  <c r="H209" i="235"/>
  <c r="H208" i="235"/>
  <c r="H207" i="235"/>
  <c r="H206" i="235"/>
  <c r="H205" i="235"/>
  <c r="H204" i="235"/>
  <c r="H203" i="235"/>
  <c r="H202" i="235"/>
  <c r="H201" i="235"/>
  <c r="H200" i="235"/>
  <c r="H199" i="235"/>
  <c r="H198" i="235"/>
  <c r="H197" i="235"/>
  <c r="H196" i="235"/>
  <c r="H195" i="235"/>
  <c r="H194" i="235"/>
  <c r="H193" i="235"/>
  <c r="H192" i="235"/>
  <c r="H191" i="235"/>
  <c r="H190" i="235"/>
  <c r="H189" i="235"/>
  <c r="H188" i="235"/>
  <c r="H187" i="235"/>
  <c r="H186" i="235"/>
  <c r="H185" i="235"/>
  <c r="H184" i="235"/>
  <c r="H183" i="235"/>
  <c r="H182" i="235"/>
  <c r="H181" i="235"/>
  <c r="H180" i="235"/>
  <c r="H179" i="235"/>
  <c r="H178" i="235"/>
  <c r="H177" i="235"/>
  <c r="H176" i="235"/>
  <c r="H175" i="235"/>
  <c r="H174" i="235"/>
  <c r="H173" i="235"/>
  <c r="H172" i="235"/>
  <c r="H171" i="235"/>
  <c r="H170" i="235"/>
  <c r="H169" i="235"/>
  <c r="H168" i="235"/>
  <c r="H167" i="235"/>
  <c r="H166" i="235"/>
  <c r="H165" i="235"/>
  <c r="H164" i="235"/>
  <c r="H163" i="235"/>
  <c r="H162" i="235"/>
  <c r="H161" i="235"/>
  <c r="H160" i="235"/>
  <c r="H159" i="235"/>
  <c r="H158" i="235"/>
  <c r="H156" i="235"/>
  <c r="M145" i="235"/>
  <c r="L145" i="235"/>
  <c r="H145" i="235"/>
  <c r="M144" i="235"/>
  <c r="L144" i="235"/>
  <c r="H144" i="235"/>
  <c r="M143" i="235"/>
  <c r="L143" i="235"/>
  <c r="H143" i="235"/>
  <c r="M142" i="235"/>
  <c r="L142" i="235"/>
  <c r="H142" i="235"/>
  <c r="M141" i="235"/>
  <c r="L141" i="235"/>
  <c r="H141" i="235"/>
  <c r="M140" i="235"/>
  <c r="L140" i="235"/>
  <c r="H140" i="235"/>
  <c r="M139" i="235"/>
  <c r="L139" i="235"/>
  <c r="H139" i="235"/>
  <c r="M138" i="235"/>
  <c r="L138" i="235"/>
  <c r="H138" i="235"/>
  <c r="M137" i="235"/>
  <c r="L137" i="235"/>
  <c r="H137" i="235"/>
  <c r="M136" i="235"/>
  <c r="L136" i="235"/>
  <c r="H136" i="235"/>
  <c r="M135" i="235"/>
  <c r="L135" i="235"/>
  <c r="H135" i="235"/>
  <c r="M134" i="235"/>
  <c r="L134" i="235"/>
  <c r="H134" i="235"/>
  <c r="M133" i="235"/>
  <c r="L133" i="235"/>
  <c r="H133" i="235"/>
  <c r="M132" i="235"/>
  <c r="L132" i="235"/>
  <c r="H132" i="235"/>
  <c r="M131" i="235"/>
  <c r="L131" i="235"/>
  <c r="H131" i="235"/>
  <c r="M130" i="235"/>
  <c r="L130" i="235"/>
  <c r="H130" i="235"/>
  <c r="M129" i="235"/>
  <c r="L129" i="235"/>
  <c r="H129" i="235"/>
  <c r="M128" i="235"/>
  <c r="L128" i="235"/>
  <c r="H128" i="235"/>
  <c r="M127" i="235"/>
  <c r="L127" i="235"/>
  <c r="H127" i="235"/>
  <c r="M126" i="235"/>
  <c r="L126" i="235"/>
  <c r="H126" i="235"/>
  <c r="M125" i="235"/>
  <c r="L125" i="235"/>
  <c r="H125" i="235"/>
  <c r="M124" i="235"/>
  <c r="L124" i="235"/>
  <c r="H124" i="235"/>
  <c r="M123" i="235"/>
  <c r="L123" i="235"/>
  <c r="H123" i="235"/>
  <c r="M122" i="235"/>
  <c r="L122" i="235"/>
  <c r="H122" i="235"/>
  <c r="M121" i="235"/>
  <c r="L121" i="235"/>
  <c r="H121" i="235"/>
  <c r="M120" i="235"/>
  <c r="L120" i="235"/>
  <c r="H120" i="235"/>
  <c r="M119" i="235"/>
  <c r="L119" i="235"/>
  <c r="H119" i="235"/>
  <c r="M118" i="235"/>
  <c r="L118" i="235"/>
  <c r="H118" i="235"/>
  <c r="M117" i="235"/>
  <c r="L117" i="235"/>
  <c r="H117" i="235"/>
  <c r="M116" i="235"/>
  <c r="L116" i="235"/>
  <c r="H116" i="235"/>
  <c r="M115" i="235"/>
  <c r="L115" i="235"/>
  <c r="H115" i="235"/>
  <c r="M114" i="235"/>
  <c r="L114" i="235"/>
  <c r="H114" i="235"/>
  <c r="M113" i="235"/>
  <c r="L113" i="235"/>
  <c r="H113" i="235"/>
  <c r="M112" i="235"/>
  <c r="L112" i="235"/>
  <c r="H112" i="235"/>
  <c r="M111" i="235"/>
  <c r="L111" i="235"/>
  <c r="H111" i="235"/>
  <c r="M110" i="235"/>
  <c r="L110" i="235"/>
  <c r="H110" i="235"/>
  <c r="M109" i="235"/>
  <c r="L109" i="235"/>
  <c r="H109" i="235"/>
  <c r="M108" i="235"/>
  <c r="L108" i="235"/>
  <c r="H108" i="235"/>
  <c r="M107" i="235"/>
  <c r="L107" i="235"/>
  <c r="H107" i="235"/>
  <c r="M106" i="235"/>
  <c r="L106" i="235"/>
  <c r="H106" i="235"/>
  <c r="M105" i="235"/>
  <c r="L105" i="235"/>
  <c r="H105" i="235"/>
  <c r="M104" i="235"/>
  <c r="L104" i="235"/>
  <c r="H104" i="235"/>
  <c r="M103" i="235"/>
  <c r="L103" i="235"/>
  <c r="H103" i="235"/>
  <c r="M102" i="235"/>
  <c r="L102" i="235"/>
  <c r="H102" i="235"/>
  <c r="M101" i="235"/>
  <c r="L101" i="235"/>
  <c r="H101" i="235"/>
  <c r="M100" i="235"/>
  <c r="L100" i="235"/>
  <c r="H100" i="235"/>
  <c r="M99" i="235"/>
  <c r="L99" i="235"/>
  <c r="H99" i="235"/>
  <c r="M98" i="235"/>
  <c r="L98" i="235"/>
  <c r="H98" i="235"/>
  <c r="M97" i="235"/>
  <c r="L97" i="235"/>
  <c r="H97" i="235"/>
  <c r="M96" i="235"/>
  <c r="L96" i="235"/>
  <c r="H96" i="235"/>
  <c r="M95" i="235"/>
  <c r="L95" i="235"/>
  <c r="H95" i="235"/>
  <c r="M94" i="235"/>
  <c r="L94" i="235"/>
  <c r="H94" i="235"/>
  <c r="M93" i="235"/>
  <c r="L93" i="235"/>
  <c r="H93" i="235"/>
  <c r="M92" i="235"/>
  <c r="L92" i="235"/>
  <c r="H92" i="235"/>
  <c r="M91" i="235"/>
  <c r="L91" i="235"/>
  <c r="H91" i="235"/>
  <c r="M90" i="235"/>
  <c r="L90" i="235"/>
  <c r="H90" i="235"/>
  <c r="M89" i="235"/>
  <c r="L89" i="235"/>
  <c r="H89" i="235"/>
  <c r="M88" i="235"/>
  <c r="L88" i="235"/>
  <c r="H88" i="235"/>
  <c r="M87" i="235"/>
  <c r="L87" i="235"/>
  <c r="H87" i="235"/>
  <c r="M86" i="235"/>
  <c r="L86" i="235"/>
  <c r="H86" i="235"/>
  <c r="M74" i="235"/>
  <c r="L74" i="235"/>
  <c r="M73" i="235"/>
  <c r="L73" i="235"/>
  <c r="M72" i="235"/>
  <c r="L72" i="235"/>
  <c r="M71" i="235"/>
  <c r="L71" i="235"/>
  <c r="M70" i="235"/>
  <c r="L70" i="235"/>
  <c r="M69" i="235"/>
  <c r="L69" i="235"/>
  <c r="M68" i="235"/>
  <c r="L68" i="235"/>
  <c r="M67" i="235"/>
  <c r="L67" i="235"/>
  <c r="M66" i="235"/>
  <c r="L66" i="235"/>
  <c r="M65" i="235"/>
  <c r="L65" i="235"/>
  <c r="M64" i="235"/>
  <c r="L64" i="235"/>
  <c r="M63" i="235"/>
  <c r="L63" i="235"/>
  <c r="M62" i="235"/>
  <c r="L62" i="235"/>
  <c r="M61" i="235"/>
  <c r="L61" i="235"/>
  <c r="M60" i="235"/>
  <c r="L60" i="235"/>
  <c r="M59" i="235"/>
  <c r="L59" i="235"/>
  <c r="M58" i="235"/>
  <c r="L58" i="235"/>
  <c r="M57" i="235"/>
  <c r="L57" i="235"/>
  <c r="M56" i="235"/>
  <c r="L56" i="235"/>
  <c r="M55" i="235"/>
  <c r="L55" i="235"/>
  <c r="M54" i="235"/>
  <c r="L54" i="235"/>
  <c r="M53" i="235"/>
  <c r="L53" i="235"/>
  <c r="M52" i="235"/>
  <c r="L52" i="235"/>
  <c r="M51" i="235"/>
  <c r="L51" i="235"/>
  <c r="M50" i="235"/>
  <c r="L50" i="235"/>
  <c r="M49" i="235"/>
  <c r="L49" i="235"/>
  <c r="M48" i="235"/>
  <c r="L48" i="235"/>
  <c r="M47" i="235"/>
  <c r="L47" i="235"/>
  <c r="M46" i="235"/>
  <c r="L46" i="235"/>
  <c r="M45" i="235"/>
  <c r="L45" i="235"/>
  <c r="M44" i="235"/>
  <c r="L44" i="235"/>
  <c r="M43" i="235"/>
  <c r="L43" i="235"/>
  <c r="M42" i="235"/>
  <c r="L42" i="235"/>
  <c r="L41" i="235"/>
  <c r="M40" i="235"/>
  <c r="L40" i="235"/>
  <c r="L39" i="235"/>
  <c r="M38" i="235"/>
  <c r="L38" i="235"/>
  <c r="M37" i="235"/>
  <c r="L37" i="235"/>
  <c r="M36" i="235"/>
  <c r="L36" i="235"/>
  <c r="M35" i="235"/>
  <c r="L35" i="235"/>
  <c r="M34" i="235"/>
  <c r="M33" i="235"/>
  <c r="M32" i="235"/>
  <c r="M31" i="235"/>
  <c r="M30" i="235"/>
  <c r="M29" i="235"/>
  <c r="M28" i="235"/>
  <c r="M26" i="235"/>
  <c r="M24" i="235"/>
  <c r="M23" i="235"/>
  <c r="M21" i="235"/>
  <c r="L21" i="235"/>
  <c r="M19" i="235"/>
  <c r="L19" i="235"/>
  <c r="L18" i="235"/>
  <c r="M18" i="235" s="1"/>
  <c r="M17" i="235"/>
  <c r="L17" i="235"/>
  <c r="L16" i="235"/>
  <c r="M15" i="235"/>
  <c r="L15" i="235"/>
  <c r="M14" i="235"/>
  <c r="L14" i="235"/>
  <c r="M13" i="235"/>
  <c r="L13" i="235"/>
  <c r="M12" i="235"/>
  <c r="L12" i="235"/>
  <c r="H74" i="235"/>
  <c r="H73" i="235"/>
  <c r="H72" i="235"/>
  <c r="H71" i="235"/>
  <c r="H70" i="235"/>
  <c r="H69" i="235"/>
  <c r="H68" i="235"/>
  <c r="H67" i="235"/>
  <c r="H66" i="235"/>
  <c r="H65" i="235"/>
  <c r="H64" i="235"/>
  <c r="H63" i="235"/>
  <c r="H62" i="235"/>
  <c r="H61" i="235"/>
  <c r="H60" i="235"/>
  <c r="H59" i="235"/>
  <c r="H58" i="235"/>
  <c r="H57" i="235"/>
  <c r="H56" i="235"/>
  <c r="H55" i="235"/>
  <c r="H54" i="235"/>
  <c r="H53" i="235"/>
  <c r="H52" i="235"/>
  <c r="H51" i="235"/>
  <c r="H50" i="235"/>
  <c r="H49" i="235"/>
  <c r="H48" i="235"/>
  <c r="H47" i="235"/>
  <c r="H46" i="235"/>
  <c r="H45" i="235"/>
  <c r="H44" i="235"/>
  <c r="H43" i="235"/>
  <c r="H42" i="235"/>
  <c r="H41" i="235"/>
  <c r="M41" i="235" s="1"/>
  <c r="H40" i="235"/>
  <c r="H39" i="235"/>
  <c r="M39" i="235" s="1"/>
  <c r="H38" i="235"/>
  <c r="H37" i="235"/>
  <c r="H36" i="235"/>
  <c r="H35" i="235"/>
  <c r="H16" i="235"/>
  <c r="H15" i="235"/>
  <c r="H14" i="235"/>
  <c r="H13" i="235"/>
  <c r="H12" i="235"/>
  <c r="M138" i="163"/>
  <c r="L138" i="163"/>
  <c r="M137" i="163"/>
  <c r="L137" i="163"/>
  <c r="M136" i="163"/>
  <c r="L136" i="163"/>
  <c r="M135" i="163"/>
  <c r="L135" i="163"/>
  <c r="M134" i="163"/>
  <c r="L134" i="163"/>
  <c r="M133" i="163"/>
  <c r="L133" i="163"/>
  <c r="M132" i="163"/>
  <c r="L132" i="163"/>
  <c r="M131" i="163"/>
  <c r="L131" i="163"/>
  <c r="M130" i="163"/>
  <c r="L130" i="163"/>
  <c r="M129" i="163"/>
  <c r="L129" i="163"/>
  <c r="M128" i="163"/>
  <c r="L128" i="163"/>
  <c r="M127" i="163"/>
  <c r="L127" i="163"/>
  <c r="M126" i="163"/>
  <c r="L126" i="163"/>
  <c r="M125" i="163"/>
  <c r="L125" i="163"/>
  <c r="M124" i="163"/>
  <c r="L124" i="163"/>
  <c r="M123" i="163"/>
  <c r="L123" i="163"/>
  <c r="M122" i="163"/>
  <c r="L122" i="163"/>
  <c r="M121" i="163"/>
  <c r="L121" i="163"/>
  <c r="M120" i="163"/>
  <c r="L120" i="163"/>
  <c r="H136" i="163"/>
  <c r="H135" i="163"/>
  <c r="H134" i="163"/>
  <c r="H133" i="163"/>
  <c r="H132" i="163"/>
  <c r="H131" i="163"/>
  <c r="H130" i="163"/>
  <c r="H129" i="163"/>
  <c r="H128" i="163"/>
  <c r="H127" i="163"/>
  <c r="H126" i="163"/>
  <c r="H125" i="163"/>
  <c r="H124" i="163"/>
  <c r="H123" i="163"/>
  <c r="H122" i="163"/>
  <c r="H121" i="163"/>
  <c r="H120" i="163"/>
  <c r="H81" i="321"/>
  <c r="M80" i="321"/>
  <c r="L80" i="321"/>
  <c r="H80" i="321"/>
  <c r="H79" i="321"/>
  <c r="M78" i="321"/>
  <c r="L78" i="321"/>
  <c r="H78" i="321"/>
  <c r="M77" i="321"/>
  <c r="L77" i="321"/>
  <c r="H77" i="321"/>
  <c r="C54" i="278"/>
  <c r="M16" i="235" l="1"/>
  <c r="M138" i="321"/>
  <c r="L138" i="321"/>
  <c r="M137" i="321"/>
  <c r="L137" i="321"/>
  <c r="M136" i="321"/>
  <c r="L136" i="321"/>
  <c r="M135" i="321"/>
  <c r="L135" i="321"/>
  <c r="M134" i="321"/>
  <c r="L134" i="321"/>
  <c r="M133" i="321"/>
  <c r="L133" i="321"/>
  <c r="M132" i="321"/>
  <c r="L132" i="321"/>
  <c r="M131" i="321"/>
  <c r="L131" i="321"/>
  <c r="M130" i="321"/>
  <c r="L130" i="321"/>
  <c r="M129" i="321"/>
  <c r="L129" i="321"/>
  <c r="M128" i="321"/>
  <c r="L128" i="321"/>
  <c r="M127" i="321"/>
  <c r="L127" i="321"/>
  <c r="M126" i="321"/>
  <c r="L126" i="321"/>
  <c r="M125" i="321"/>
  <c r="L125" i="321"/>
  <c r="M124" i="321"/>
  <c r="L124" i="321"/>
  <c r="M123" i="321"/>
  <c r="L123" i="321"/>
  <c r="M122" i="321"/>
  <c r="L122" i="321"/>
  <c r="M121" i="321"/>
  <c r="L121" i="321"/>
  <c r="M120" i="321"/>
  <c r="L120" i="321"/>
  <c r="M119" i="321"/>
  <c r="L119" i="321"/>
  <c r="M118" i="321"/>
  <c r="L118" i="321"/>
  <c r="M117" i="321"/>
  <c r="L117" i="321"/>
  <c r="M116" i="321"/>
  <c r="L116" i="321"/>
  <c r="M115" i="321"/>
  <c r="L115" i="321"/>
  <c r="M114" i="321"/>
  <c r="L114" i="321"/>
  <c r="M113" i="321"/>
  <c r="L113" i="321"/>
  <c r="M112" i="321"/>
  <c r="L112" i="321"/>
  <c r="M111" i="321"/>
  <c r="L111" i="321"/>
  <c r="M110" i="321"/>
  <c r="L110" i="321"/>
  <c r="M109" i="321"/>
  <c r="L109" i="321"/>
  <c r="M108" i="321"/>
  <c r="L108" i="321"/>
  <c r="M107" i="321"/>
  <c r="L107" i="321"/>
  <c r="M106" i="321"/>
  <c r="L106" i="321"/>
  <c r="M105" i="321"/>
  <c r="L105" i="321"/>
  <c r="M104" i="321"/>
  <c r="L104" i="321"/>
  <c r="M103" i="321"/>
  <c r="L103" i="321"/>
  <c r="M102" i="321"/>
  <c r="L102" i="321"/>
  <c r="M101" i="321"/>
  <c r="L101" i="321"/>
  <c r="M100" i="321"/>
  <c r="L100" i="321"/>
  <c r="M99" i="321"/>
  <c r="L99" i="321"/>
  <c r="M98" i="321"/>
  <c r="L98" i="321"/>
  <c r="M97" i="321"/>
  <c r="L97" i="321"/>
  <c r="M96" i="321"/>
  <c r="L96" i="321"/>
  <c r="M95" i="321"/>
  <c r="L95" i="321"/>
  <c r="M94" i="321"/>
  <c r="L94" i="321"/>
  <c r="M93" i="321"/>
  <c r="L93" i="321"/>
  <c r="M92" i="321"/>
  <c r="L92" i="321"/>
  <c r="M91" i="321"/>
  <c r="L91" i="321"/>
  <c r="M90" i="321"/>
  <c r="L90" i="321"/>
  <c r="M89" i="321"/>
  <c r="L89" i="321"/>
  <c r="M88" i="321"/>
  <c r="L88" i="321"/>
  <c r="M87" i="321"/>
  <c r="L87" i="321"/>
  <c r="M86" i="321"/>
  <c r="L86" i="321"/>
  <c r="H138" i="321"/>
  <c r="H137" i="321"/>
  <c r="H136" i="321"/>
  <c r="H135" i="321"/>
  <c r="H134" i="321"/>
  <c r="H133" i="321"/>
  <c r="H132" i="321"/>
  <c r="H131" i="321"/>
  <c r="H130" i="321"/>
  <c r="H129" i="321"/>
  <c r="H128" i="321"/>
  <c r="H127" i="321"/>
  <c r="H126" i="321"/>
  <c r="H125" i="321"/>
  <c r="H124" i="321"/>
  <c r="H123" i="321"/>
  <c r="H122" i="321"/>
  <c r="H121" i="321"/>
  <c r="H120" i="321"/>
  <c r="H119" i="321"/>
  <c r="H118" i="321"/>
  <c r="H117" i="321"/>
  <c r="H116" i="321"/>
  <c r="H115" i="321"/>
  <c r="H114" i="321"/>
  <c r="H113" i="321"/>
  <c r="H112" i="321"/>
  <c r="H111" i="321"/>
  <c r="H110" i="321"/>
  <c r="H109" i="321"/>
  <c r="H108" i="321"/>
  <c r="H107" i="321"/>
  <c r="H106" i="321"/>
  <c r="H105" i="321"/>
  <c r="H104" i="321"/>
  <c r="H103" i="321"/>
  <c r="H102" i="321"/>
  <c r="H101" i="321"/>
  <c r="H100" i="321"/>
  <c r="H99" i="321"/>
  <c r="H98" i="321"/>
  <c r="H97" i="321"/>
  <c r="H96" i="321"/>
  <c r="H95" i="321"/>
  <c r="H94" i="321"/>
  <c r="H93" i="321"/>
  <c r="H92" i="321"/>
  <c r="H91" i="321"/>
  <c r="H90" i="321"/>
  <c r="H89" i="321"/>
  <c r="H88" i="321"/>
  <c r="H87" i="321"/>
  <c r="H86" i="321"/>
  <c r="L85" i="321"/>
  <c r="H85" i="321"/>
  <c r="M84" i="321"/>
  <c r="L84" i="321"/>
  <c r="H84" i="321"/>
  <c r="L83" i="321"/>
  <c r="M83" i="321" s="1"/>
  <c r="H83" i="321"/>
  <c r="M82" i="321"/>
  <c r="L82" i="321"/>
  <c r="H82" i="321"/>
  <c r="H62" i="321"/>
  <c r="M61" i="321"/>
  <c r="L61" i="321"/>
  <c r="H61" i="321"/>
  <c r="M60" i="321"/>
  <c r="L60" i="321"/>
  <c r="H60" i="321"/>
  <c r="H58" i="321"/>
  <c r="M57" i="321"/>
  <c r="L57" i="321"/>
  <c r="H57" i="321"/>
  <c r="H56" i="321"/>
  <c r="M55" i="321"/>
  <c r="L55" i="321"/>
  <c r="H55" i="321"/>
  <c r="H54" i="321"/>
  <c r="M53" i="321"/>
  <c r="L53" i="321"/>
  <c r="H53" i="321"/>
  <c r="M52" i="321"/>
  <c r="L52" i="321"/>
  <c r="H52" i="321"/>
  <c r="M51" i="321"/>
  <c r="L51" i="321"/>
  <c r="H51" i="321"/>
  <c r="M50" i="321"/>
  <c r="L50" i="321"/>
  <c r="H50" i="321"/>
  <c r="M49" i="321"/>
  <c r="L49" i="321"/>
  <c r="H49" i="321"/>
  <c r="K48" i="321"/>
  <c r="L48" i="321" s="1"/>
  <c r="H48" i="321"/>
  <c r="M47" i="321"/>
  <c r="L47" i="321"/>
  <c r="H47" i="321"/>
  <c r="M46" i="321"/>
  <c r="L46" i="321"/>
  <c r="H46" i="321"/>
  <c r="M45" i="321"/>
  <c r="L45" i="321"/>
  <c r="H45" i="321"/>
  <c r="K44" i="321"/>
  <c r="L44" i="321" s="1"/>
  <c r="H44" i="321"/>
  <c r="M43" i="321"/>
  <c r="L43" i="321"/>
  <c r="H43" i="321"/>
  <c r="M42" i="321"/>
  <c r="L42" i="321"/>
  <c r="H42" i="321"/>
  <c r="M41" i="321"/>
  <c r="L41" i="321"/>
  <c r="H41" i="321"/>
  <c r="M40" i="321"/>
  <c r="L40" i="321"/>
  <c r="H40" i="321"/>
  <c r="G38" i="321"/>
  <c r="F38" i="321"/>
  <c r="H37" i="321"/>
  <c r="H36" i="321"/>
  <c r="H35" i="321"/>
  <c r="H34" i="321"/>
  <c r="F32" i="321"/>
  <c r="M31" i="321"/>
  <c r="L31" i="321"/>
  <c r="H31" i="321"/>
  <c r="K30" i="321"/>
  <c r="F30" i="321"/>
  <c r="M29" i="321"/>
  <c r="L29" i="321"/>
  <c r="H29" i="321"/>
  <c r="M28" i="321"/>
  <c r="L28" i="321"/>
  <c r="H28" i="321"/>
  <c r="M27" i="321"/>
  <c r="L27" i="321"/>
  <c r="H27" i="321"/>
  <c r="M26" i="321"/>
  <c r="L26" i="321"/>
  <c r="H26" i="321"/>
  <c r="M25" i="321"/>
  <c r="L25" i="321"/>
  <c r="H25" i="321"/>
  <c r="M24" i="321"/>
  <c r="L24" i="321"/>
  <c r="H24" i="321"/>
  <c r="M23" i="321"/>
  <c r="L23" i="321"/>
  <c r="G22" i="321"/>
  <c r="M21" i="321"/>
  <c r="L21" i="321"/>
  <c r="H21" i="321"/>
  <c r="K20" i="321"/>
  <c r="L20" i="321" s="1"/>
  <c r="H20" i="321"/>
  <c r="M19" i="321"/>
  <c r="L19" i="321"/>
  <c r="H19" i="321"/>
  <c r="K18" i="321"/>
  <c r="L18" i="321" s="1"/>
  <c r="H18" i="321"/>
  <c r="M17" i="321"/>
  <c r="L17" i="321"/>
  <c r="H17" i="321"/>
  <c r="M16" i="321"/>
  <c r="L16" i="321"/>
  <c r="H16" i="321"/>
  <c r="M15" i="321"/>
  <c r="L15" i="321"/>
  <c r="H15" i="321"/>
  <c r="M14" i="321"/>
  <c r="L14" i="321"/>
  <c r="H14" i="321"/>
  <c r="M209" i="321"/>
  <c r="B209" i="321"/>
  <c r="M208" i="321"/>
  <c r="L208" i="321"/>
  <c r="H208" i="321"/>
  <c r="M207" i="321"/>
  <c r="L207" i="321"/>
  <c r="H207" i="321"/>
  <c r="M206" i="321"/>
  <c r="L206" i="321"/>
  <c r="H206" i="321"/>
  <c r="M205" i="321"/>
  <c r="L205" i="321"/>
  <c r="H205" i="321"/>
  <c r="M204" i="321"/>
  <c r="L204" i="321"/>
  <c r="H204" i="321"/>
  <c r="M203" i="321"/>
  <c r="L203" i="321"/>
  <c r="H203" i="321"/>
  <c r="M202" i="321"/>
  <c r="L202" i="321"/>
  <c r="H202" i="321"/>
  <c r="M201" i="321"/>
  <c r="L201" i="321"/>
  <c r="H201" i="321"/>
  <c r="M200" i="321"/>
  <c r="L200" i="321"/>
  <c r="H200" i="321"/>
  <c r="M199" i="321"/>
  <c r="L199" i="321"/>
  <c r="H199" i="321"/>
  <c r="M198" i="321"/>
  <c r="L198" i="321"/>
  <c r="H198" i="321"/>
  <c r="M197" i="321"/>
  <c r="L197" i="321"/>
  <c r="H197" i="321"/>
  <c r="M196" i="321"/>
  <c r="L196" i="321"/>
  <c r="H196" i="321"/>
  <c r="M195" i="321"/>
  <c r="L195" i="321"/>
  <c r="H195" i="321"/>
  <c r="M194" i="321"/>
  <c r="L194" i="321"/>
  <c r="H194" i="321"/>
  <c r="M193" i="321"/>
  <c r="L193" i="321"/>
  <c r="H193" i="321"/>
  <c r="M192" i="321"/>
  <c r="L192" i="321"/>
  <c r="H192" i="321"/>
  <c r="M191" i="321"/>
  <c r="L191" i="321"/>
  <c r="H191" i="321"/>
  <c r="M190" i="321"/>
  <c r="L190" i="321"/>
  <c r="H190" i="321"/>
  <c r="M189" i="321"/>
  <c r="L189" i="321"/>
  <c r="H189" i="321"/>
  <c r="M188" i="321"/>
  <c r="L188" i="321"/>
  <c r="H188" i="321"/>
  <c r="M187" i="321"/>
  <c r="L187" i="321"/>
  <c r="H187" i="321"/>
  <c r="M186" i="321"/>
  <c r="L186" i="321"/>
  <c r="H186" i="321"/>
  <c r="M185" i="321"/>
  <c r="L185" i="321"/>
  <c r="H185" i="321"/>
  <c r="M184" i="321"/>
  <c r="L184" i="321"/>
  <c r="H184" i="321"/>
  <c r="M183" i="321"/>
  <c r="L183" i="321"/>
  <c r="H183" i="321"/>
  <c r="M182" i="321"/>
  <c r="L182" i="321"/>
  <c r="H182" i="321"/>
  <c r="M181" i="321"/>
  <c r="L181" i="321"/>
  <c r="H181" i="321"/>
  <c r="M180" i="321"/>
  <c r="L180" i="321"/>
  <c r="H180" i="321"/>
  <c r="M179" i="321"/>
  <c r="L179" i="321"/>
  <c r="H179" i="321"/>
  <c r="M178" i="321"/>
  <c r="L178" i="321"/>
  <c r="H178" i="321"/>
  <c r="M177" i="321"/>
  <c r="L177" i="321"/>
  <c r="H177" i="321"/>
  <c r="M176" i="321"/>
  <c r="L176" i="321"/>
  <c r="H176" i="321"/>
  <c r="M175" i="321"/>
  <c r="L175" i="321"/>
  <c r="H175" i="321"/>
  <c r="M174" i="321"/>
  <c r="L174" i="321"/>
  <c r="H174" i="321"/>
  <c r="M173" i="321"/>
  <c r="L173" i="321"/>
  <c r="H173" i="321"/>
  <c r="M172" i="321"/>
  <c r="L172" i="321"/>
  <c r="H172" i="321"/>
  <c r="M171" i="321"/>
  <c r="L171" i="321"/>
  <c r="H171" i="321"/>
  <c r="M170" i="321"/>
  <c r="L170" i="321"/>
  <c r="H170" i="321"/>
  <c r="M169" i="321"/>
  <c r="L169" i="321"/>
  <c r="H169" i="321"/>
  <c r="H168" i="321"/>
  <c r="M167" i="321"/>
  <c r="L167" i="321"/>
  <c r="H167" i="321"/>
  <c r="H166" i="321"/>
  <c r="M165" i="321"/>
  <c r="L165" i="321"/>
  <c r="H165" i="321"/>
  <c r="M164" i="321"/>
  <c r="L164" i="321"/>
  <c r="H164" i="321"/>
  <c r="M163" i="321"/>
  <c r="L163" i="321"/>
  <c r="H163" i="321"/>
  <c r="H162" i="321"/>
  <c r="M161" i="321"/>
  <c r="L161" i="321"/>
  <c r="H161" i="321"/>
  <c r="M160" i="321"/>
  <c r="L160" i="321"/>
  <c r="H160" i="321"/>
  <c r="M159" i="321"/>
  <c r="L159" i="321"/>
  <c r="H159" i="321"/>
  <c r="H158" i="321"/>
  <c r="M157" i="321"/>
  <c r="L157" i="321"/>
  <c r="H157" i="321"/>
  <c r="H156" i="321"/>
  <c r="M155" i="321"/>
  <c r="L155" i="321"/>
  <c r="H155" i="321"/>
  <c r="H154" i="321"/>
  <c r="M153" i="321"/>
  <c r="L153" i="321"/>
  <c r="H153" i="321"/>
  <c r="M152" i="321"/>
  <c r="L152" i="321"/>
  <c r="H152" i="321"/>
  <c r="M151" i="321"/>
  <c r="L151" i="321"/>
  <c r="H151" i="321"/>
  <c r="M150" i="321"/>
  <c r="L150" i="321"/>
  <c r="H150" i="321"/>
  <c r="M149" i="321"/>
  <c r="L149" i="321"/>
  <c r="H149" i="321"/>
  <c r="M148" i="321"/>
  <c r="B144" i="321"/>
  <c r="B141" i="321"/>
  <c r="F140" i="321"/>
  <c r="B140" i="321"/>
  <c r="M139" i="321"/>
  <c r="B139" i="321"/>
  <c r="K123" i="321"/>
  <c r="K119" i="321"/>
  <c r="M76" i="321"/>
  <c r="L76" i="321"/>
  <c r="M75" i="321"/>
  <c r="B71" i="321"/>
  <c r="B68" i="321"/>
  <c r="F67" i="321"/>
  <c r="B67" i="321"/>
  <c r="M66" i="321"/>
  <c r="B66" i="321"/>
  <c r="M65" i="321"/>
  <c r="L65" i="321"/>
  <c r="H65" i="321"/>
  <c r="M63" i="321"/>
  <c r="L63" i="321"/>
  <c r="H63" i="321"/>
  <c r="M59" i="321"/>
  <c r="L59" i="321"/>
  <c r="H59" i="321"/>
  <c r="M39" i="321"/>
  <c r="L39" i="321"/>
  <c r="H39" i="321"/>
  <c r="L38" i="321"/>
  <c r="M38" i="321" s="1"/>
  <c r="M37" i="321"/>
  <c r="L37" i="321"/>
  <c r="M36" i="321"/>
  <c r="L36" i="321"/>
  <c r="M35" i="321"/>
  <c r="L35" i="321"/>
  <c r="L34" i="321"/>
  <c r="M34" i="321"/>
  <c r="M33" i="321"/>
  <c r="L33" i="321"/>
  <c r="H33" i="321"/>
  <c r="M13" i="321"/>
  <c r="L13" i="321"/>
  <c r="H13" i="321"/>
  <c r="M12" i="321"/>
  <c r="L12" i="321"/>
  <c r="H12" i="321"/>
  <c r="M11" i="321"/>
  <c r="L11" i="321"/>
  <c r="H11" i="321"/>
  <c r="B7" i="321"/>
  <c r="H6" i="321"/>
  <c r="H143" i="321" s="1"/>
  <c r="B4" i="321"/>
  <c r="F3" i="321"/>
  <c r="B3" i="321"/>
  <c r="I1" i="321"/>
  <c r="K82" i="271"/>
  <c r="L82" i="271" s="1"/>
  <c r="H82" i="271"/>
  <c r="L81" i="271"/>
  <c r="H81" i="271"/>
  <c r="L80" i="271"/>
  <c r="H80" i="271"/>
  <c r="L79" i="271"/>
  <c r="H79" i="271"/>
  <c r="K78" i="271"/>
  <c r="L78" i="271" s="1"/>
  <c r="H78" i="271"/>
  <c r="L77" i="271"/>
  <c r="H77" i="271"/>
  <c r="L76" i="271"/>
  <c r="H76" i="271"/>
  <c r="M85" i="321" l="1"/>
  <c r="M18" i="321"/>
  <c r="M20" i="321"/>
  <c r="H38" i="321"/>
  <c r="L30" i="321"/>
  <c r="M48" i="321"/>
  <c r="M44" i="321"/>
  <c r="H30" i="321"/>
  <c r="H32" i="321"/>
  <c r="H70" i="321"/>
  <c r="H2" i="320"/>
  <c r="H1" i="320"/>
  <c r="M1" i="320" l="1"/>
  <c r="M30" i="321"/>
  <c r="K15" i="320" l="1"/>
  <c r="L15" i="320" s="1"/>
  <c r="M15" i="320" s="1"/>
  <c r="K16" i="320"/>
  <c r="L16" i="320" s="1"/>
  <c r="M16" i="320" s="1"/>
  <c r="K13" i="320"/>
  <c r="L13" i="320" s="1"/>
  <c r="M13" i="320" s="1"/>
  <c r="K17" i="320"/>
  <c r="L17" i="320" s="1"/>
  <c r="M17" i="320" s="1"/>
  <c r="K14" i="320"/>
  <c r="L14" i="320" s="1"/>
  <c r="M14" i="320" s="1"/>
  <c r="K18" i="320"/>
  <c r="L18" i="320" s="1"/>
  <c r="M18" i="320" s="1"/>
  <c r="K7" i="320"/>
  <c r="L7" i="320" s="1"/>
  <c r="M7" i="320" s="1"/>
  <c r="K12" i="320"/>
  <c r="L12" i="320" s="1"/>
  <c r="M12" i="320" s="1"/>
  <c r="D800" i="320"/>
  <c r="K792" i="320"/>
  <c r="L792" i="320" s="1"/>
  <c r="M792" i="320" s="1"/>
  <c r="K788" i="320"/>
  <c r="L788" i="320" s="1"/>
  <c r="M788" i="320" s="1"/>
  <c r="K786" i="320"/>
  <c r="L786" i="320" s="1"/>
  <c r="M786" i="320" s="1"/>
  <c r="K781" i="320"/>
  <c r="L781" i="320" s="1"/>
  <c r="M781" i="320" s="1"/>
  <c r="K775" i="320"/>
  <c r="L775" i="320" s="1"/>
  <c r="M775" i="320" s="1"/>
  <c r="K771" i="320"/>
  <c r="L771" i="320" s="1"/>
  <c r="M771" i="320" s="1"/>
  <c r="K766" i="320"/>
  <c r="L766" i="320" s="1"/>
  <c r="M766" i="320" s="1"/>
  <c r="K762" i="320"/>
  <c r="L762" i="320" s="1"/>
  <c r="M762" i="320" s="1"/>
  <c r="K760" i="320"/>
  <c r="L760" i="320" s="1"/>
  <c r="M760" i="320" s="1"/>
  <c r="K754" i="320"/>
  <c r="L754" i="320" s="1"/>
  <c r="M754" i="320" s="1"/>
  <c r="K750" i="320"/>
  <c r="K748" i="320"/>
  <c r="L748" i="320" s="1"/>
  <c r="M748" i="320" s="1"/>
  <c r="K745" i="320"/>
  <c r="L745" i="320" s="1"/>
  <c r="M745" i="320" s="1"/>
  <c r="K742" i="320"/>
  <c r="L742" i="320" s="1"/>
  <c r="M742" i="320" s="1"/>
  <c r="K739" i="320"/>
  <c r="L739" i="320" s="1"/>
  <c r="M739" i="320" s="1"/>
  <c r="K731" i="320"/>
  <c r="K727" i="320"/>
  <c r="K724" i="320"/>
  <c r="K722" i="320"/>
  <c r="K716" i="320"/>
  <c r="K714" i="320"/>
  <c r="L714" i="320" s="1"/>
  <c r="M714" i="320" s="1"/>
  <c r="K711" i="320"/>
  <c r="L711" i="320" s="1"/>
  <c r="M711" i="320" s="1"/>
  <c r="K709" i="320"/>
  <c r="L709" i="320" s="1"/>
  <c r="M709" i="320" s="1"/>
  <c r="K705" i="320"/>
  <c r="L705" i="320" s="1"/>
  <c r="M705" i="320" s="1"/>
  <c r="K703" i="320"/>
  <c r="L703" i="320" s="1"/>
  <c r="M703" i="320" s="1"/>
  <c r="K701" i="320"/>
  <c r="L701" i="320" s="1"/>
  <c r="M701" i="320" s="1"/>
  <c r="K695" i="320"/>
  <c r="L695" i="320" s="1"/>
  <c r="M695" i="320" s="1"/>
  <c r="K687" i="320"/>
  <c r="L687" i="320" s="1"/>
  <c r="M687" i="320" s="1"/>
  <c r="K684" i="320"/>
  <c r="L684" i="320" s="1"/>
  <c r="M684" i="320" s="1"/>
  <c r="K681" i="320"/>
  <c r="L681" i="320" s="1"/>
  <c r="M681" i="320" s="1"/>
  <c r="K674" i="320"/>
  <c r="L674" i="320" s="1"/>
  <c r="M674" i="320" s="1"/>
  <c r="K671" i="320"/>
  <c r="L671" i="320" s="1"/>
  <c r="M671" i="320" s="1"/>
  <c r="K667" i="320"/>
  <c r="L667" i="320" s="1"/>
  <c r="M667" i="320" s="1"/>
  <c r="K661" i="320"/>
  <c r="L661" i="320" s="1"/>
  <c r="M661" i="320" s="1"/>
  <c r="K658" i="320"/>
  <c r="L658" i="320" s="1"/>
  <c r="M658" i="320" s="1"/>
  <c r="K656" i="320"/>
  <c r="L656" i="320" s="1"/>
  <c r="M656" i="320" s="1"/>
  <c r="K649" i="320"/>
  <c r="L649" i="320" s="1"/>
  <c r="M649" i="320" s="1"/>
  <c r="K646" i="320"/>
  <c r="L646" i="320" s="1"/>
  <c r="M646" i="320" s="1"/>
  <c r="K643" i="320"/>
  <c r="L643" i="320" s="1"/>
  <c r="M643" i="320" s="1"/>
  <c r="K640" i="320"/>
  <c r="L640" i="320" s="1"/>
  <c r="M640" i="320" s="1"/>
  <c r="K637" i="320"/>
  <c r="L637" i="320" s="1"/>
  <c r="M637" i="320" s="1"/>
  <c r="K631" i="320"/>
  <c r="K625" i="320"/>
  <c r="K623" i="320"/>
  <c r="K620" i="320"/>
  <c r="K614" i="320"/>
  <c r="K612" i="320"/>
  <c r="L612" i="320" s="1"/>
  <c r="M612" i="320" s="1"/>
  <c r="K609" i="320"/>
  <c r="L609" i="320" s="1"/>
  <c r="M609" i="320" s="1"/>
  <c r="K607" i="320"/>
  <c r="L607" i="320" s="1"/>
  <c r="M607" i="320" s="1"/>
  <c r="K604" i="320"/>
  <c r="L604" i="320" s="1"/>
  <c r="M604" i="320" s="1"/>
  <c r="K601" i="320"/>
  <c r="L601" i="320" s="1"/>
  <c r="M601" i="320" s="1"/>
  <c r="K599" i="320"/>
  <c r="L599" i="320" s="1"/>
  <c r="M599" i="320" s="1"/>
  <c r="K597" i="320"/>
  <c r="L597" i="320" s="1"/>
  <c r="M597" i="320" s="1"/>
  <c r="K586" i="320"/>
  <c r="L586" i="320" s="1"/>
  <c r="M586" i="320" s="1"/>
  <c r="K582" i="320"/>
  <c r="L582" i="320" s="1"/>
  <c r="M582" i="320" s="1"/>
  <c r="K579" i="320"/>
  <c r="K575" i="320"/>
  <c r="L575" i="320" s="1"/>
  <c r="M575" i="320" s="1"/>
  <c r="K571" i="320"/>
  <c r="L571" i="320" s="1"/>
  <c r="M571" i="320" s="1"/>
  <c r="K566" i="320"/>
  <c r="L566" i="320" s="1"/>
  <c r="M566" i="320" s="1"/>
  <c r="K561" i="320"/>
  <c r="L561" i="320" s="1"/>
  <c r="M561" i="320" s="1"/>
  <c r="K557" i="320"/>
  <c r="L557" i="320" s="1"/>
  <c r="M557" i="320" s="1"/>
  <c r="K549" i="320"/>
  <c r="L549" i="320" s="1"/>
  <c r="M549" i="320" s="1"/>
  <c r="K544" i="320"/>
  <c r="L544" i="320" s="1"/>
  <c r="M544" i="320" s="1"/>
  <c r="K542" i="320"/>
  <c r="L542" i="320" s="1"/>
  <c r="M542" i="320" s="1"/>
  <c r="K540" i="320"/>
  <c r="L540" i="320" s="1"/>
  <c r="M540" i="320" s="1"/>
  <c r="K538" i="320"/>
  <c r="L538" i="320" s="1"/>
  <c r="M538" i="320" s="1"/>
  <c r="K536" i="320"/>
  <c r="L536" i="320" s="1"/>
  <c r="M536" i="320" s="1"/>
  <c r="K530" i="320"/>
  <c r="L530" i="320" s="1"/>
  <c r="M530" i="320" s="1"/>
  <c r="K526" i="320"/>
  <c r="L526" i="320" s="1"/>
  <c r="M526" i="320" s="1"/>
  <c r="K523" i="320"/>
  <c r="L523" i="320" s="1"/>
  <c r="M523" i="320" s="1"/>
  <c r="K520" i="320"/>
  <c r="L520" i="320" s="1"/>
  <c r="M520" i="320" s="1"/>
  <c r="K517" i="320"/>
  <c r="L517" i="320" s="1"/>
  <c r="M517" i="320" s="1"/>
  <c r="K511" i="320"/>
  <c r="K507" i="320"/>
  <c r="K505" i="320"/>
  <c r="K502" i="320"/>
  <c r="K496" i="320"/>
  <c r="L496" i="320" s="1"/>
  <c r="M496" i="320" s="1"/>
  <c r="K493" i="320"/>
  <c r="L493" i="320" s="1"/>
  <c r="M493" i="320" s="1"/>
  <c r="K491" i="320"/>
  <c r="L491" i="320" s="1"/>
  <c r="M491" i="320" s="1"/>
  <c r="K480" i="320"/>
  <c r="L480" i="320" s="1"/>
  <c r="M480" i="320" s="1"/>
  <c r="K478" i="320"/>
  <c r="L478" i="320" s="1"/>
  <c r="M478" i="320" s="1"/>
  <c r="K476" i="320"/>
  <c r="L476" i="320" s="1"/>
  <c r="M476" i="320" s="1"/>
  <c r="K474" i="320"/>
  <c r="L474" i="320" s="1"/>
  <c r="M474" i="320" s="1"/>
  <c r="K471" i="320"/>
  <c r="L471" i="320" s="1"/>
  <c r="M471" i="320" s="1"/>
  <c r="K464" i="320"/>
  <c r="L464" i="320" s="1"/>
  <c r="M464" i="320" s="1"/>
  <c r="K462" i="320"/>
  <c r="K457" i="320"/>
  <c r="K454" i="320"/>
  <c r="K447" i="320"/>
  <c r="L447" i="320" s="1"/>
  <c r="M447" i="320" s="1"/>
  <c r="K445" i="320"/>
  <c r="L445" i="320" s="1"/>
  <c r="M445" i="320" s="1"/>
  <c r="K442" i="320"/>
  <c r="L442" i="320" s="1"/>
  <c r="M442" i="320" s="1"/>
  <c r="K439" i="320"/>
  <c r="L439" i="320" s="1"/>
  <c r="M439" i="320" s="1"/>
  <c r="K437" i="320"/>
  <c r="L437" i="320" s="1"/>
  <c r="M437" i="320" s="1"/>
  <c r="K433" i="320"/>
  <c r="L433" i="320" s="1"/>
  <c r="M433" i="320" s="1"/>
  <c r="K428" i="320"/>
  <c r="L428" i="320" s="1"/>
  <c r="M428" i="320" s="1"/>
  <c r="K426" i="320"/>
  <c r="L426" i="320" s="1"/>
  <c r="M426" i="320" s="1"/>
  <c r="K421" i="320"/>
  <c r="K419" i="320"/>
  <c r="L419" i="320" s="1"/>
  <c r="M419" i="320" s="1"/>
  <c r="K417" i="320"/>
  <c r="L417" i="320" s="1"/>
  <c r="M417" i="320" s="1"/>
  <c r="K414" i="320"/>
  <c r="K411" i="320"/>
  <c r="K407" i="320"/>
  <c r="L407" i="320" s="1"/>
  <c r="M407" i="320" s="1"/>
  <c r="K404" i="320"/>
  <c r="K398" i="320"/>
  <c r="K395" i="320"/>
  <c r="L395" i="320" s="1"/>
  <c r="M395" i="320" s="1"/>
  <c r="K389" i="320"/>
  <c r="L389" i="320" s="1"/>
  <c r="M389" i="320" s="1"/>
  <c r="K387" i="320"/>
  <c r="L387" i="320" s="1"/>
  <c r="M387" i="320" s="1"/>
  <c r="K381" i="320"/>
  <c r="L381" i="320" s="1"/>
  <c r="M381" i="320" s="1"/>
  <c r="K375" i="320"/>
  <c r="L375" i="320" s="1"/>
  <c r="M375" i="320" s="1"/>
  <c r="K373" i="320"/>
  <c r="L373" i="320" s="1"/>
  <c r="M373" i="320" s="1"/>
  <c r="K371" i="320"/>
  <c r="L371" i="320" s="1"/>
  <c r="M371" i="320" s="1"/>
  <c r="K369" i="320"/>
  <c r="L369" i="320" s="1"/>
  <c r="M369" i="320" s="1"/>
  <c r="K363" i="320"/>
  <c r="L363" i="320" s="1"/>
  <c r="M363" i="320" s="1"/>
  <c r="K360" i="320"/>
  <c r="L360" i="320" s="1"/>
  <c r="M360" i="320" s="1"/>
  <c r="K358" i="320"/>
  <c r="L358" i="320" s="1"/>
  <c r="M358" i="320" s="1"/>
  <c r="K356" i="320"/>
  <c r="L356" i="320" s="1"/>
  <c r="M356" i="320" s="1"/>
  <c r="K354" i="320"/>
  <c r="L354" i="320" s="1"/>
  <c r="M354" i="320" s="1"/>
  <c r="K351" i="320"/>
  <c r="K348" i="320"/>
  <c r="L348" i="320" s="1"/>
  <c r="M348" i="320" s="1"/>
  <c r="K345" i="320"/>
  <c r="K342" i="320"/>
  <c r="L342" i="320" s="1"/>
  <c r="M342" i="320" s="1"/>
  <c r="K339" i="320"/>
  <c r="L339" i="320" s="1"/>
  <c r="M339" i="320" s="1"/>
  <c r="K335" i="320"/>
  <c r="L335" i="320" s="1"/>
  <c r="M335" i="320" s="1"/>
  <c r="K330" i="320"/>
  <c r="K324" i="320"/>
  <c r="L324" i="320" s="1"/>
  <c r="M324" i="320" s="1"/>
  <c r="K321" i="320"/>
  <c r="L321" i="320" s="1"/>
  <c r="M321" i="320" s="1"/>
  <c r="K318" i="320"/>
  <c r="K314" i="320"/>
  <c r="L314" i="320" s="1"/>
  <c r="M314" i="320" s="1"/>
  <c r="K310" i="320"/>
  <c r="K307" i="320"/>
  <c r="L307" i="320" s="1"/>
  <c r="M307" i="320" s="1"/>
  <c r="K302" i="320"/>
  <c r="L302" i="320" s="1"/>
  <c r="M302" i="320" s="1"/>
  <c r="K298" i="320"/>
  <c r="K296" i="320"/>
  <c r="L296" i="320" s="1"/>
  <c r="M296" i="320" s="1"/>
  <c r="K293" i="320"/>
  <c r="K290" i="320"/>
  <c r="K288" i="320"/>
  <c r="K284" i="320"/>
  <c r="L284" i="320" s="1"/>
  <c r="M284" i="320" s="1"/>
  <c r="K281" i="320"/>
  <c r="L281" i="320" s="1"/>
  <c r="M281" i="320" s="1"/>
  <c r="K277" i="320"/>
  <c r="L277" i="320" s="1"/>
  <c r="M277" i="320" s="1"/>
  <c r="K274" i="320"/>
  <c r="K271" i="320"/>
  <c r="K269" i="320"/>
  <c r="L269" i="320" s="1"/>
  <c r="M269" i="320" s="1"/>
  <c r="K263" i="320"/>
  <c r="L263" i="320" s="1"/>
  <c r="M263" i="320" s="1"/>
  <c r="K260" i="320"/>
  <c r="K257" i="320"/>
  <c r="K253" i="320"/>
  <c r="L253" i="320" s="1"/>
  <c r="M253" i="320" s="1"/>
  <c r="K249" i="320"/>
  <c r="L249" i="320" s="1"/>
  <c r="M249" i="320" s="1"/>
  <c r="K247" i="320"/>
  <c r="L247" i="320" s="1"/>
  <c r="M247" i="320" s="1"/>
  <c r="K242" i="320"/>
  <c r="K240" i="320"/>
  <c r="L240" i="320" s="1"/>
  <c r="M240" i="320" s="1"/>
  <c r="K233" i="320"/>
  <c r="K227" i="320"/>
  <c r="L227" i="320" s="1"/>
  <c r="M227" i="320" s="1"/>
  <c r="K224" i="320"/>
  <c r="L224" i="320" s="1"/>
  <c r="M224" i="320" s="1"/>
  <c r="K215" i="320"/>
  <c r="L215" i="320" s="1"/>
  <c r="M215" i="320" s="1"/>
  <c r="K207" i="320"/>
  <c r="K201" i="320"/>
  <c r="K192" i="320"/>
  <c r="L192" i="320" s="1"/>
  <c r="M192" i="320" s="1"/>
  <c r="K182" i="320"/>
  <c r="L182" i="320" s="1"/>
  <c r="M182" i="320" s="1"/>
  <c r="K170" i="320"/>
  <c r="L170" i="320" s="1"/>
  <c r="M170" i="320" s="1"/>
  <c r="K161" i="320"/>
  <c r="L161" i="320" s="1"/>
  <c r="M161" i="320" s="1"/>
  <c r="K151" i="320"/>
  <c r="L151" i="320" s="1"/>
  <c r="M151" i="320" s="1"/>
  <c r="K141" i="320"/>
  <c r="L141" i="320" s="1"/>
  <c r="M141" i="320" s="1"/>
  <c r="K132" i="320"/>
  <c r="L132" i="320" s="1"/>
  <c r="M132" i="320" s="1"/>
  <c r="K121" i="320"/>
  <c r="L121" i="320" s="1"/>
  <c r="M121" i="320" s="1"/>
  <c r="K105" i="320"/>
  <c r="L105" i="320" s="1"/>
  <c r="M105" i="320" s="1"/>
  <c r="K74" i="320"/>
  <c r="L74" i="320" s="1"/>
  <c r="M74" i="320" s="1"/>
  <c r="K55" i="320"/>
  <c r="L55" i="320" s="1"/>
  <c r="M55" i="320" s="1"/>
  <c r="K49" i="320"/>
  <c r="L49" i="320" s="1"/>
  <c r="M49" i="320" s="1"/>
  <c r="K36" i="320"/>
  <c r="L36" i="320" s="1"/>
  <c r="M36" i="320" s="1"/>
  <c r="K29" i="320"/>
  <c r="L29" i="320" s="1"/>
  <c r="M29" i="320" s="1"/>
  <c r="K10" i="320"/>
  <c r="L10" i="320" s="1"/>
  <c r="M10" i="320" s="1"/>
  <c r="K795" i="320"/>
  <c r="L795" i="320" s="1"/>
  <c r="M795" i="320" s="1"/>
  <c r="K790" i="320"/>
  <c r="L790" i="320" s="1"/>
  <c r="M790" i="320" s="1"/>
  <c r="K787" i="320"/>
  <c r="L787" i="320" s="1"/>
  <c r="M787" i="320" s="1"/>
  <c r="K784" i="320"/>
  <c r="L784" i="320" s="1"/>
  <c r="M784" i="320" s="1"/>
  <c r="K777" i="320"/>
  <c r="L777" i="320" s="1"/>
  <c r="M777" i="320" s="1"/>
  <c r="K774" i="320"/>
  <c r="L774" i="320" s="1"/>
  <c r="M774" i="320" s="1"/>
  <c r="K770" i="320"/>
  <c r="L770" i="320" s="1"/>
  <c r="M770" i="320" s="1"/>
  <c r="K764" i="320"/>
  <c r="L764" i="320" s="1"/>
  <c r="M764" i="320" s="1"/>
  <c r="K761" i="320"/>
  <c r="L761" i="320" s="1"/>
  <c r="M761" i="320" s="1"/>
  <c r="K759" i="320"/>
  <c r="L759" i="320" s="1"/>
  <c r="M759" i="320" s="1"/>
  <c r="K752" i="320"/>
  <c r="L752" i="320" s="1"/>
  <c r="M752" i="320" s="1"/>
  <c r="K749" i="320"/>
  <c r="L749" i="320" s="1"/>
  <c r="M749" i="320" s="1"/>
  <c r="K746" i="320"/>
  <c r="L746" i="320" s="1"/>
  <c r="M746" i="320" s="1"/>
  <c r="K743" i="320"/>
  <c r="L743" i="320" s="1"/>
  <c r="M743" i="320" s="1"/>
  <c r="K740" i="320"/>
  <c r="L740" i="320" s="1"/>
  <c r="M740" i="320" s="1"/>
  <c r="K734" i="320"/>
  <c r="K728" i="320"/>
  <c r="K726" i="320"/>
  <c r="K723" i="320"/>
  <c r="K717" i="320"/>
  <c r="K715" i="320"/>
  <c r="L715" i="320" s="1"/>
  <c r="M715" i="320" s="1"/>
  <c r="K712" i="320"/>
  <c r="L712" i="320" s="1"/>
  <c r="M712" i="320" s="1"/>
  <c r="K710" i="320"/>
  <c r="L710" i="320" s="1"/>
  <c r="M710" i="320" s="1"/>
  <c r="K707" i="320"/>
  <c r="L707" i="320" s="1"/>
  <c r="M707" i="320" s="1"/>
  <c r="K704" i="320"/>
  <c r="L704" i="320" s="1"/>
  <c r="M704" i="320" s="1"/>
  <c r="K702" i="320"/>
  <c r="L702" i="320" s="1"/>
  <c r="M702" i="320" s="1"/>
  <c r="K700" i="320"/>
  <c r="L700" i="320" s="1"/>
  <c r="M700" i="320" s="1"/>
  <c r="K689" i="320"/>
  <c r="L689" i="320" s="1"/>
  <c r="M689" i="320" s="1"/>
  <c r="K685" i="320"/>
  <c r="L685" i="320" s="1"/>
  <c r="M685" i="320" s="1"/>
  <c r="K683" i="320"/>
  <c r="L683" i="320" s="1"/>
  <c r="M683" i="320" s="1"/>
  <c r="K678" i="320"/>
  <c r="L678" i="320" s="1"/>
  <c r="M678" i="320" s="1"/>
  <c r="K672" i="320"/>
  <c r="L672" i="320" s="1"/>
  <c r="M672" i="320" s="1"/>
  <c r="K668" i="320"/>
  <c r="L668" i="320" s="1"/>
  <c r="M668" i="320" s="1"/>
  <c r="K663" i="320"/>
  <c r="L663" i="320" s="1"/>
  <c r="M663" i="320" s="1"/>
  <c r="K659" i="320"/>
  <c r="L659" i="320" s="1"/>
  <c r="M659" i="320" s="1"/>
  <c r="K657" i="320"/>
  <c r="L657" i="320" s="1"/>
  <c r="M657" i="320" s="1"/>
  <c r="K651" i="320"/>
  <c r="L651" i="320" s="1"/>
  <c r="M651" i="320" s="1"/>
  <c r="K647" i="320"/>
  <c r="K645" i="320"/>
  <c r="L645" i="320" s="1"/>
  <c r="M645" i="320" s="1"/>
  <c r="K642" i="320"/>
  <c r="L642" i="320" s="1"/>
  <c r="M642" i="320" s="1"/>
  <c r="K639" i="320"/>
  <c r="L639" i="320" s="1"/>
  <c r="M639" i="320" s="1"/>
  <c r="K636" i="320"/>
  <c r="L636" i="320" s="1"/>
  <c r="M636" i="320" s="1"/>
  <c r="K628" i="320"/>
  <c r="K624" i="320"/>
  <c r="K621" i="320"/>
  <c r="K619" i="320"/>
  <c r="K613" i="320"/>
  <c r="K611" i="320"/>
  <c r="L611" i="320" s="1"/>
  <c r="M611" i="320" s="1"/>
  <c r="K608" i="320"/>
  <c r="L608" i="320" s="1"/>
  <c r="M608" i="320" s="1"/>
  <c r="K606" i="320"/>
  <c r="L606" i="320" s="1"/>
  <c r="M606" i="320" s="1"/>
  <c r="K602" i="320"/>
  <c r="L602" i="320" s="1"/>
  <c r="M602" i="320" s="1"/>
  <c r="K600" i="320"/>
  <c r="L600" i="320" s="1"/>
  <c r="M600" i="320" s="1"/>
  <c r="K598" i="320"/>
  <c r="L598" i="320" s="1"/>
  <c r="M598" i="320" s="1"/>
  <c r="K592" i="320"/>
  <c r="L592" i="320" s="1"/>
  <c r="M592" i="320" s="1"/>
  <c r="K585" i="320"/>
  <c r="L585" i="320" s="1"/>
  <c r="M585" i="320" s="1"/>
  <c r="K580" i="320"/>
  <c r="L580" i="320" s="1"/>
  <c r="M580" i="320" s="1"/>
  <c r="K577" i="320"/>
  <c r="L577" i="320" s="1"/>
  <c r="M577" i="320" s="1"/>
  <c r="K574" i="320"/>
  <c r="L574" i="320" s="1"/>
  <c r="M574" i="320" s="1"/>
  <c r="K567" i="320"/>
  <c r="L567" i="320" s="1"/>
  <c r="M567" i="320" s="1"/>
  <c r="K563" i="320"/>
  <c r="L563" i="320" s="1"/>
  <c r="M563" i="320" s="1"/>
  <c r="K560" i="320"/>
  <c r="L560" i="320" s="1"/>
  <c r="M560" i="320" s="1"/>
  <c r="K553" i="320"/>
  <c r="L553" i="320" s="1"/>
  <c r="M553" i="320" s="1"/>
  <c r="K546" i="320"/>
  <c r="L546" i="320" s="1"/>
  <c r="M546" i="320" s="1"/>
  <c r="K543" i="320"/>
  <c r="L543" i="320" s="1"/>
  <c r="M543" i="320" s="1"/>
  <c r="K541" i="320"/>
  <c r="L541" i="320" s="1"/>
  <c r="M541" i="320" s="1"/>
  <c r="K539" i="320"/>
  <c r="L539" i="320" s="1"/>
  <c r="M539" i="320" s="1"/>
  <c r="K537" i="320"/>
  <c r="L537" i="320" s="1"/>
  <c r="M537" i="320" s="1"/>
  <c r="K531" i="320"/>
  <c r="L531" i="320" s="1"/>
  <c r="M531" i="320" s="1"/>
  <c r="K528" i="320"/>
  <c r="L528" i="320" s="1"/>
  <c r="M528" i="320" s="1"/>
  <c r="K525" i="320"/>
  <c r="L525" i="320" s="1"/>
  <c r="M525" i="320" s="1"/>
  <c r="K522" i="320"/>
  <c r="L522" i="320" s="1"/>
  <c r="M522" i="320" s="1"/>
  <c r="K519" i="320"/>
  <c r="L519" i="320" s="1"/>
  <c r="M519" i="320" s="1"/>
  <c r="K516" i="320"/>
  <c r="L516" i="320" s="1"/>
  <c r="M516" i="320" s="1"/>
  <c r="K508" i="320"/>
  <c r="K506" i="320"/>
  <c r="K503" i="320"/>
  <c r="K501" i="320"/>
  <c r="K495" i="320"/>
  <c r="L495" i="320" s="1"/>
  <c r="M495" i="320" s="1"/>
  <c r="K492" i="320"/>
  <c r="L492" i="320" s="1"/>
  <c r="M492" i="320" s="1"/>
  <c r="K486" i="320"/>
  <c r="L486" i="320" s="1"/>
  <c r="M486" i="320" s="1"/>
  <c r="K479" i="320"/>
  <c r="L479" i="320" s="1"/>
  <c r="M479" i="320" s="1"/>
  <c r="K477" i="320"/>
  <c r="L477" i="320" s="1"/>
  <c r="M477" i="320" s="1"/>
  <c r="K475" i="320"/>
  <c r="L475" i="320" s="1"/>
  <c r="M475" i="320" s="1"/>
  <c r="K472" i="320"/>
  <c r="L472" i="320" s="1"/>
  <c r="M472" i="320" s="1"/>
  <c r="K466" i="320"/>
  <c r="K463" i="320"/>
  <c r="L463" i="320" s="1"/>
  <c r="M463" i="320" s="1"/>
  <c r="K460" i="320"/>
  <c r="L460" i="320" s="1"/>
  <c r="M460" i="320" s="1"/>
  <c r="K455" i="320"/>
  <c r="K452" i="320"/>
  <c r="K446" i="320"/>
  <c r="L446" i="320" s="1"/>
  <c r="M446" i="320" s="1"/>
  <c r="K444" i="320"/>
  <c r="L444" i="320" s="1"/>
  <c r="M444" i="320" s="1"/>
  <c r="K441" i="320"/>
  <c r="L441" i="320" s="1"/>
  <c r="M441" i="320" s="1"/>
  <c r="K438" i="320"/>
  <c r="L438" i="320" s="1"/>
  <c r="M438" i="320" s="1"/>
  <c r="K434" i="320"/>
  <c r="L434" i="320" s="1"/>
  <c r="M434" i="320" s="1"/>
  <c r="K431" i="320"/>
  <c r="L431" i="320" s="1"/>
  <c r="M431" i="320" s="1"/>
  <c r="K427" i="320"/>
  <c r="L427" i="320" s="1"/>
  <c r="M427" i="320" s="1"/>
  <c r="K424" i="320"/>
  <c r="L424" i="320" s="1"/>
  <c r="M424" i="320" s="1"/>
  <c r="K420" i="320"/>
  <c r="L420" i="320" s="1"/>
  <c r="M420" i="320" s="1"/>
  <c r="K418" i="320"/>
  <c r="L418" i="320" s="1"/>
  <c r="M418" i="320" s="1"/>
  <c r="K416" i="320"/>
  <c r="L416" i="320" s="1"/>
  <c r="M416" i="320" s="1"/>
  <c r="K413" i="320"/>
  <c r="L413" i="320" s="1"/>
  <c r="M413" i="320" s="1"/>
  <c r="K409" i="320"/>
  <c r="L409" i="320" s="1"/>
  <c r="M409" i="320" s="1"/>
  <c r="K405" i="320"/>
  <c r="L405" i="320" s="1"/>
  <c r="M405" i="320" s="1"/>
  <c r="K399" i="320"/>
  <c r="K397" i="320"/>
  <c r="K394" i="320"/>
  <c r="L394" i="320" s="1"/>
  <c r="M394" i="320" s="1"/>
  <c r="K388" i="320"/>
  <c r="L388" i="320" s="1"/>
  <c r="M388" i="320" s="1"/>
  <c r="K382" i="320"/>
  <c r="L382" i="320" s="1"/>
  <c r="M382" i="320" s="1"/>
  <c r="K380" i="320"/>
  <c r="L380" i="320" s="1"/>
  <c r="M380" i="320" s="1"/>
  <c r="K374" i="320"/>
  <c r="L374" i="320" s="1"/>
  <c r="M374" i="320" s="1"/>
  <c r="K372" i="320"/>
  <c r="L372" i="320" s="1"/>
  <c r="M372" i="320" s="1"/>
  <c r="K370" i="320"/>
  <c r="L370" i="320" s="1"/>
  <c r="M370" i="320" s="1"/>
  <c r="K364" i="320"/>
  <c r="L364" i="320" s="1"/>
  <c r="M364" i="320" s="1"/>
  <c r="K361" i="320"/>
  <c r="K359" i="320"/>
  <c r="L359" i="320" s="1"/>
  <c r="M359" i="320" s="1"/>
  <c r="K357" i="320"/>
  <c r="L357" i="320" s="1"/>
  <c r="M357" i="320" s="1"/>
  <c r="K355" i="320"/>
  <c r="L355" i="320" s="1"/>
  <c r="M355" i="320" s="1"/>
  <c r="K352" i="320"/>
  <c r="K349" i="320"/>
  <c r="K346" i="320"/>
  <c r="K343" i="320"/>
  <c r="L343" i="320" s="1"/>
  <c r="M343" i="320" s="1"/>
  <c r="K341" i="320"/>
  <c r="L341" i="320" s="1"/>
  <c r="M341" i="320" s="1"/>
  <c r="K338" i="320"/>
  <c r="L338" i="320" s="1"/>
  <c r="M338" i="320" s="1"/>
  <c r="K333" i="320"/>
  <c r="K325" i="320"/>
  <c r="L325" i="320" s="1"/>
  <c r="M325" i="320" s="1"/>
  <c r="K323" i="320"/>
  <c r="L323" i="320" s="1"/>
  <c r="M323" i="320" s="1"/>
  <c r="K320" i="320"/>
  <c r="L320" i="320" s="1"/>
  <c r="M320" i="320" s="1"/>
  <c r="K317" i="320"/>
  <c r="K311" i="320"/>
  <c r="K309" i="320"/>
  <c r="K306" i="320"/>
  <c r="L306" i="320" s="1"/>
  <c r="M306" i="320" s="1"/>
  <c r="K301" i="320"/>
  <c r="L301" i="320" s="1"/>
  <c r="M301" i="320" s="1"/>
  <c r="K297" i="320"/>
  <c r="L297" i="320" s="1"/>
  <c r="M297" i="320" s="1"/>
  <c r="K294" i="320"/>
  <c r="L294" i="320" s="1"/>
  <c r="M294" i="320" s="1"/>
  <c r="K292" i="320"/>
  <c r="K289" i="320"/>
  <c r="K286" i="320"/>
  <c r="L286" i="320" s="1"/>
  <c r="M286" i="320" s="1"/>
  <c r="K282" i="320"/>
  <c r="L282" i="320" s="1"/>
  <c r="M282" i="320" s="1"/>
  <c r="K280" i="320"/>
  <c r="L280" i="320" s="1"/>
  <c r="M280" i="320" s="1"/>
  <c r="K276" i="320"/>
  <c r="K272" i="320"/>
  <c r="L272" i="320" s="1"/>
  <c r="M272" i="320" s="1"/>
  <c r="K270" i="320"/>
  <c r="L270" i="320" s="1"/>
  <c r="M270" i="320" s="1"/>
  <c r="K264" i="320"/>
  <c r="L264" i="320" s="1"/>
  <c r="M264" i="320" s="1"/>
  <c r="K261" i="320"/>
  <c r="L261" i="320" s="1"/>
  <c r="M261" i="320" s="1"/>
  <c r="K258" i="320"/>
  <c r="K255" i="320"/>
  <c r="L255" i="320" s="1"/>
  <c r="M255" i="320" s="1"/>
  <c r="K251" i="320"/>
  <c r="K248" i="320"/>
  <c r="L248" i="320" s="1"/>
  <c r="M248" i="320" s="1"/>
  <c r="K244" i="320"/>
  <c r="L244" i="320" s="1"/>
  <c r="M244" i="320" s="1"/>
  <c r="K241" i="320"/>
  <c r="L241" i="320" s="1"/>
  <c r="M241" i="320" s="1"/>
  <c r="K235" i="320"/>
  <c r="K230" i="320"/>
  <c r="K225" i="320"/>
  <c r="L225" i="320" s="1"/>
  <c r="M225" i="320" s="1"/>
  <c r="K219" i="320"/>
  <c r="L219" i="320" s="1"/>
  <c r="M219" i="320" s="1"/>
  <c r="K216" i="320"/>
  <c r="L216" i="320" s="1"/>
  <c r="M216" i="320" s="1"/>
  <c r="K213" i="320"/>
  <c r="L213" i="320" s="1"/>
  <c r="M213" i="320" s="1"/>
  <c r="K208" i="320"/>
  <c r="K205" i="320"/>
  <c r="K202" i="320"/>
  <c r="K198" i="320"/>
  <c r="L198" i="320" s="1"/>
  <c r="M198" i="320" s="1"/>
  <c r="K193" i="320"/>
  <c r="K189" i="320"/>
  <c r="K187" i="320"/>
  <c r="L187" i="320" s="1"/>
  <c r="M187" i="320" s="1"/>
  <c r="K176" i="320"/>
  <c r="L176" i="320" s="1"/>
  <c r="M176" i="320" s="1"/>
  <c r="K171" i="320"/>
  <c r="L171" i="320" s="1"/>
  <c r="M171" i="320" s="1"/>
  <c r="K166" i="320"/>
  <c r="L166" i="320" s="1"/>
  <c r="M166" i="320" s="1"/>
  <c r="K163" i="320"/>
  <c r="L163" i="320" s="1"/>
  <c r="M163" i="320" s="1"/>
  <c r="K160" i="320"/>
  <c r="L160" i="320" s="1"/>
  <c r="M160" i="320" s="1"/>
  <c r="K154" i="320"/>
  <c r="L154" i="320" s="1"/>
  <c r="M154" i="320" s="1"/>
  <c r="K149" i="320"/>
  <c r="L149" i="320" s="1"/>
  <c r="M149" i="320" s="1"/>
  <c r="K145" i="320"/>
  <c r="L145" i="320" s="1"/>
  <c r="M145" i="320" s="1"/>
  <c r="K138" i="320"/>
  <c r="L138" i="320" s="1"/>
  <c r="M138" i="320" s="1"/>
  <c r="K133" i="320"/>
  <c r="K131" i="320"/>
  <c r="L131" i="320" s="1"/>
  <c r="M131" i="320" s="1"/>
  <c r="K128" i="320"/>
  <c r="L128" i="320" s="1"/>
  <c r="M128" i="320" s="1"/>
  <c r="K126" i="320"/>
  <c r="L126" i="320" s="1"/>
  <c r="M126" i="320" s="1"/>
  <c r="K123" i="320"/>
  <c r="L123" i="320" s="1"/>
  <c r="M123" i="320" s="1"/>
  <c r="K120" i="320"/>
  <c r="L120" i="320" s="1"/>
  <c r="M120" i="320" s="1"/>
  <c r="K118" i="320"/>
  <c r="L118" i="320" s="1"/>
  <c r="M118" i="320" s="1"/>
  <c r="K116" i="320"/>
  <c r="L116" i="320" s="1"/>
  <c r="M116" i="320" s="1"/>
  <c r="K106" i="320"/>
  <c r="L106" i="320" s="1"/>
  <c r="M106" i="320" s="1"/>
  <c r="K102" i="320"/>
  <c r="L102" i="320" s="1"/>
  <c r="M102" i="320" s="1"/>
  <c r="K99" i="320"/>
  <c r="L99" i="320" s="1"/>
  <c r="M99" i="320" s="1"/>
  <c r="K92" i="320"/>
  <c r="L92" i="320" s="1"/>
  <c r="M92" i="320" s="1"/>
  <c r="K85" i="320"/>
  <c r="L85" i="320" s="1"/>
  <c r="M85" i="320" s="1"/>
  <c r="K78" i="320"/>
  <c r="L78" i="320" s="1"/>
  <c r="M78" i="320" s="1"/>
  <c r="K76" i="320"/>
  <c r="L76" i="320" s="1"/>
  <c r="M76" i="320" s="1"/>
  <c r="K71" i="320"/>
  <c r="L71" i="320" s="1"/>
  <c r="M71" i="320" s="1"/>
  <c r="K69" i="320"/>
  <c r="L69" i="320" s="1"/>
  <c r="M69" i="320" s="1"/>
  <c r="K64" i="320"/>
  <c r="L64" i="320" s="1"/>
  <c r="M64" i="320" s="1"/>
  <c r="K61" i="320"/>
  <c r="L61" i="320" s="1"/>
  <c r="M61" i="320" s="1"/>
  <c r="K56" i="320"/>
  <c r="L56" i="320" s="1"/>
  <c r="M56" i="320" s="1"/>
  <c r="K54" i="320"/>
  <c r="L54" i="320" s="1"/>
  <c r="M54" i="320" s="1"/>
  <c r="K50" i="320"/>
  <c r="L50" i="320" s="1"/>
  <c r="M50" i="320" s="1"/>
  <c r="K48" i="320"/>
  <c r="L48" i="320" s="1"/>
  <c r="M48" i="320" s="1"/>
  <c r="K46" i="320"/>
  <c r="L46" i="320" s="1"/>
  <c r="M46" i="320" s="1"/>
  <c r="K40" i="320"/>
  <c r="L40" i="320" s="1"/>
  <c r="M40" i="320" s="1"/>
  <c r="K35" i="320"/>
  <c r="L35" i="320" s="1"/>
  <c r="M35" i="320" s="1"/>
  <c r="K32" i="320"/>
  <c r="L32" i="320" s="1"/>
  <c r="M32" i="320" s="1"/>
  <c r="K27" i="320"/>
  <c r="L27" i="320" s="1"/>
  <c r="M27" i="320" s="1"/>
  <c r="K22" i="320"/>
  <c r="L22" i="320" s="1"/>
  <c r="M22" i="320" s="1"/>
  <c r="K9" i="320"/>
  <c r="L9" i="320" s="1"/>
  <c r="M9" i="320" s="1"/>
  <c r="K218" i="320"/>
  <c r="K212" i="320"/>
  <c r="L212" i="320" s="1"/>
  <c r="M212" i="320" s="1"/>
  <c r="K203" i="320"/>
  <c r="K196" i="320"/>
  <c r="L196" i="320" s="1"/>
  <c r="M196" i="320" s="1"/>
  <c r="K188" i="320"/>
  <c r="L188" i="320" s="1"/>
  <c r="M188" i="320" s="1"/>
  <c r="K175" i="320"/>
  <c r="L175" i="320" s="1"/>
  <c r="M175" i="320" s="1"/>
  <c r="K164" i="320"/>
  <c r="L164" i="320" s="1"/>
  <c r="M164" i="320" s="1"/>
  <c r="K155" i="320"/>
  <c r="L155" i="320" s="1"/>
  <c r="M155" i="320" s="1"/>
  <c r="K148" i="320"/>
  <c r="L148" i="320" s="1"/>
  <c r="M148" i="320" s="1"/>
  <c r="K137" i="320"/>
  <c r="L137" i="320" s="1"/>
  <c r="M137" i="320" s="1"/>
  <c r="K129" i="320"/>
  <c r="L129" i="320" s="1"/>
  <c r="M129" i="320" s="1"/>
  <c r="K127" i="320"/>
  <c r="L127" i="320" s="1"/>
  <c r="M127" i="320" s="1"/>
  <c r="K124" i="320"/>
  <c r="L124" i="320" s="1"/>
  <c r="M124" i="320" s="1"/>
  <c r="K119" i="320"/>
  <c r="L119" i="320" s="1"/>
  <c r="M119" i="320" s="1"/>
  <c r="K117" i="320"/>
  <c r="L117" i="320" s="1"/>
  <c r="M117" i="320" s="1"/>
  <c r="K110" i="320"/>
  <c r="L110" i="320" s="1"/>
  <c r="M110" i="320" s="1"/>
  <c r="K101" i="320"/>
  <c r="L101" i="320" s="1"/>
  <c r="M101" i="320" s="1"/>
  <c r="K96" i="320"/>
  <c r="L96" i="320" s="1"/>
  <c r="M96" i="320" s="1"/>
  <c r="K88" i="320"/>
  <c r="L88" i="320" s="1"/>
  <c r="M88" i="320" s="1"/>
  <c r="K83" i="320"/>
  <c r="L83" i="320" s="1"/>
  <c r="M83" i="320" s="1"/>
  <c r="K77" i="320"/>
  <c r="L77" i="320" s="1"/>
  <c r="M77" i="320" s="1"/>
  <c r="K70" i="320"/>
  <c r="L70" i="320" s="1"/>
  <c r="M70" i="320" s="1"/>
  <c r="K65" i="320"/>
  <c r="L65" i="320" s="1"/>
  <c r="M65" i="320" s="1"/>
  <c r="K62" i="320"/>
  <c r="L62" i="320" s="1"/>
  <c r="M62" i="320" s="1"/>
  <c r="K60" i="320"/>
  <c r="L60" i="320" s="1"/>
  <c r="M60" i="320" s="1"/>
  <c r="K51" i="320"/>
  <c r="L51" i="320" s="1"/>
  <c r="M51" i="320" s="1"/>
  <c r="K47" i="320"/>
  <c r="L47" i="320" s="1"/>
  <c r="M47" i="320" s="1"/>
  <c r="K42" i="320"/>
  <c r="L42" i="320" s="1"/>
  <c r="M42" i="320" s="1"/>
  <c r="K33" i="320"/>
  <c r="L33" i="320" s="1"/>
  <c r="M33" i="320" s="1"/>
  <c r="K24" i="320"/>
  <c r="L24" i="320" s="1"/>
  <c r="M24" i="320" s="1"/>
  <c r="H44" i="286"/>
  <c r="H43" i="286"/>
  <c r="H42" i="286"/>
  <c r="H41" i="286"/>
  <c r="H40" i="286"/>
  <c r="H39" i="286"/>
  <c r="H37" i="286"/>
  <c r="H36" i="286"/>
  <c r="H35" i="286"/>
  <c r="H34" i="286"/>
  <c r="H33" i="286"/>
  <c r="H32" i="286"/>
  <c r="H31" i="286"/>
  <c r="H30" i="286"/>
  <c r="H29" i="286"/>
  <c r="H28" i="286"/>
  <c r="H27" i="286"/>
  <c r="H26" i="286"/>
  <c r="H25" i="286"/>
  <c r="H24" i="286"/>
  <c r="H23" i="286"/>
  <c r="H22" i="286"/>
  <c r="H21" i="286"/>
  <c r="H20" i="286"/>
  <c r="H19" i="286"/>
  <c r="H18" i="286"/>
  <c r="H17" i="286"/>
  <c r="H15" i="286"/>
  <c r="H14" i="286"/>
  <c r="H13" i="286"/>
  <c r="H12" i="286"/>
  <c r="H11" i="286"/>
  <c r="M39" i="281" l="1"/>
  <c r="L39" i="281"/>
  <c r="H39" i="281"/>
  <c r="M38" i="281"/>
  <c r="L38" i="281"/>
  <c r="H38" i="281"/>
  <c r="K20" i="281"/>
  <c r="M70" i="270"/>
  <c r="L70" i="270"/>
  <c r="H70" i="270"/>
  <c r="M69" i="270"/>
  <c r="L69" i="270"/>
  <c r="H69" i="270"/>
  <c r="M68" i="270"/>
  <c r="L68" i="270"/>
  <c r="H68" i="270"/>
  <c r="M67" i="270"/>
  <c r="L67" i="270"/>
  <c r="H67" i="270"/>
  <c r="M66" i="270"/>
  <c r="L66" i="270"/>
  <c r="H66" i="270"/>
  <c r="M65" i="270"/>
  <c r="L65" i="270"/>
  <c r="H65" i="270"/>
  <c r="M64" i="270"/>
  <c r="L64" i="270"/>
  <c r="H64" i="270"/>
  <c r="M63" i="270"/>
  <c r="L63" i="270"/>
  <c r="H63" i="270"/>
  <c r="M62" i="270"/>
  <c r="L62" i="270"/>
  <c r="H62" i="270"/>
  <c r="M61" i="270"/>
  <c r="L61" i="270"/>
  <c r="H61" i="270"/>
  <c r="M60" i="270"/>
  <c r="L60" i="270"/>
  <c r="H60" i="270"/>
  <c r="M59" i="270"/>
  <c r="L59" i="270"/>
  <c r="H59" i="270"/>
  <c r="M58" i="270"/>
  <c r="L58" i="270"/>
  <c r="H58" i="270"/>
  <c r="M57" i="270"/>
  <c r="L57" i="270"/>
  <c r="H57" i="270"/>
  <c r="M56" i="270"/>
  <c r="L56" i="270"/>
  <c r="H56" i="270"/>
  <c r="M55" i="270"/>
  <c r="L55" i="270"/>
  <c r="H55" i="270"/>
  <c r="M54" i="270"/>
  <c r="L54" i="270"/>
  <c r="H54" i="270"/>
  <c r="M53" i="270"/>
  <c r="L53" i="270"/>
  <c r="H53" i="270"/>
  <c r="G18" i="268"/>
  <c r="M76" i="267"/>
  <c r="L76" i="267"/>
  <c r="M75" i="267"/>
  <c r="L75" i="267"/>
  <c r="M74" i="267"/>
  <c r="L74" i="267"/>
  <c r="M73" i="267"/>
  <c r="L73" i="267"/>
  <c r="M72" i="267"/>
  <c r="L72" i="267"/>
  <c r="M71" i="267"/>
  <c r="L71" i="267"/>
  <c r="M70" i="267"/>
  <c r="L70" i="267"/>
  <c r="M69" i="267"/>
  <c r="L69" i="267"/>
  <c r="M68" i="267"/>
  <c r="L68" i="267"/>
  <c r="M67" i="267"/>
  <c r="L67" i="267"/>
  <c r="M66" i="267"/>
  <c r="L66" i="267"/>
  <c r="M65" i="267"/>
  <c r="L65" i="267"/>
  <c r="M64" i="267"/>
  <c r="L64" i="267"/>
  <c r="M63" i="267"/>
  <c r="L63" i="267"/>
  <c r="M62" i="267"/>
  <c r="L62" i="267"/>
  <c r="M60" i="267"/>
  <c r="L60" i="267"/>
  <c r="M59" i="267"/>
  <c r="L59" i="267"/>
  <c r="M29" i="267"/>
  <c r="L29" i="267"/>
  <c r="M61" i="267"/>
  <c r="L61" i="267"/>
  <c r="M28" i="267"/>
  <c r="L28" i="267"/>
  <c r="M27" i="267"/>
  <c r="L27" i="267"/>
  <c r="M26" i="267"/>
  <c r="L26" i="267"/>
  <c r="M25" i="267"/>
  <c r="L25" i="267"/>
  <c r="M24" i="267"/>
  <c r="L24" i="267"/>
  <c r="M23" i="267"/>
  <c r="L23" i="267"/>
  <c r="M22" i="267"/>
  <c r="L22" i="267"/>
  <c r="M21" i="267"/>
  <c r="L21" i="267"/>
  <c r="M20" i="267"/>
  <c r="L20" i="267"/>
  <c r="M58" i="267"/>
  <c r="L58" i="267"/>
  <c r="M57" i="267"/>
  <c r="L57" i="267"/>
  <c r="M56" i="267"/>
  <c r="L56" i="267"/>
  <c r="M55" i="267"/>
  <c r="L55" i="267"/>
  <c r="M54" i="267"/>
  <c r="L54" i="267"/>
  <c r="M53" i="267"/>
  <c r="L53" i="267"/>
  <c r="M52" i="267"/>
  <c r="L52" i="267"/>
  <c r="M51" i="267"/>
  <c r="L51" i="267"/>
  <c r="M50" i="267"/>
  <c r="L50" i="267"/>
  <c r="M49" i="267"/>
  <c r="L49" i="267"/>
  <c r="M48" i="267"/>
  <c r="L48" i="267"/>
  <c r="M47" i="267"/>
  <c r="L47" i="267"/>
  <c r="M46" i="267"/>
  <c r="L46" i="267"/>
  <c r="M45" i="267"/>
  <c r="L45" i="267"/>
  <c r="M44" i="267"/>
  <c r="L44" i="267"/>
  <c r="M43" i="267"/>
  <c r="L43" i="267"/>
  <c r="M42" i="267"/>
  <c r="L42" i="267"/>
  <c r="M41" i="267"/>
  <c r="L41" i="267"/>
  <c r="M40" i="267"/>
  <c r="L40" i="267"/>
  <c r="M39" i="267"/>
  <c r="L39" i="267"/>
  <c r="M38" i="267"/>
  <c r="L38" i="267"/>
  <c r="M37" i="267"/>
  <c r="L37" i="267"/>
  <c r="M36" i="267"/>
  <c r="L36" i="267"/>
  <c r="M35" i="267"/>
  <c r="L35" i="267"/>
  <c r="L34" i="267"/>
  <c r="M33" i="267"/>
  <c r="L33" i="267"/>
  <c r="M32" i="267"/>
  <c r="L32" i="267"/>
  <c r="M31" i="267"/>
  <c r="L31" i="267"/>
  <c r="M30" i="267"/>
  <c r="L30" i="267"/>
  <c r="M19" i="267"/>
  <c r="L19" i="267"/>
  <c r="M18" i="267"/>
  <c r="L18" i="267"/>
  <c r="M17" i="267"/>
  <c r="L17" i="267"/>
  <c r="M16" i="267"/>
  <c r="L16" i="267"/>
  <c r="M15" i="267"/>
  <c r="L15" i="267"/>
  <c r="M14" i="267"/>
  <c r="L14" i="267"/>
  <c r="M13" i="267"/>
  <c r="L13" i="267"/>
  <c r="M12" i="267"/>
  <c r="L12" i="267"/>
  <c r="H76" i="267"/>
  <c r="H75" i="267"/>
  <c r="H74" i="267"/>
  <c r="H73" i="267"/>
  <c r="H72" i="267"/>
  <c r="H71" i="267"/>
  <c r="H68" i="267"/>
  <c r="H67" i="267"/>
  <c r="H66" i="267"/>
  <c r="H65" i="267"/>
  <c r="H64" i="267"/>
  <c r="H63" i="267"/>
  <c r="H62" i="267"/>
  <c r="H60" i="267"/>
  <c r="H59" i="267"/>
  <c r="H29" i="267"/>
  <c r="H61" i="267"/>
  <c r="H28" i="267"/>
  <c r="H26" i="267"/>
  <c r="H24" i="267"/>
  <c r="H23" i="267"/>
  <c r="H22" i="267"/>
  <c r="H21" i="267"/>
  <c r="H20" i="267"/>
  <c r="H58" i="267"/>
  <c r="H57" i="267"/>
  <c r="H56" i="267"/>
  <c r="H55" i="267"/>
  <c r="H54" i="267"/>
  <c r="H53" i="267"/>
  <c r="H52" i="267"/>
  <c r="H51" i="267"/>
  <c r="H50" i="267"/>
  <c r="H49" i="267"/>
  <c r="H48" i="267"/>
  <c r="H47" i="267"/>
  <c r="H46" i="267"/>
  <c r="H45" i="267"/>
  <c r="H44" i="267"/>
  <c r="H43" i="267"/>
  <c r="H42" i="267"/>
  <c r="H41" i="267"/>
  <c r="H40" i="267"/>
  <c r="H39" i="267"/>
  <c r="H38" i="267"/>
  <c r="H37" i="267"/>
  <c r="H36" i="267"/>
  <c r="H35" i="267"/>
  <c r="H34" i="267"/>
  <c r="H33" i="267"/>
  <c r="H32" i="267"/>
  <c r="H31" i="267"/>
  <c r="H30" i="267"/>
  <c r="H19" i="267"/>
  <c r="H17" i="267"/>
  <c r="H15" i="267"/>
  <c r="H14" i="267"/>
  <c r="H13" i="267"/>
  <c r="H12" i="267"/>
  <c r="M34" i="267" l="1"/>
  <c r="F18" i="267"/>
  <c r="F25" i="267" s="1"/>
  <c r="H16" i="267"/>
  <c r="M118" i="163"/>
  <c r="L118" i="163"/>
  <c r="M117" i="163"/>
  <c r="L117" i="163"/>
  <c r="M116" i="163"/>
  <c r="L116" i="163"/>
  <c r="M115" i="163"/>
  <c r="L115" i="163"/>
  <c r="M114" i="163"/>
  <c r="L114" i="163"/>
  <c r="M113" i="163"/>
  <c r="L113" i="163"/>
  <c r="M112" i="163"/>
  <c r="L112" i="163"/>
  <c r="M111" i="163"/>
  <c r="L111" i="163"/>
  <c r="M110" i="163"/>
  <c r="L110" i="163"/>
  <c r="M109" i="163"/>
  <c r="L109" i="163"/>
  <c r="M108" i="163"/>
  <c r="L108" i="163"/>
  <c r="M107" i="163"/>
  <c r="L107" i="163"/>
  <c r="M106" i="163"/>
  <c r="L106" i="163"/>
  <c r="M105" i="163"/>
  <c r="L105" i="163"/>
  <c r="M104" i="163"/>
  <c r="L104" i="163"/>
  <c r="M103" i="163"/>
  <c r="L103" i="163"/>
  <c r="M102" i="163"/>
  <c r="L102" i="163"/>
  <c r="M101" i="163"/>
  <c r="L101" i="163"/>
  <c r="M100" i="163"/>
  <c r="L100" i="163"/>
  <c r="M99" i="163"/>
  <c r="L99" i="163"/>
  <c r="M98" i="163"/>
  <c r="L98" i="163"/>
  <c r="M96" i="163"/>
  <c r="L96" i="163"/>
  <c r="M94" i="163"/>
  <c r="L94" i="163"/>
  <c r="M92" i="163"/>
  <c r="L92" i="163"/>
  <c r="M91" i="163"/>
  <c r="L91" i="163"/>
  <c r="M90" i="163"/>
  <c r="L90" i="163"/>
  <c r="M89" i="163"/>
  <c r="L89" i="163"/>
  <c r="M88" i="163"/>
  <c r="L88" i="163"/>
  <c r="M78" i="163"/>
  <c r="L78" i="163"/>
  <c r="M116" i="262"/>
  <c r="L116" i="262"/>
  <c r="M115" i="262"/>
  <c r="L115" i="262"/>
  <c r="M114" i="262"/>
  <c r="L114" i="262"/>
  <c r="M113" i="262"/>
  <c r="L113" i="262"/>
  <c r="M112" i="262"/>
  <c r="L112" i="262"/>
  <c r="M111" i="262"/>
  <c r="L111" i="262"/>
  <c r="M110" i="262"/>
  <c r="L110" i="262"/>
  <c r="M109" i="262"/>
  <c r="L109" i="262"/>
  <c r="M108" i="262"/>
  <c r="L108" i="262"/>
  <c r="M107" i="262"/>
  <c r="L107" i="262"/>
  <c r="M106" i="262"/>
  <c r="L106" i="262"/>
  <c r="M105" i="262"/>
  <c r="L105" i="262"/>
  <c r="M104" i="262"/>
  <c r="L104" i="262"/>
  <c r="M103" i="262"/>
  <c r="L103" i="262"/>
  <c r="M102" i="262"/>
  <c r="L102" i="262"/>
  <c r="M101" i="262"/>
  <c r="L101" i="262"/>
  <c r="M100" i="262"/>
  <c r="L100" i="262"/>
  <c r="M99" i="262"/>
  <c r="L99" i="262"/>
  <c r="H122" i="262"/>
  <c r="H121" i="262"/>
  <c r="H120" i="262"/>
  <c r="H119" i="262"/>
  <c r="H118" i="262"/>
  <c r="H117" i="262"/>
  <c r="H116" i="262"/>
  <c r="H115" i="262"/>
  <c r="H114" i="262"/>
  <c r="H113" i="262"/>
  <c r="H112" i="262"/>
  <c r="H111" i="262"/>
  <c r="H110" i="262"/>
  <c r="H109" i="262"/>
  <c r="H108" i="262"/>
  <c r="H107" i="262"/>
  <c r="H106" i="262"/>
  <c r="H105" i="262"/>
  <c r="H104" i="262"/>
  <c r="H103" i="262"/>
  <c r="H102" i="262"/>
  <c r="H101" i="262"/>
  <c r="H100" i="262"/>
  <c r="H99" i="262"/>
  <c r="H98" i="262"/>
  <c r="H97" i="262"/>
  <c r="H96" i="262"/>
  <c r="H95" i="262"/>
  <c r="H94" i="262"/>
  <c r="H93" i="262"/>
  <c r="H92" i="262"/>
  <c r="H91" i="262"/>
  <c r="H90" i="262"/>
  <c r="H88" i="262"/>
  <c r="H87" i="262"/>
  <c r="H86" i="262"/>
  <c r="H85" i="262"/>
  <c r="H84" i="262"/>
  <c r="H82" i="262"/>
  <c r="H81" i="262"/>
  <c r="H80" i="262"/>
  <c r="H79" i="262"/>
  <c r="H78" i="262"/>
  <c r="H76" i="262"/>
  <c r="H75" i="262"/>
  <c r="H74" i="262"/>
  <c r="H73" i="262"/>
  <c r="H72" i="262"/>
  <c r="H70" i="262"/>
  <c r="H69" i="262"/>
  <c r="H68" i="262"/>
  <c r="H67" i="262"/>
  <c r="H66" i="262"/>
  <c r="H65" i="262"/>
  <c r="M53" i="262"/>
  <c r="L53" i="262"/>
  <c r="M52" i="262"/>
  <c r="L52" i="262"/>
  <c r="M51" i="262"/>
  <c r="L51" i="262"/>
  <c r="M50" i="262"/>
  <c r="L50" i="262"/>
  <c r="M49" i="262"/>
  <c r="L49" i="262"/>
  <c r="M48" i="262"/>
  <c r="L48" i="262"/>
  <c r="M47" i="262"/>
  <c r="L47" i="262"/>
  <c r="M46" i="262"/>
  <c r="L46" i="262"/>
  <c r="M45" i="262"/>
  <c r="L45" i="262"/>
  <c r="M44" i="262"/>
  <c r="L44" i="262"/>
  <c r="M43" i="262"/>
  <c r="L43" i="262"/>
  <c r="M42" i="262"/>
  <c r="L42" i="262"/>
  <c r="M41" i="262"/>
  <c r="L41" i="262"/>
  <c r="H53" i="262"/>
  <c r="H52" i="262"/>
  <c r="H51" i="262"/>
  <c r="H50" i="262"/>
  <c r="H49" i="262"/>
  <c r="H48" i="262"/>
  <c r="H47" i="262"/>
  <c r="H46" i="262"/>
  <c r="H45" i="262"/>
  <c r="H44" i="262"/>
  <c r="H43" i="262"/>
  <c r="H42" i="262"/>
  <c r="H41" i="262"/>
  <c r="M40" i="262"/>
  <c r="L40" i="262"/>
  <c r="M39" i="262"/>
  <c r="L39" i="262"/>
  <c r="M38" i="262"/>
  <c r="L38" i="262"/>
  <c r="M37" i="262"/>
  <c r="L37" i="262"/>
  <c r="M36" i="262"/>
  <c r="L36" i="262"/>
  <c r="M35" i="262"/>
  <c r="L35" i="262"/>
  <c r="M34" i="262"/>
  <c r="L34" i="262"/>
  <c r="M33" i="262"/>
  <c r="L33" i="262"/>
  <c r="M32" i="262"/>
  <c r="L32" i="262"/>
  <c r="M31" i="262"/>
  <c r="L31" i="262"/>
  <c r="M30" i="262"/>
  <c r="L30" i="262"/>
  <c r="M29" i="262"/>
  <c r="L29" i="262"/>
  <c r="M28" i="262"/>
  <c r="L28" i="262"/>
  <c r="M27" i="262"/>
  <c r="L27" i="262"/>
  <c r="M26" i="262"/>
  <c r="L26" i="262"/>
  <c r="M25" i="262"/>
  <c r="L25" i="262"/>
  <c r="M24" i="262"/>
  <c r="L24" i="262"/>
  <c r="M23" i="262"/>
  <c r="L23" i="262"/>
  <c r="M22" i="262"/>
  <c r="L22" i="262"/>
  <c r="M21" i="262"/>
  <c r="L21" i="262"/>
  <c r="M20" i="262"/>
  <c r="L20" i="262"/>
  <c r="M19" i="262"/>
  <c r="L19" i="262"/>
  <c r="M18" i="262"/>
  <c r="L18" i="262"/>
  <c r="M17" i="262"/>
  <c r="L17" i="262"/>
  <c r="M16" i="262"/>
  <c r="L16" i="262"/>
  <c r="M15" i="262"/>
  <c r="L15" i="262"/>
  <c r="M14" i="262"/>
  <c r="L14" i="262"/>
  <c r="M13" i="262"/>
  <c r="L13" i="262"/>
  <c r="M12" i="262"/>
  <c r="L12" i="262"/>
  <c r="M122" i="262"/>
  <c r="L122" i="262"/>
  <c r="M121" i="262"/>
  <c r="L121" i="262"/>
  <c r="M120" i="262"/>
  <c r="L120" i="262"/>
  <c r="M119" i="262"/>
  <c r="L119" i="262"/>
  <c r="M118" i="262"/>
  <c r="L118" i="262"/>
  <c r="M117" i="262"/>
  <c r="L117" i="262"/>
  <c r="M98" i="262"/>
  <c r="L98" i="262"/>
  <c r="M97" i="262"/>
  <c r="L97" i="262"/>
  <c r="M96" i="262"/>
  <c r="L96" i="262"/>
  <c r="M95" i="262"/>
  <c r="L95" i="262"/>
  <c r="M94" i="262"/>
  <c r="L94" i="262"/>
  <c r="M93" i="262"/>
  <c r="L93" i="262"/>
  <c r="M92" i="262"/>
  <c r="L92" i="262"/>
  <c r="M91" i="262"/>
  <c r="L91" i="262"/>
  <c r="M90" i="262"/>
  <c r="L90" i="262"/>
  <c r="M89" i="262"/>
  <c r="L89" i="262"/>
  <c r="M88" i="262"/>
  <c r="L88" i="262"/>
  <c r="M87" i="262"/>
  <c r="L87" i="262"/>
  <c r="M86" i="262"/>
  <c r="L86" i="262"/>
  <c r="M85" i="262"/>
  <c r="L85" i="262"/>
  <c r="M84" i="262"/>
  <c r="L84" i="262"/>
  <c r="M83" i="262"/>
  <c r="L83" i="262"/>
  <c r="M82" i="262"/>
  <c r="L82" i="262"/>
  <c r="M81" i="262"/>
  <c r="L81" i="262"/>
  <c r="M80" i="262"/>
  <c r="L80" i="262"/>
  <c r="M79" i="262"/>
  <c r="L79" i="262"/>
  <c r="M78" i="262"/>
  <c r="L78" i="262"/>
  <c r="M77" i="262"/>
  <c r="L77" i="262"/>
  <c r="M76" i="262"/>
  <c r="L76" i="262"/>
  <c r="M75" i="262"/>
  <c r="L75" i="262"/>
  <c r="M74" i="262"/>
  <c r="L74" i="262"/>
  <c r="M73" i="262"/>
  <c r="L73" i="262"/>
  <c r="M72" i="262"/>
  <c r="L72" i="262"/>
  <c r="M71" i="262"/>
  <c r="L71" i="262"/>
  <c r="M70" i="262"/>
  <c r="L70" i="262"/>
  <c r="M69" i="262"/>
  <c r="L69" i="262"/>
  <c r="M68" i="262"/>
  <c r="L68" i="262"/>
  <c r="M67" i="262"/>
  <c r="L67" i="262"/>
  <c r="M66" i="262"/>
  <c r="L66" i="262"/>
  <c r="M65" i="262"/>
  <c r="L65" i="262"/>
  <c r="M67" i="200"/>
  <c r="L67" i="200"/>
  <c r="H67" i="200"/>
  <c r="M66" i="200"/>
  <c r="L66" i="200"/>
  <c r="H66" i="200"/>
  <c r="M65" i="200"/>
  <c r="L65" i="200"/>
  <c r="H65" i="200"/>
  <c r="M64" i="200"/>
  <c r="L64" i="200"/>
  <c r="H64" i="200"/>
  <c r="M63" i="200"/>
  <c r="L63" i="200"/>
  <c r="H63" i="200"/>
  <c r="M62" i="200"/>
  <c r="L62" i="200"/>
  <c r="H62" i="200"/>
  <c r="M25" i="193"/>
  <c r="L25" i="193"/>
  <c r="M23" i="193"/>
  <c r="L23" i="193"/>
  <c r="M21" i="193"/>
  <c r="L21" i="193"/>
  <c r="M19" i="193"/>
  <c r="L19" i="193"/>
  <c r="M18" i="193"/>
  <c r="L18" i="193"/>
  <c r="M17" i="193"/>
  <c r="L17" i="193"/>
  <c r="M16" i="193"/>
  <c r="L16" i="193"/>
  <c r="M15" i="193"/>
  <c r="L15" i="193"/>
  <c r="M14" i="193"/>
  <c r="L14" i="193"/>
  <c r="H39" i="193"/>
  <c r="H38" i="193"/>
  <c r="H37" i="193"/>
  <c r="H26" i="193"/>
  <c r="H25" i="193"/>
  <c r="H24" i="193"/>
  <c r="H23" i="193"/>
  <c r="H22" i="193"/>
  <c r="H21" i="193"/>
  <c r="H20" i="193"/>
  <c r="H19" i="193"/>
  <c r="H18" i="193"/>
  <c r="H17" i="193"/>
  <c r="H16" i="193"/>
  <c r="H15" i="193"/>
  <c r="H14" i="193"/>
  <c r="C80" i="278"/>
  <c r="C20" i="278"/>
  <c r="F27" i="267" l="1"/>
  <c r="H27" i="267" s="1"/>
  <c r="H25" i="267"/>
  <c r="H18" i="267"/>
  <c r="M77" i="287"/>
  <c r="L77" i="287"/>
  <c r="M76" i="287"/>
  <c r="L76" i="287"/>
  <c r="M75" i="287"/>
  <c r="L75" i="287"/>
  <c r="M74" i="287"/>
  <c r="L74" i="287"/>
  <c r="M69" i="287"/>
  <c r="L69" i="287"/>
  <c r="M68" i="287"/>
  <c r="L68" i="287"/>
  <c r="M67" i="287"/>
  <c r="L67" i="287"/>
  <c r="M66" i="287"/>
  <c r="L66" i="287"/>
  <c r="M65" i="287"/>
  <c r="L65" i="287"/>
  <c r="M64" i="287"/>
  <c r="L64" i="287"/>
  <c r="M63" i="287"/>
  <c r="L63" i="287"/>
  <c r="M62" i="287"/>
  <c r="L62" i="287"/>
  <c r="M61" i="287"/>
  <c r="L61" i="287"/>
  <c r="M60" i="287"/>
  <c r="L60" i="287"/>
  <c r="M59" i="287"/>
  <c r="L59" i="287"/>
  <c r="M58" i="287"/>
  <c r="L58" i="287"/>
  <c r="M57" i="287"/>
  <c r="L57" i="287"/>
  <c r="M56" i="287"/>
  <c r="L56" i="287"/>
  <c r="M55" i="287"/>
  <c r="L55" i="287"/>
  <c r="M54" i="287"/>
  <c r="L54" i="287"/>
  <c r="M53" i="287"/>
  <c r="L53" i="287"/>
  <c r="M52" i="287"/>
  <c r="L52" i="287"/>
  <c r="M51" i="287"/>
  <c r="L51" i="287"/>
  <c r="M50" i="287"/>
  <c r="L50" i="287"/>
  <c r="M49" i="287"/>
  <c r="L49" i="287"/>
  <c r="M48" i="287"/>
  <c r="L48" i="287"/>
  <c r="M47" i="287"/>
  <c r="L47" i="287"/>
  <c r="M46" i="287"/>
  <c r="L46" i="287"/>
  <c r="M45" i="287"/>
  <c r="L45" i="287"/>
  <c r="M44" i="287"/>
  <c r="L44" i="287"/>
  <c r="M43" i="287"/>
  <c r="L43" i="287"/>
  <c r="M42" i="287"/>
  <c r="L42" i="287"/>
  <c r="M41" i="287"/>
  <c r="L41" i="287"/>
  <c r="M40" i="287"/>
  <c r="L40" i="287"/>
  <c r="M39" i="287"/>
  <c r="L39" i="287"/>
  <c r="M38" i="287"/>
  <c r="L38" i="287"/>
  <c r="M37" i="287"/>
  <c r="L37" i="287"/>
  <c r="M36" i="287"/>
  <c r="L36" i="287"/>
  <c r="M35" i="287"/>
  <c r="L35" i="287"/>
  <c r="M34" i="287"/>
  <c r="L34" i="287"/>
  <c r="M33" i="287"/>
  <c r="L33" i="287"/>
  <c r="M32" i="287"/>
  <c r="L32" i="287"/>
  <c r="M31" i="287"/>
  <c r="L31" i="287"/>
  <c r="M30" i="287"/>
  <c r="L30" i="287"/>
  <c r="M29" i="287"/>
  <c r="L29" i="287"/>
  <c r="M28" i="287"/>
  <c r="L28" i="287"/>
  <c r="M27" i="287"/>
  <c r="L27" i="287"/>
  <c r="M26" i="287"/>
  <c r="L26" i="287"/>
  <c r="M25" i="287"/>
  <c r="L25" i="287"/>
  <c r="M24" i="287"/>
  <c r="L24" i="287"/>
  <c r="M23" i="287"/>
  <c r="L23" i="287"/>
  <c r="M22" i="287"/>
  <c r="L22" i="287"/>
  <c r="M21" i="287"/>
  <c r="L21" i="287"/>
  <c r="M19" i="287"/>
  <c r="L19" i="287"/>
  <c r="M18" i="287"/>
  <c r="L18" i="287"/>
  <c r="M17" i="287"/>
  <c r="L17" i="287"/>
  <c r="M15" i="287"/>
  <c r="L15" i="287"/>
  <c r="M14" i="287"/>
  <c r="L14" i="287"/>
  <c r="M13" i="287"/>
  <c r="L13" i="287"/>
  <c r="M12" i="287"/>
  <c r="L12" i="287"/>
  <c r="H77" i="287"/>
  <c r="H76" i="287"/>
  <c r="H75" i="287"/>
  <c r="H74" i="287"/>
  <c r="H69" i="287"/>
  <c r="H68" i="287"/>
  <c r="H67" i="287"/>
  <c r="H66" i="287"/>
  <c r="H65" i="287"/>
  <c r="H64" i="287"/>
  <c r="H63" i="287"/>
  <c r="H62" i="287"/>
  <c r="H61" i="287"/>
  <c r="H60" i="287"/>
  <c r="H59" i="287"/>
  <c r="H58" i="287"/>
  <c r="H57" i="287"/>
  <c r="H56" i="287"/>
  <c r="H55" i="287"/>
  <c r="H54" i="287"/>
  <c r="H53" i="287"/>
  <c r="H52" i="287"/>
  <c r="H51" i="287"/>
  <c r="H50" i="287"/>
  <c r="H49" i="287"/>
  <c r="H48" i="287"/>
  <c r="H47" i="287"/>
  <c r="H46" i="287"/>
  <c r="H45" i="287"/>
  <c r="H44" i="287"/>
  <c r="H43" i="287"/>
  <c r="H42" i="287"/>
  <c r="H41" i="287"/>
  <c r="H40" i="287"/>
  <c r="H39" i="287"/>
  <c r="H38" i="287"/>
  <c r="H37" i="287"/>
  <c r="H36" i="287"/>
  <c r="H35" i="287"/>
  <c r="H34" i="287"/>
  <c r="H33" i="287"/>
  <c r="H32" i="287"/>
  <c r="H31" i="287"/>
  <c r="H30" i="287"/>
  <c r="H29" i="287"/>
  <c r="H28" i="287"/>
  <c r="H27" i="287"/>
  <c r="H26" i="287"/>
  <c r="H25" i="287"/>
  <c r="H24" i="287"/>
  <c r="H23" i="287"/>
  <c r="H22" i="287"/>
  <c r="H21" i="287"/>
  <c r="H20" i="287"/>
  <c r="H19" i="287"/>
  <c r="H18" i="287"/>
  <c r="H17" i="287"/>
  <c r="H16" i="287"/>
  <c r="H15" i="287"/>
  <c r="H14" i="287"/>
  <c r="H13" i="287"/>
  <c r="H12" i="287"/>
  <c r="M69" i="168"/>
  <c r="M68" i="168"/>
  <c r="L68" i="168"/>
  <c r="H68" i="168"/>
  <c r="M67" i="168"/>
  <c r="L67" i="168"/>
  <c r="H67" i="168"/>
  <c r="M66" i="168"/>
  <c r="L66" i="168"/>
  <c r="H66" i="168"/>
  <c r="M65" i="168"/>
  <c r="L65" i="168"/>
  <c r="H65" i="168"/>
  <c r="M64" i="168"/>
  <c r="L64" i="168"/>
  <c r="H64" i="168"/>
  <c r="M63" i="168"/>
  <c r="L63" i="168"/>
  <c r="H63" i="168"/>
  <c r="M62" i="168"/>
  <c r="L62" i="168"/>
  <c r="H62" i="168"/>
  <c r="M61" i="168"/>
  <c r="L61" i="168"/>
  <c r="H61" i="168"/>
  <c r="M60" i="168"/>
  <c r="L60" i="168"/>
  <c r="H60" i="168"/>
  <c r="M59" i="168"/>
  <c r="L59" i="168"/>
  <c r="H59" i="168"/>
  <c r="M58" i="168"/>
  <c r="L58" i="168"/>
  <c r="H58" i="168"/>
  <c r="M57" i="168"/>
  <c r="L57" i="168"/>
  <c r="H57" i="168"/>
  <c r="M56" i="168"/>
  <c r="L56" i="168"/>
  <c r="H56" i="168"/>
  <c r="M55" i="168"/>
  <c r="L55" i="168"/>
  <c r="H55" i="168"/>
  <c r="M54" i="168"/>
  <c r="L54" i="168"/>
  <c r="H54" i="168"/>
  <c r="M53" i="168"/>
  <c r="L53" i="168"/>
  <c r="H53" i="168"/>
  <c r="M52" i="168"/>
  <c r="L52" i="168"/>
  <c r="H52" i="168"/>
  <c r="M51" i="168"/>
  <c r="L51" i="168"/>
  <c r="H51" i="168"/>
  <c r="M50" i="168"/>
  <c r="L50" i="168"/>
  <c r="H50" i="168"/>
  <c r="M49" i="168"/>
  <c r="L49" i="168"/>
  <c r="H49" i="168"/>
  <c r="M48" i="168"/>
  <c r="L48" i="168"/>
  <c r="H48" i="168"/>
  <c r="M47" i="168"/>
  <c r="L47" i="168"/>
  <c r="H47" i="168"/>
  <c r="M46" i="168"/>
  <c r="L46" i="168"/>
  <c r="H46" i="168"/>
  <c r="M45" i="168"/>
  <c r="L45" i="168"/>
  <c r="H45" i="168"/>
  <c r="M44" i="168"/>
  <c r="L44" i="168"/>
  <c r="H44" i="168"/>
  <c r="M43" i="168"/>
  <c r="L43" i="168"/>
  <c r="H43" i="168"/>
  <c r="M42" i="168"/>
  <c r="L42" i="168"/>
  <c r="H42" i="168"/>
  <c r="M41" i="168"/>
  <c r="L41" i="168"/>
  <c r="H41" i="168"/>
  <c r="M40" i="168"/>
  <c r="L40" i="168"/>
  <c r="H40" i="168"/>
  <c r="M39" i="168"/>
  <c r="L39" i="168"/>
  <c r="H39" i="168"/>
  <c r="M38" i="168"/>
  <c r="L38" i="168"/>
  <c r="H38" i="168"/>
  <c r="M37" i="168"/>
  <c r="L37" i="168"/>
  <c r="H37" i="168"/>
  <c r="M25" i="166"/>
  <c r="L25" i="166"/>
  <c r="H36" i="168"/>
  <c r="H35" i="168"/>
  <c r="H34" i="168"/>
  <c r="M208" i="163"/>
  <c r="L208" i="163"/>
  <c r="M207" i="163"/>
  <c r="L207" i="163"/>
  <c r="M206" i="163"/>
  <c r="L206" i="163"/>
  <c r="M205" i="163"/>
  <c r="L205" i="163"/>
  <c r="M204" i="163"/>
  <c r="L204" i="163"/>
  <c r="M203" i="163"/>
  <c r="L203" i="163"/>
  <c r="M202" i="163"/>
  <c r="L202" i="163"/>
  <c r="M201" i="163"/>
  <c r="L201" i="163"/>
  <c r="M200" i="163"/>
  <c r="L200" i="163"/>
  <c r="M199" i="163"/>
  <c r="L199" i="163"/>
  <c r="M198" i="163"/>
  <c r="L198" i="163"/>
  <c r="M197" i="163"/>
  <c r="L197" i="163"/>
  <c r="M196" i="163"/>
  <c r="L196" i="163"/>
  <c r="M195" i="163"/>
  <c r="L195" i="163"/>
  <c r="M194" i="163"/>
  <c r="L194" i="163"/>
  <c r="M193" i="163"/>
  <c r="L193" i="163"/>
  <c r="M192" i="163"/>
  <c r="L192" i="163"/>
  <c r="M191" i="163"/>
  <c r="L191" i="163"/>
  <c r="M190" i="163"/>
  <c r="L190" i="163"/>
  <c r="M189" i="163"/>
  <c r="L189" i="163"/>
  <c r="M188" i="163"/>
  <c r="L188" i="163"/>
  <c r="M187" i="163"/>
  <c r="L187" i="163"/>
  <c r="M186" i="163"/>
  <c r="L186" i="163"/>
  <c r="M185" i="163"/>
  <c r="L185" i="163"/>
  <c r="M184" i="163"/>
  <c r="L184" i="163"/>
  <c r="M183" i="163"/>
  <c r="L183" i="163"/>
  <c r="M182" i="163"/>
  <c r="L182" i="163"/>
  <c r="M181" i="163"/>
  <c r="L181" i="163"/>
  <c r="M180" i="163"/>
  <c r="L180" i="163"/>
  <c r="M179" i="163"/>
  <c r="L179" i="163"/>
  <c r="M178" i="163"/>
  <c r="L178" i="163"/>
  <c r="M177" i="163"/>
  <c r="L177" i="163"/>
  <c r="M176" i="163"/>
  <c r="L176" i="163"/>
  <c r="M175" i="163"/>
  <c r="L175" i="163"/>
  <c r="M174" i="163"/>
  <c r="L174" i="163"/>
  <c r="M173" i="163"/>
  <c r="L173" i="163"/>
  <c r="M172" i="163"/>
  <c r="L172" i="163"/>
  <c r="M171" i="163"/>
  <c r="L171" i="163"/>
  <c r="M170" i="163"/>
  <c r="L170" i="163"/>
  <c r="M169" i="163"/>
  <c r="L169" i="163"/>
  <c r="H208" i="163"/>
  <c r="H207" i="163"/>
  <c r="H206" i="163"/>
  <c r="H205" i="163"/>
  <c r="H204" i="163"/>
  <c r="H203" i="163"/>
  <c r="H202" i="163"/>
  <c r="H201" i="163"/>
  <c r="H200" i="163"/>
  <c r="H199" i="163"/>
  <c r="H198" i="163"/>
  <c r="H197" i="163"/>
  <c r="H196" i="163"/>
  <c r="H195" i="163"/>
  <c r="H194" i="163"/>
  <c r="H193" i="163"/>
  <c r="H192" i="163"/>
  <c r="H191" i="163"/>
  <c r="H190" i="163"/>
  <c r="H189" i="163"/>
  <c r="H188" i="163"/>
  <c r="H187" i="163"/>
  <c r="H186" i="163"/>
  <c r="H185" i="163"/>
  <c r="H184" i="163"/>
  <c r="H183" i="163"/>
  <c r="H182" i="163"/>
  <c r="H181" i="163"/>
  <c r="H180" i="163"/>
  <c r="H179" i="163"/>
  <c r="H178" i="163"/>
  <c r="H177" i="163"/>
  <c r="H176" i="163"/>
  <c r="H175" i="163"/>
  <c r="H174" i="163"/>
  <c r="H173" i="163"/>
  <c r="H172" i="163"/>
  <c r="H171" i="163"/>
  <c r="H170" i="163"/>
  <c r="H169" i="163"/>
  <c r="H137" i="163"/>
  <c r="L119" i="163"/>
  <c r="M119" i="163" s="1"/>
  <c r="H119" i="163"/>
  <c r="H118" i="163"/>
  <c r="H117" i="163"/>
  <c r="H116" i="163"/>
  <c r="H115" i="163"/>
  <c r="G20" i="316"/>
  <c r="G20" i="315"/>
  <c r="H138" i="163" l="1"/>
  <c r="M64" i="163"/>
  <c r="L64" i="163"/>
  <c r="M63" i="163"/>
  <c r="L63" i="163"/>
  <c r="M62" i="163"/>
  <c r="L62" i="163"/>
  <c r="M61" i="163"/>
  <c r="L61" i="163"/>
  <c r="M60" i="163"/>
  <c r="L60" i="163"/>
  <c r="M59" i="163"/>
  <c r="L59" i="163"/>
  <c r="M58" i="163"/>
  <c r="L58" i="163"/>
  <c r="M57" i="163"/>
  <c r="L57" i="163"/>
  <c r="M56" i="163"/>
  <c r="L56" i="163"/>
  <c r="M55" i="163"/>
  <c r="L55" i="163"/>
  <c r="M54" i="163"/>
  <c r="L54" i="163"/>
  <c r="M53" i="163"/>
  <c r="L53" i="163"/>
  <c r="M52" i="163"/>
  <c r="L52" i="163"/>
  <c r="M51" i="163"/>
  <c r="L51" i="163"/>
  <c r="M50" i="163"/>
  <c r="L50" i="163"/>
  <c r="M49" i="163"/>
  <c r="L49" i="163"/>
  <c r="M48" i="163"/>
  <c r="L48" i="163"/>
  <c r="M47" i="163"/>
  <c r="L47" i="163"/>
  <c r="M46" i="163"/>
  <c r="L46" i="163"/>
  <c r="M45" i="163"/>
  <c r="L45" i="163"/>
  <c r="M44" i="163"/>
  <c r="L44" i="163"/>
  <c r="M43" i="163"/>
  <c r="L43" i="163"/>
  <c r="M42" i="163"/>
  <c r="L42" i="163"/>
  <c r="M41" i="163"/>
  <c r="L41" i="163"/>
  <c r="M40" i="163"/>
  <c r="L40" i="163"/>
  <c r="M39" i="163"/>
  <c r="L39" i="163"/>
  <c r="F52" i="163"/>
  <c r="H52" i="163" s="1"/>
  <c r="F50" i="163"/>
  <c r="H50" i="163" s="1"/>
  <c r="F46" i="163"/>
  <c r="H46" i="163" s="1"/>
  <c r="F44" i="163"/>
  <c r="H44" i="163" s="1"/>
  <c r="H42" i="163"/>
  <c r="H55" i="163"/>
  <c r="H54" i="163"/>
  <c r="H53" i="163"/>
  <c r="H51" i="163"/>
  <c r="H49" i="163"/>
  <c r="H48" i="163"/>
  <c r="H47" i="163"/>
  <c r="H45" i="163"/>
  <c r="H43" i="163"/>
  <c r="H41" i="163"/>
  <c r="H40" i="163"/>
  <c r="C34" i="228"/>
  <c r="K34" i="308" l="1"/>
  <c r="L34" i="308" s="1"/>
  <c r="M34" i="308" s="1"/>
  <c r="K34" i="301"/>
  <c r="L34" i="301" s="1"/>
  <c r="M34" i="301" s="1"/>
  <c r="K32" i="308"/>
  <c r="K32" i="301"/>
  <c r="L32" i="301" s="1"/>
  <c r="I776" i="320"/>
  <c r="I673" i="320"/>
  <c r="L48" i="303"/>
  <c r="M48" i="303" s="1"/>
  <c r="L30" i="306"/>
  <c r="M30" i="306" s="1"/>
  <c r="L44" i="303"/>
  <c r="M44" i="303" s="1"/>
  <c r="L48" i="310"/>
  <c r="M48" i="310" s="1"/>
  <c r="L44" i="296"/>
  <c r="M44" i="296" s="1"/>
  <c r="L30" i="313"/>
  <c r="M30" i="313" s="1"/>
  <c r="L44" i="310"/>
  <c r="M44" i="310" s="1"/>
  <c r="K22" i="301"/>
  <c r="L22" i="301" s="1"/>
  <c r="M22" i="301" s="1"/>
  <c r="K32" i="304"/>
  <c r="K22" i="308"/>
  <c r="L22" i="308" s="1"/>
  <c r="M22" i="308" s="1"/>
  <c r="K44" i="293"/>
  <c r="L44" i="293" s="1"/>
  <c r="M44" i="293" s="1"/>
  <c r="K18" i="308"/>
  <c r="L18" i="308" s="1"/>
  <c r="M18" i="308" s="1"/>
  <c r="K20" i="308"/>
  <c r="L20" i="308" s="1"/>
  <c r="M20" i="308" s="1"/>
  <c r="K32" i="311"/>
  <c r="K26" i="193"/>
  <c r="L26" i="193" s="1"/>
  <c r="M26" i="193" s="1"/>
  <c r="K22" i="193"/>
  <c r="L22" i="193" s="1"/>
  <c r="M22" i="193" s="1"/>
  <c r="K24" i="193"/>
  <c r="L24" i="193" s="1"/>
  <c r="M24" i="193" s="1"/>
  <c r="K20" i="193"/>
  <c r="L20" i="193" s="1"/>
  <c r="M20" i="193" s="1"/>
  <c r="J20" i="315"/>
  <c r="K20" i="315" s="1"/>
  <c r="L20" i="315" s="1"/>
  <c r="J20" i="316"/>
  <c r="K20" i="316" s="1"/>
  <c r="L20" i="316" s="1"/>
  <c r="H168" i="163"/>
  <c r="M167" i="163"/>
  <c r="L167" i="163"/>
  <c r="H167" i="163"/>
  <c r="H166" i="163"/>
  <c r="M165" i="163"/>
  <c r="L165" i="163"/>
  <c r="H165" i="163"/>
  <c r="M164" i="163"/>
  <c r="L164" i="163"/>
  <c r="H164" i="163"/>
  <c r="M163" i="163"/>
  <c r="L163" i="163"/>
  <c r="H163" i="163"/>
  <c r="H162" i="163"/>
  <c r="M161" i="163"/>
  <c r="L161" i="163"/>
  <c r="H161" i="163"/>
  <c r="M160" i="163"/>
  <c r="L160" i="163"/>
  <c r="H160" i="163"/>
  <c r="M159" i="163"/>
  <c r="L159" i="163"/>
  <c r="H159" i="163"/>
  <c r="H158" i="163"/>
  <c r="M157" i="163"/>
  <c r="L157" i="163"/>
  <c r="H157" i="163"/>
  <c r="H156" i="163"/>
  <c r="M155" i="163"/>
  <c r="L155" i="163"/>
  <c r="H155" i="163"/>
  <c r="H154" i="163"/>
  <c r="M153" i="163"/>
  <c r="L153" i="163"/>
  <c r="H153" i="163"/>
  <c r="M152" i="163"/>
  <c r="L152" i="163"/>
  <c r="H152" i="163"/>
  <c r="M151" i="163"/>
  <c r="L151" i="163"/>
  <c r="H151" i="163"/>
  <c r="M150" i="163"/>
  <c r="L150" i="163"/>
  <c r="H150" i="163"/>
  <c r="H114" i="163"/>
  <c r="H113" i="163"/>
  <c r="H112" i="163"/>
  <c r="H111" i="163"/>
  <c r="H110" i="163"/>
  <c r="H109" i="163"/>
  <c r="H108" i="163"/>
  <c r="H107" i="163"/>
  <c r="H106" i="163"/>
  <c r="H105" i="163"/>
  <c r="H35" i="250"/>
  <c r="H34" i="250"/>
  <c r="H33" i="250"/>
  <c r="H31" i="250"/>
  <c r="H30" i="250"/>
  <c r="H27" i="250"/>
  <c r="H26" i="250"/>
  <c r="M139" i="163"/>
  <c r="H104" i="163"/>
  <c r="H102" i="163"/>
  <c r="H101" i="163"/>
  <c r="H100" i="163"/>
  <c r="H99" i="163"/>
  <c r="H98" i="163"/>
  <c r="H96" i="163"/>
  <c r="H94" i="163"/>
  <c r="H92" i="163"/>
  <c r="H91" i="163"/>
  <c r="H90" i="163"/>
  <c r="H89" i="163"/>
  <c r="H88" i="163"/>
  <c r="H78" i="163"/>
  <c r="M209" i="163"/>
  <c r="L97" i="163"/>
  <c r="L95" i="163"/>
  <c r="H103" i="163" l="1"/>
  <c r="H95" i="163"/>
  <c r="M95" i="163" s="1"/>
  <c r="H97" i="163"/>
  <c r="M97" i="163" s="1"/>
  <c r="H65" i="163" l="1"/>
  <c r="H63" i="163"/>
  <c r="H61" i="163"/>
  <c r="H60" i="163"/>
  <c r="H59" i="163"/>
  <c r="H57" i="163"/>
  <c r="H39" i="163"/>
  <c r="H38" i="163"/>
  <c r="H37" i="163"/>
  <c r="H36" i="163"/>
  <c r="H35" i="163"/>
  <c r="H34" i="163"/>
  <c r="H33" i="163"/>
  <c r="H32" i="163"/>
  <c r="H31" i="163"/>
  <c r="H30" i="163"/>
  <c r="H29" i="163"/>
  <c r="H28" i="163"/>
  <c r="H27" i="163"/>
  <c r="H25" i="163"/>
  <c r="H23" i="163"/>
  <c r="H22" i="163"/>
  <c r="H21" i="163"/>
  <c r="H19" i="163"/>
  <c r="H18" i="163"/>
  <c r="H17" i="163"/>
  <c r="H16" i="163"/>
  <c r="H15" i="163"/>
  <c r="H13" i="163"/>
  <c r="H12" i="163"/>
  <c r="K26" i="163"/>
  <c r="K38" i="163"/>
  <c r="L38" i="163" s="1"/>
  <c r="M37" i="163"/>
  <c r="L37" i="163"/>
  <c r="M36" i="163"/>
  <c r="L36" i="163"/>
  <c r="M35" i="163"/>
  <c r="L35" i="163"/>
  <c r="K34" i="163"/>
  <c r="L34" i="163" s="1"/>
  <c r="M33" i="163"/>
  <c r="L33" i="163"/>
  <c r="K32" i="163"/>
  <c r="L32" i="163" s="1"/>
  <c r="M31" i="163"/>
  <c r="L31" i="163"/>
  <c r="M30" i="163"/>
  <c r="L30" i="163"/>
  <c r="M29" i="163"/>
  <c r="L29" i="163"/>
  <c r="M28" i="163"/>
  <c r="L28" i="163"/>
  <c r="F14" i="163"/>
  <c r="H14" i="163" s="1"/>
  <c r="M34" i="163" l="1"/>
  <c r="M38" i="163"/>
  <c r="M32" i="163"/>
  <c r="K36" i="193" l="1"/>
  <c r="K34" i="193"/>
  <c r="M228" i="212" l="1"/>
  <c r="M227" i="212"/>
  <c r="L227" i="212"/>
  <c r="H227" i="212"/>
  <c r="M226" i="212"/>
  <c r="L226" i="212"/>
  <c r="H226" i="212"/>
  <c r="M225" i="212"/>
  <c r="L225" i="212"/>
  <c r="H225" i="212"/>
  <c r="M224" i="212"/>
  <c r="L224" i="212"/>
  <c r="H224" i="212"/>
  <c r="M223" i="212"/>
  <c r="L223" i="212"/>
  <c r="H223" i="212"/>
  <c r="M222" i="212"/>
  <c r="L222" i="212"/>
  <c r="H222" i="212"/>
  <c r="M221" i="212"/>
  <c r="L221" i="212"/>
  <c r="H221" i="212"/>
  <c r="M220" i="212"/>
  <c r="L220" i="212"/>
  <c r="H220" i="212"/>
  <c r="M219" i="212"/>
  <c r="L219" i="212"/>
  <c r="H219" i="212"/>
  <c r="M218" i="212"/>
  <c r="L218" i="212"/>
  <c r="H218" i="212"/>
  <c r="M217" i="212"/>
  <c r="L217" i="212"/>
  <c r="H217" i="212"/>
  <c r="M216" i="212"/>
  <c r="L216" i="212"/>
  <c r="H216" i="212"/>
  <c r="M215" i="212"/>
  <c r="L215" i="212"/>
  <c r="H215" i="212"/>
  <c r="M214" i="212"/>
  <c r="L214" i="212"/>
  <c r="H214" i="212"/>
  <c r="M213" i="212"/>
  <c r="L213" i="212"/>
  <c r="H213" i="212"/>
  <c r="M212" i="212"/>
  <c r="L212" i="212"/>
  <c r="H212" i="212"/>
  <c r="M211" i="212"/>
  <c r="L211" i="212"/>
  <c r="H211" i="212"/>
  <c r="M210" i="212"/>
  <c r="L210" i="212"/>
  <c r="H210" i="212"/>
  <c r="M209" i="212"/>
  <c r="L209" i="212"/>
  <c r="H209" i="212"/>
  <c r="M208" i="212"/>
  <c r="L208" i="212"/>
  <c r="H208" i="212"/>
  <c r="M207" i="212"/>
  <c r="L207" i="212"/>
  <c r="H207" i="212"/>
  <c r="M206" i="212"/>
  <c r="L206" i="212"/>
  <c r="H206" i="212"/>
  <c r="M205" i="212"/>
  <c r="L205" i="212"/>
  <c r="H205" i="212"/>
  <c r="M204" i="212"/>
  <c r="L204" i="212"/>
  <c r="H204" i="212"/>
  <c r="M203" i="212"/>
  <c r="L203" i="212"/>
  <c r="H203" i="212"/>
  <c r="M202" i="212"/>
  <c r="L202" i="212"/>
  <c r="H202" i="212"/>
  <c r="M201" i="212"/>
  <c r="L201" i="212"/>
  <c r="H201" i="212"/>
  <c r="M200" i="212"/>
  <c r="L200" i="212"/>
  <c r="H200" i="212"/>
  <c r="M199" i="212"/>
  <c r="L199" i="212"/>
  <c r="H199" i="212"/>
  <c r="M198" i="212"/>
  <c r="L198" i="212"/>
  <c r="H198" i="212"/>
  <c r="M197" i="212"/>
  <c r="L197" i="212"/>
  <c r="H197" i="212"/>
  <c r="M196" i="212"/>
  <c r="L196" i="212"/>
  <c r="H196" i="212"/>
  <c r="M195" i="212"/>
  <c r="L195" i="212"/>
  <c r="H195" i="212"/>
  <c r="M194" i="212"/>
  <c r="L194" i="212"/>
  <c r="H194" i="212"/>
  <c r="M193" i="212"/>
  <c r="L193" i="212"/>
  <c r="H193" i="212"/>
  <c r="M192" i="212"/>
  <c r="L192" i="212"/>
  <c r="H192" i="212"/>
  <c r="M191" i="212"/>
  <c r="L191" i="212"/>
  <c r="H191" i="212"/>
  <c r="M190" i="212"/>
  <c r="L190" i="212"/>
  <c r="H190" i="212"/>
  <c r="M189" i="212"/>
  <c r="L189" i="212"/>
  <c r="H189" i="212"/>
  <c r="M188" i="212"/>
  <c r="L188" i="212"/>
  <c r="H188" i="212"/>
  <c r="M187" i="212"/>
  <c r="L187" i="212"/>
  <c r="H187" i="212"/>
  <c r="M186" i="212"/>
  <c r="L186" i="212"/>
  <c r="H186" i="212"/>
  <c r="M185" i="212"/>
  <c r="L185" i="212"/>
  <c r="H185" i="212"/>
  <c r="M184" i="212"/>
  <c r="L184" i="212"/>
  <c r="H184" i="212"/>
  <c r="M183" i="212"/>
  <c r="L183" i="212"/>
  <c r="H183" i="212"/>
  <c r="M182" i="212"/>
  <c r="L182" i="212"/>
  <c r="H182" i="212"/>
  <c r="M181" i="212"/>
  <c r="L181" i="212"/>
  <c r="H181" i="212"/>
  <c r="M180" i="212"/>
  <c r="L180" i="212"/>
  <c r="H180" i="212"/>
  <c r="M179" i="212"/>
  <c r="L179" i="212"/>
  <c r="H179" i="212"/>
  <c r="M178" i="212"/>
  <c r="L178" i="212"/>
  <c r="H178" i="212"/>
  <c r="M177" i="212"/>
  <c r="L177" i="212"/>
  <c r="H177" i="212"/>
  <c r="M176" i="212"/>
  <c r="L176" i="212"/>
  <c r="H176" i="212"/>
  <c r="M175" i="212"/>
  <c r="L175" i="212"/>
  <c r="H175" i="212"/>
  <c r="M174" i="212"/>
  <c r="L174" i="212"/>
  <c r="H174" i="212"/>
  <c r="L173" i="212"/>
  <c r="H173" i="212"/>
  <c r="M172" i="212"/>
  <c r="L172" i="212"/>
  <c r="H172" i="212"/>
  <c r="L171" i="212"/>
  <c r="H171" i="212"/>
  <c r="M170" i="212"/>
  <c r="L170" i="212"/>
  <c r="H170" i="212"/>
  <c r="M169" i="212"/>
  <c r="L169" i="212"/>
  <c r="H169" i="212"/>
  <c r="M168" i="212"/>
  <c r="L168" i="212"/>
  <c r="H168" i="212"/>
  <c r="L167" i="212"/>
  <c r="H167" i="212"/>
  <c r="M166" i="212"/>
  <c r="L166" i="212"/>
  <c r="H166" i="212"/>
  <c r="M165" i="212"/>
  <c r="L165" i="212"/>
  <c r="H165" i="212"/>
  <c r="M164" i="212"/>
  <c r="L164" i="212"/>
  <c r="H164" i="212"/>
  <c r="M163" i="212"/>
  <c r="L163" i="212"/>
  <c r="H163" i="212"/>
  <c r="M162" i="212"/>
  <c r="L162" i="212"/>
  <c r="H162" i="212"/>
  <c r="M161" i="212"/>
  <c r="M152" i="212"/>
  <c r="M151" i="212"/>
  <c r="L151" i="212"/>
  <c r="H151" i="212"/>
  <c r="M150" i="212"/>
  <c r="L150" i="212"/>
  <c r="H150" i="212"/>
  <c r="M149" i="212"/>
  <c r="L149" i="212"/>
  <c r="H149" i="212"/>
  <c r="M148" i="212"/>
  <c r="L148" i="212"/>
  <c r="H148" i="212"/>
  <c r="M147" i="212"/>
  <c r="L147" i="212"/>
  <c r="H147" i="212"/>
  <c r="M146" i="212"/>
  <c r="L146" i="212"/>
  <c r="H146" i="212"/>
  <c r="M145" i="212"/>
  <c r="L145" i="212"/>
  <c r="H145" i="212"/>
  <c r="M139" i="212"/>
  <c r="L139" i="212"/>
  <c r="M138" i="212"/>
  <c r="L138" i="212"/>
  <c r="M137" i="212"/>
  <c r="L137" i="212"/>
  <c r="M136" i="212"/>
  <c r="L136" i="212"/>
  <c r="M135" i="212"/>
  <c r="L135" i="212"/>
  <c r="M134" i="212"/>
  <c r="L134" i="212"/>
  <c r="M133" i="212"/>
  <c r="L133" i="212"/>
  <c r="M132" i="212"/>
  <c r="L132" i="212"/>
  <c r="M131" i="212"/>
  <c r="L131" i="212"/>
  <c r="M130" i="212"/>
  <c r="L130" i="212"/>
  <c r="M129" i="212"/>
  <c r="L129" i="212"/>
  <c r="M128" i="212"/>
  <c r="L128" i="212"/>
  <c r="M127" i="212"/>
  <c r="L127" i="212"/>
  <c r="M126" i="212"/>
  <c r="L126" i="212"/>
  <c r="M125" i="212"/>
  <c r="L125" i="212"/>
  <c r="M124" i="212"/>
  <c r="L124" i="212"/>
  <c r="M123" i="212"/>
  <c r="L123" i="212"/>
  <c r="M122" i="212"/>
  <c r="L122" i="212"/>
  <c r="M121" i="212"/>
  <c r="L121" i="212"/>
  <c r="M120" i="212"/>
  <c r="L120" i="212"/>
  <c r="M119" i="212"/>
  <c r="L119" i="212"/>
  <c r="M118" i="212"/>
  <c r="L118" i="212"/>
  <c r="M117" i="212"/>
  <c r="L117" i="212"/>
  <c r="M116" i="212"/>
  <c r="L116" i="212"/>
  <c r="M115" i="212"/>
  <c r="L115" i="212"/>
  <c r="M114" i="212"/>
  <c r="L114" i="212"/>
  <c r="K114" i="212"/>
  <c r="M113" i="212"/>
  <c r="L113" i="212"/>
  <c r="M112" i="212"/>
  <c r="K112" i="212"/>
  <c r="L112" i="212" s="1"/>
  <c r="M111" i="212"/>
  <c r="L111" i="212"/>
  <c r="M110" i="212"/>
  <c r="L110" i="212"/>
  <c r="K110" i="212"/>
  <c r="M109" i="212"/>
  <c r="L109" i="212"/>
  <c r="M108" i="212"/>
  <c r="L108" i="212"/>
  <c r="M107" i="212"/>
  <c r="L107" i="212"/>
  <c r="M106" i="212"/>
  <c r="L106" i="212"/>
  <c r="M105" i="212"/>
  <c r="L105" i="212"/>
  <c r="M104" i="212"/>
  <c r="L104" i="212"/>
  <c r="M103" i="212"/>
  <c r="L103" i="212"/>
  <c r="M102" i="212"/>
  <c r="L102" i="212"/>
  <c r="M101" i="212"/>
  <c r="L101" i="212"/>
  <c r="M100" i="212"/>
  <c r="L100" i="212"/>
  <c r="M99" i="212"/>
  <c r="L99" i="212"/>
  <c r="M98" i="212"/>
  <c r="L98" i="212"/>
  <c r="M97" i="212"/>
  <c r="L97" i="212"/>
  <c r="M96" i="212"/>
  <c r="L96" i="212"/>
  <c r="M95" i="212"/>
  <c r="L95" i="212"/>
  <c r="M94" i="212"/>
  <c r="L94" i="212"/>
  <c r="M93" i="212"/>
  <c r="L93" i="212"/>
  <c r="M92" i="212"/>
  <c r="L92" i="212"/>
  <c r="M91" i="212"/>
  <c r="L91" i="212"/>
  <c r="M90" i="212"/>
  <c r="L90" i="212"/>
  <c r="M89" i="212"/>
  <c r="L89" i="212"/>
  <c r="M88" i="212"/>
  <c r="L88" i="212"/>
  <c r="M87" i="212"/>
  <c r="L87" i="212"/>
  <c r="M86" i="212"/>
  <c r="L86" i="212"/>
  <c r="M85" i="212"/>
  <c r="L85" i="212"/>
  <c r="M84" i="212"/>
  <c r="L84" i="212"/>
  <c r="M83" i="212"/>
  <c r="M167" i="212" l="1"/>
  <c r="M173" i="212"/>
  <c r="M171" i="212"/>
  <c r="B27" i="254"/>
  <c r="B25" i="254"/>
  <c r="B23" i="254"/>
  <c r="B21" i="254"/>
  <c r="C25" i="254"/>
  <c r="C23" i="254"/>
  <c r="C21" i="254"/>
  <c r="C27" i="254"/>
  <c r="H24" i="250" l="1"/>
  <c r="M75" i="169"/>
  <c r="L75" i="169"/>
  <c r="I75" i="169"/>
  <c r="H75" i="169"/>
  <c r="M74" i="169"/>
  <c r="L74" i="169"/>
  <c r="I74" i="169"/>
  <c r="H74" i="169"/>
  <c r="M73" i="169"/>
  <c r="L73" i="169"/>
  <c r="I73" i="169"/>
  <c r="H73" i="169"/>
  <c r="M72" i="169"/>
  <c r="L72" i="169"/>
  <c r="I72" i="169"/>
  <c r="H72" i="169"/>
  <c r="M71" i="169"/>
  <c r="L71" i="169"/>
  <c r="I71" i="169"/>
  <c r="H71" i="169"/>
  <c r="M70" i="169"/>
  <c r="L70" i="169"/>
  <c r="I70" i="169"/>
  <c r="H70" i="169"/>
  <c r="M69" i="169"/>
  <c r="L69" i="169"/>
  <c r="I69" i="169"/>
  <c r="H69" i="169"/>
  <c r="M68" i="169"/>
  <c r="L68" i="169"/>
  <c r="I68" i="169"/>
  <c r="H68" i="169"/>
  <c r="M67" i="169"/>
  <c r="L67" i="169"/>
  <c r="I67" i="169"/>
  <c r="H67" i="169"/>
  <c r="M66" i="169"/>
  <c r="L66" i="169"/>
  <c r="I66" i="169"/>
  <c r="H66" i="169"/>
  <c r="M65" i="169"/>
  <c r="L65" i="169"/>
  <c r="I65" i="169"/>
  <c r="H65" i="169"/>
  <c r="M64" i="169"/>
  <c r="L64" i="169"/>
  <c r="I64" i="169"/>
  <c r="H64" i="169"/>
  <c r="M63" i="169"/>
  <c r="L63" i="169"/>
  <c r="I63" i="169"/>
  <c r="H63" i="169"/>
  <c r="M62" i="169"/>
  <c r="L62" i="169"/>
  <c r="I62" i="169"/>
  <c r="H62" i="169"/>
  <c r="M61" i="169"/>
  <c r="L61" i="169"/>
  <c r="I61" i="169"/>
  <c r="H61" i="169"/>
  <c r="M60" i="169"/>
  <c r="L60" i="169"/>
  <c r="I60" i="169"/>
  <c r="H60" i="169"/>
  <c r="M59" i="169"/>
  <c r="L59" i="169"/>
  <c r="I59" i="169"/>
  <c r="H59" i="169"/>
  <c r="M58" i="169"/>
  <c r="L58" i="169"/>
  <c r="I58" i="169"/>
  <c r="H58" i="169"/>
  <c r="M57" i="169"/>
  <c r="L57" i="169"/>
  <c r="I57" i="169"/>
  <c r="H57" i="169"/>
  <c r="M56" i="169"/>
  <c r="L56" i="169"/>
  <c r="I56" i="169"/>
  <c r="H56" i="169"/>
  <c r="M55" i="169"/>
  <c r="L55" i="169"/>
  <c r="I55" i="169"/>
  <c r="H55" i="169"/>
  <c r="M54" i="169"/>
  <c r="L54" i="169"/>
  <c r="I54" i="169"/>
  <c r="H54" i="169"/>
  <c r="M53" i="169"/>
  <c r="L53" i="169"/>
  <c r="I53" i="169"/>
  <c r="H53" i="169"/>
  <c r="M52" i="169"/>
  <c r="L52" i="169"/>
  <c r="I52" i="169"/>
  <c r="H52" i="169"/>
  <c r="M51" i="169"/>
  <c r="L51" i="169"/>
  <c r="I51" i="169"/>
  <c r="H51" i="169"/>
  <c r="M50" i="169"/>
  <c r="L50" i="169"/>
  <c r="I50" i="169"/>
  <c r="H50" i="169"/>
  <c r="M49" i="169"/>
  <c r="L49" i="169"/>
  <c r="I49" i="169"/>
  <c r="H49" i="169"/>
  <c r="M48" i="169"/>
  <c r="L48" i="169"/>
  <c r="I48" i="169"/>
  <c r="H48" i="169"/>
  <c r="M47" i="169"/>
  <c r="L47" i="169"/>
  <c r="I47" i="169"/>
  <c r="H47" i="169"/>
  <c r="M46" i="169"/>
  <c r="L46" i="169"/>
  <c r="I46" i="169"/>
  <c r="H46" i="169"/>
  <c r="M45" i="169"/>
  <c r="L45" i="169"/>
  <c r="I45" i="169"/>
  <c r="H45" i="169"/>
  <c r="M44" i="169"/>
  <c r="L44" i="169"/>
  <c r="I44" i="169"/>
  <c r="H44" i="169"/>
  <c r="M43" i="169"/>
  <c r="L43" i="169"/>
  <c r="I43" i="169"/>
  <c r="H43" i="169"/>
  <c r="M42" i="169"/>
  <c r="L42" i="169"/>
  <c r="I42" i="169"/>
  <c r="H42" i="169"/>
  <c r="M41" i="169"/>
  <c r="L41" i="169"/>
  <c r="I41" i="169"/>
  <c r="H41" i="169"/>
  <c r="M40" i="169"/>
  <c r="L40" i="169"/>
  <c r="I40" i="169"/>
  <c r="H40" i="169"/>
  <c r="M39" i="169"/>
  <c r="L39" i="169"/>
  <c r="I39" i="169"/>
  <c r="H39" i="169"/>
  <c r="M38" i="169"/>
  <c r="L38" i="169"/>
  <c r="I38" i="169"/>
  <c r="H38" i="169"/>
  <c r="M37" i="169"/>
  <c r="L37" i="169"/>
  <c r="I37" i="169"/>
  <c r="H37" i="169"/>
  <c r="M36" i="169"/>
  <c r="L36" i="169"/>
  <c r="I36" i="169"/>
  <c r="H36" i="169"/>
  <c r="M212" i="235"/>
  <c r="K186" i="235"/>
  <c r="K184" i="235"/>
  <c r="K182" i="235"/>
  <c r="M156" i="235"/>
  <c r="L156" i="235"/>
  <c r="M155" i="235"/>
  <c r="M146" i="235"/>
  <c r="M85" i="235"/>
  <c r="L85" i="235"/>
  <c r="M84" i="235"/>
  <c r="M75" i="235"/>
  <c r="M11" i="235"/>
  <c r="L11" i="235"/>
  <c r="K30" i="168"/>
  <c r="M31" i="168"/>
  <c r="L31" i="168"/>
  <c r="M29" i="168"/>
  <c r="L29" i="168"/>
  <c r="H31" i="168"/>
  <c r="H29" i="168"/>
  <c r="K26" i="166"/>
  <c r="L26" i="166" s="1"/>
  <c r="H26" i="166"/>
  <c r="H25" i="166"/>
  <c r="H24" i="166"/>
  <c r="M71" i="167"/>
  <c r="L71" i="167"/>
  <c r="H71" i="167"/>
  <c r="M70" i="167"/>
  <c r="L70" i="167"/>
  <c r="H70" i="167"/>
  <c r="M69" i="167"/>
  <c r="L69" i="167"/>
  <c r="H69" i="167"/>
  <c r="M65" i="167"/>
  <c r="L65" i="167"/>
  <c r="H65" i="167"/>
  <c r="M64" i="167"/>
  <c r="L64" i="167"/>
  <c r="H64" i="167"/>
  <c r="M62" i="167"/>
  <c r="L62" i="167"/>
  <c r="H62" i="167"/>
  <c r="M61" i="167"/>
  <c r="L61" i="167"/>
  <c r="H61" i="167"/>
  <c r="M60" i="167"/>
  <c r="L60" i="167"/>
  <c r="H60" i="167"/>
  <c r="M58" i="167"/>
  <c r="L58" i="167"/>
  <c r="H58" i="167"/>
  <c r="M57" i="167"/>
  <c r="L57" i="167"/>
  <c r="H57" i="167"/>
  <c r="M56" i="167"/>
  <c r="L56" i="167"/>
  <c r="H56" i="167"/>
  <c r="M50" i="167"/>
  <c r="L50" i="167"/>
  <c r="H50" i="167"/>
  <c r="M49" i="167"/>
  <c r="L49" i="167"/>
  <c r="H49" i="167"/>
  <c r="M48" i="167"/>
  <c r="L48" i="167"/>
  <c r="H48" i="167"/>
  <c r="M47" i="167"/>
  <c r="L47" i="167"/>
  <c r="H47" i="167"/>
  <c r="M46" i="167"/>
  <c r="L46" i="167"/>
  <c r="H46" i="167"/>
  <c r="M45" i="167"/>
  <c r="L45" i="167"/>
  <c r="H45" i="167"/>
  <c r="M44" i="167"/>
  <c r="L44" i="167"/>
  <c r="H44" i="167"/>
  <c r="M43" i="167"/>
  <c r="L43" i="167"/>
  <c r="H43" i="167"/>
  <c r="M42" i="167"/>
  <c r="L42" i="167"/>
  <c r="H42" i="167"/>
  <c r="M41" i="167"/>
  <c r="L41" i="167"/>
  <c r="H41" i="167"/>
  <c r="H40" i="167"/>
  <c r="K28" i="212"/>
  <c r="K26" i="212"/>
  <c r="K24" i="212"/>
  <c r="L24" i="212" s="1"/>
  <c r="M74" i="212"/>
  <c r="M27" i="212"/>
  <c r="L27" i="212"/>
  <c r="M25" i="212"/>
  <c r="L25" i="212"/>
  <c r="M23" i="212"/>
  <c r="L23" i="212"/>
  <c r="M22" i="212"/>
  <c r="L22" i="212"/>
  <c r="M21" i="212"/>
  <c r="L21" i="212"/>
  <c r="M20" i="212"/>
  <c r="L20" i="212"/>
  <c r="M19" i="212"/>
  <c r="L19" i="212"/>
  <c r="M18" i="212"/>
  <c r="L18" i="212"/>
  <c r="M16" i="212"/>
  <c r="L16" i="212"/>
  <c r="M15" i="212"/>
  <c r="L15" i="212"/>
  <c r="M14" i="212"/>
  <c r="L14" i="212"/>
  <c r="M13" i="212"/>
  <c r="L13" i="212"/>
  <c r="M12" i="212"/>
  <c r="L12" i="212"/>
  <c r="M11" i="212"/>
  <c r="L11" i="212"/>
  <c r="M70" i="211"/>
  <c r="L70" i="211"/>
  <c r="M69" i="211"/>
  <c r="L69" i="211"/>
  <c r="M68" i="211"/>
  <c r="L68" i="211"/>
  <c r="M67" i="211"/>
  <c r="L67" i="211"/>
  <c r="M66" i="211"/>
  <c r="L66" i="211"/>
  <c r="M65" i="211"/>
  <c r="L65" i="211"/>
  <c r="M64" i="211"/>
  <c r="L64" i="211"/>
  <c r="M63" i="211"/>
  <c r="L63" i="211"/>
  <c r="M62" i="211"/>
  <c r="L62" i="211"/>
  <c r="M61" i="211"/>
  <c r="L61" i="211"/>
  <c r="M60" i="211"/>
  <c r="L60" i="211"/>
  <c r="M59" i="211"/>
  <c r="L59" i="211"/>
  <c r="M58" i="211"/>
  <c r="L58" i="211"/>
  <c r="M57" i="211"/>
  <c r="L57" i="211"/>
  <c r="M56" i="211"/>
  <c r="L56" i="211"/>
  <c r="M55" i="211"/>
  <c r="L55" i="211"/>
  <c r="M54" i="211"/>
  <c r="L54" i="211"/>
  <c r="M53" i="211"/>
  <c r="L53" i="211"/>
  <c r="M52" i="211"/>
  <c r="L52" i="211"/>
  <c r="M51" i="211"/>
  <c r="L51" i="211"/>
  <c r="M50" i="211"/>
  <c r="L50" i="211"/>
  <c r="M49" i="211"/>
  <c r="L49" i="211"/>
  <c r="H70" i="211"/>
  <c r="H69" i="211"/>
  <c r="H68" i="211"/>
  <c r="H67" i="211"/>
  <c r="H66" i="211"/>
  <c r="H65" i="211"/>
  <c r="H64" i="211"/>
  <c r="H63" i="211"/>
  <c r="H62" i="211"/>
  <c r="H61" i="211"/>
  <c r="H60" i="211"/>
  <c r="H59" i="211"/>
  <c r="H58" i="211"/>
  <c r="H57" i="211"/>
  <c r="H56" i="211"/>
  <c r="H55" i="211"/>
  <c r="K48" i="211"/>
  <c r="L48" i="211" s="1"/>
  <c r="H48" i="211"/>
  <c r="H28" i="211"/>
  <c r="L93" i="163"/>
  <c r="F120" i="162"/>
  <c r="F114" i="162"/>
  <c r="F104" i="162"/>
  <c r="F98" i="162"/>
  <c r="F94" i="162"/>
  <c r="H26" i="171"/>
  <c r="M26" i="166" l="1"/>
  <c r="H93" i="163"/>
  <c r="M93" i="163" s="1"/>
  <c r="M48" i="211"/>
  <c r="M143" i="307"/>
  <c r="L143" i="307"/>
  <c r="H143" i="307"/>
  <c r="M142" i="307"/>
  <c r="L142" i="307"/>
  <c r="H142" i="307"/>
  <c r="M141" i="307"/>
  <c r="L141" i="307"/>
  <c r="H141" i="307"/>
  <c r="M140" i="307"/>
  <c r="L140" i="307"/>
  <c r="H140" i="307"/>
  <c r="M139" i="307"/>
  <c r="L139" i="307"/>
  <c r="H139" i="307"/>
  <c r="M138" i="307"/>
  <c r="L138" i="307"/>
  <c r="H138" i="307"/>
  <c r="M137" i="307"/>
  <c r="L137" i="307"/>
  <c r="H137" i="307"/>
  <c r="M136" i="307"/>
  <c r="L136" i="307"/>
  <c r="H136" i="307"/>
  <c r="M135" i="307"/>
  <c r="L135" i="307"/>
  <c r="H135" i="307"/>
  <c r="M134" i="307"/>
  <c r="L134" i="307"/>
  <c r="H134" i="307"/>
  <c r="M133" i="307"/>
  <c r="L133" i="307"/>
  <c r="H133" i="307"/>
  <c r="M132" i="307"/>
  <c r="L132" i="307"/>
  <c r="H132" i="307"/>
  <c r="M131" i="307"/>
  <c r="L131" i="307"/>
  <c r="H131" i="307"/>
  <c r="M130" i="307"/>
  <c r="L130" i="307"/>
  <c r="H130" i="307"/>
  <c r="M129" i="307"/>
  <c r="L129" i="307"/>
  <c r="H129" i="307"/>
  <c r="M128" i="307"/>
  <c r="L128" i="307"/>
  <c r="H128" i="307"/>
  <c r="M127" i="307"/>
  <c r="L127" i="307"/>
  <c r="H127" i="307"/>
  <c r="M126" i="307"/>
  <c r="L126" i="307"/>
  <c r="H126" i="307"/>
  <c r="M125" i="307"/>
  <c r="L125" i="307"/>
  <c r="H125" i="307"/>
  <c r="M124" i="307"/>
  <c r="L124" i="307"/>
  <c r="H124" i="307"/>
  <c r="M123" i="307"/>
  <c r="L123" i="307"/>
  <c r="H123" i="307"/>
  <c r="M122" i="307"/>
  <c r="L122" i="307"/>
  <c r="H122" i="307"/>
  <c r="M121" i="307"/>
  <c r="L121" i="307"/>
  <c r="H121" i="307"/>
  <c r="M120" i="307"/>
  <c r="L120" i="307"/>
  <c r="H120" i="307"/>
  <c r="M119" i="307"/>
  <c r="L119" i="307"/>
  <c r="H119" i="307"/>
  <c r="M118" i="307"/>
  <c r="L118" i="307"/>
  <c r="H118" i="307"/>
  <c r="M117" i="307"/>
  <c r="L117" i="307"/>
  <c r="H117" i="307"/>
  <c r="M116" i="307"/>
  <c r="L116" i="307"/>
  <c r="H116" i="307"/>
  <c r="M115" i="307"/>
  <c r="L115" i="307"/>
  <c r="H115" i="307"/>
  <c r="M114" i="307"/>
  <c r="L114" i="307"/>
  <c r="H114" i="307"/>
  <c r="M113" i="307"/>
  <c r="L113" i="307"/>
  <c r="H113" i="307"/>
  <c r="M112" i="307"/>
  <c r="L112" i="307"/>
  <c r="H112" i="307"/>
  <c r="M111" i="307"/>
  <c r="L111" i="307"/>
  <c r="H111" i="307"/>
  <c r="M110" i="307"/>
  <c r="L110" i="307"/>
  <c r="H110" i="307"/>
  <c r="M109" i="307"/>
  <c r="L109" i="307"/>
  <c r="H109" i="307"/>
  <c r="M108" i="307"/>
  <c r="L108" i="307"/>
  <c r="H108" i="307"/>
  <c r="M107" i="307"/>
  <c r="L107" i="307"/>
  <c r="H107" i="307"/>
  <c r="M106" i="307"/>
  <c r="L106" i="307"/>
  <c r="H106" i="307"/>
  <c r="M105" i="307"/>
  <c r="L105" i="307"/>
  <c r="H105" i="307"/>
  <c r="M104" i="307"/>
  <c r="L104" i="307"/>
  <c r="H104" i="307"/>
  <c r="M103" i="307"/>
  <c r="L103" i="307"/>
  <c r="H103" i="307"/>
  <c r="M102" i="307"/>
  <c r="L102" i="307"/>
  <c r="H102" i="307"/>
  <c r="M101" i="307"/>
  <c r="L101" i="307"/>
  <c r="H101" i="307"/>
  <c r="M100" i="307"/>
  <c r="L100" i="307"/>
  <c r="H100" i="307"/>
  <c r="M99" i="307"/>
  <c r="L99" i="307"/>
  <c r="H99" i="307"/>
  <c r="M98" i="307"/>
  <c r="L98" i="307"/>
  <c r="H98" i="307"/>
  <c r="M97" i="307"/>
  <c r="L97" i="307"/>
  <c r="H97" i="307"/>
  <c r="M96" i="307"/>
  <c r="L96" i="307"/>
  <c r="H96" i="307"/>
  <c r="M95" i="307"/>
  <c r="L95" i="307"/>
  <c r="H95" i="307"/>
  <c r="M94" i="307"/>
  <c r="L94" i="307"/>
  <c r="H94" i="307"/>
  <c r="M93" i="307"/>
  <c r="L93" i="307"/>
  <c r="H93" i="307"/>
  <c r="M92" i="307"/>
  <c r="L92" i="307"/>
  <c r="H92" i="307"/>
  <c r="M91" i="307"/>
  <c r="L91" i="307"/>
  <c r="H91" i="307"/>
  <c r="M90" i="307"/>
  <c r="L90" i="307"/>
  <c r="H90" i="307"/>
  <c r="M89" i="307"/>
  <c r="L89" i="307"/>
  <c r="H89" i="307"/>
  <c r="M88" i="307"/>
  <c r="L88" i="307"/>
  <c r="H88" i="307"/>
  <c r="M87" i="307"/>
  <c r="L87" i="307"/>
  <c r="H87" i="307"/>
  <c r="M86" i="307"/>
  <c r="L86" i="307"/>
  <c r="H86" i="307"/>
  <c r="M85" i="307"/>
  <c r="L85" i="307"/>
  <c r="H85" i="307"/>
  <c r="M84" i="307"/>
  <c r="L84" i="307"/>
  <c r="H84" i="307"/>
  <c r="M83" i="307"/>
  <c r="L83" i="307"/>
  <c r="H83" i="307"/>
  <c r="M82" i="307"/>
  <c r="L82" i="307"/>
  <c r="H82" i="307"/>
  <c r="M80" i="307"/>
  <c r="L80" i="307"/>
  <c r="H80" i="307"/>
  <c r="M79" i="307"/>
  <c r="L79" i="307"/>
  <c r="H79" i="307"/>
  <c r="M68" i="307"/>
  <c r="L68" i="307"/>
  <c r="M67" i="307"/>
  <c r="L67" i="307"/>
  <c r="M59" i="307"/>
  <c r="L59" i="307"/>
  <c r="M58" i="307"/>
  <c r="L58" i="307"/>
  <c r="M57" i="307"/>
  <c r="L57" i="307"/>
  <c r="M56" i="307"/>
  <c r="L56" i="307"/>
  <c r="M55" i="307"/>
  <c r="L55" i="307"/>
  <c r="M54" i="307"/>
  <c r="L54" i="307"/>
  <c r="M53" i="307"/>
  <c r="L53" i="307"/>
  <c r="M52" i="307"/>
  <c r="L52" i="307"/>
  <c r="M51" i="307"/>
  <c r="L51" i="307"/>
  <c r="M50" i="307"/>
  <c r="L50" i="307"/>
  <c r="M49" i="307"/>
  <c r="L49" i="307"/>
  <c r="M48" i="307"/>
  <c r="L48" i="307"/>
  <c r="M47" i="307"/>
  <c r="L47" i="307"/>
  <c r="M46" i="307"/>
  <c r="L46" i="307"/>
  <c r="M45" i="307"/>
  <c r="L45" i="307"/>
  <c r="M44" i="307"/>
  <c r="L44" i="307"/>
  <c r="M43" i="307"/>
  <c r="L43" i="307"/>
  <c r="M42" i="307"/>
  <c r="L42" i="307"/>
  <c r="M41" i="307"/>
  <c r="L41" i="307"/>
  <c r="M40" i="307"/>
  <c r="L40" i="307"/>
  <c r="M39" i="307"/>
  <c r="L39" i="307"/>
  <c r="M37" i="307"/>
  <c r="L37" i="307"/>
  <c r="M36" i="307"/>
  <c r="L36" i="307"/>
  <c r="M35" i="307"/>
  <c r="L35" i="307"/>
  <c r="M33" i="307"/>
  <c r="L33" i="307"/>
  <c r="M32" i="307"/>
  <c r="L32" i="307"/>
  <c r="M31" i="307"/>
  <c r="L31" i="307"/>
  <c r="M29" i="307"/>
  <c r="L29" i="307"/>
  <c r="M27" i="307"/>
  <c r="L27" i="307"/>
  <c r="M25" i="307"/>
  <c r="L25" i="307"/>
  <c r="M24" i="307"/>
  <c r="L24" i="307"/>
  <c r="M23" i="307"/>
  <c r="L23" i="307"/>
  <c r="M21" i="307"/>
  <c r="L21" i="307"/>
  <c r="M20" i="307"/>
  <c r="L20" i="307"/>
  <c r="M19" i="307"/>
  <c r="L19" i="307"/>
  <c r="M18" i="307"/>
  <c r="L18" i="307"/>
  <c r="M17" i="307"/>
  <c r="L17" i="307"/>
  <c r="M15" i="307"/>
  <c r="L15" i="307"/>
  <c r="M14" i="307"/>
  <c r="L14" i="307"/>
  <c r="M13" i="307"/>
  <c r="L13" i="307"/>
  <c r="M12" i="307"/>
  <c r="L12" i="307"/>
  <c r="H68" i="307"/>
  <c r="H67" i="307"/>
  <c r="H59" i="307"/>
  <c r="H58" i="307"/>
  <c r="H57" i="307"/>
  <c r="H56" i="307"/>
  <c r="H55" i="307"/>
  <c r="H54" i="307"/>
  <c r="H53" i="307"/>
  <c r="H52" i="307"/>
  <c r="H51" i="307"/>
  <c r="H50" i="307"/>
  <c r="H49" i="307"/>
  <c r="H48" i="307"/>
  <c r="H47" i="307"/>
  <c r="H46" i="307"/>
  <c r="H45" i="307"/>
  <c r="H44" i="307"/>
  <c r="H43" i="307"/>
  <c r="H42" i="307"/>
  <c r="H41" i="307"/>
  <c r="H40" i="307"/>
  <c r="H39" i="307"/>
  <c r="H38" i="307"/>
  <c r="H37" i="307"/>
  <c r="H36" i="307"/>
  <c r="H35" i="307"/>
  <c r="H34" i="307"/>
  <c r="H33" i="307"/>
  <c r="H32" i="307"/>
  <c r="H31" i="307"/>
  <c r="H30" i="307"/>
  <c r="H29" i="307"/>
  <c r="H28" i="307"/>
  <c r="H27" i="307"/>
  <c r="H26" i="307"/>
  <c r="H25" i="307"/>
  <c r="H24" i="307"/>
  <c r="H23" i="307"/>
  <c r="H22" i="307"/>
  <c r="H21" i="307"/>
  <c r="H20" i="307"/>
  <c r="H19" i="307"/>
  <c r="H18" i="307"/>
  <c r="H17" i="307"/>
  <c r="H16" i="307"/>
  <c r="H15" i="307"/>
  <c r="H14" i="307"/>
  <c r="H13" i="307"/>
  <c r="H12" i="307"/>
  <c r="M146" i="306"/>
  <c r="L146" i="306"/>
  <c r="H146" i="306"/>
  <c r="M145" i="306"/>
  <c r="L145" i="306"/>
  <c r="H145" i="306"/>
  <c r="M144" i="306"/>
  <c r="L144" i="306"/>
  <c r="H144" i="306"/>
  <c r="M143" i="306"/>
  <c r="L143" i="306"/>
  <c r="H143" i="306"/>
  <c r="M142" i="306"/>
  <c r="L142" i="306"/>
  <c r="H142" i="306"/>
  <c r="M141" i="306"/>
  <c r="L141" i="306"/>
  <c r="H141" i="306"/>
  <c r="M140" i="306"/>
  <c r="L140" i="306"/>
  <c r="H140" i="306"/>
  <c r="M139" i="306"/>
  <c r="L139" i="306"/>
  <c r="H139" i="306"/>
  <c r="M138" i="306"/>
  <c r="L138" i="306"/>
  <c r="H138" i="306"/>
  <c r="M137" i="306"/>
  <c r="L137" i="306"/>
  <c r="H137" i="306"/>
  <c r="M136" i="306"/>
  <c r="L136" i="306"/>
  <c r="H136" i="306"/>
  <c r="M135" i="306"/>
  <c r="L135" i="306"/>
  <c r="H135" i="306"/>
  <c r="M134" i="306"/>
  <c r="L134" i="306"/>
  <c r="H134" i="306"/>
  <c r="M133" i="306"/>
  <c r="L133" i="306"/>
  <c r="H133" i="306"/>
  <c r="M132" i="306"/>
  <c r="L132" i="306"/>
  <c r="H132" i="306"/>
  <c r="M131" i="306"/>
  <c r="L131" i="306"/>
  <c r="H131" i="306"/>
  <c r="M130" i="306"/>
  <c r="L130" i="306"/>
  <c r="H130" i="306"/>
  <c r="M129" i="306"/>
  <c r="L129" i="306"/>
  <c r="H129" i="306"/>
  <c r="M128" i="306"/>
  <c r="L128" i="306"/>
  <c r="H128" i="306"/>
  <c r="M127" i="306"/>
  <c r="L127" i="306"/>
  <c r="H127" i="306"/>
  <c r="M126" i="306"/>
  <c r="L126" i="306"/>
  <c r="H126" i="306"/>
  <c r="M125" i="306"/>
  <c r="L125" i="306"/>
  <c r="H125" i="306"/>
  <c r="M124" i="306"/>
  <c r="L124" i="306"/>
  <c r="H124" i="306"/>
  <c r="M123" i="306"/>
  <c r="L123" i="306"/>
  <c r="H123" i="306"/>
  <c r="M122" i="306"/>
  <c r="L122" i="306"/>
  <c r="H122" i="306"/>
  <c r="M121" i="306"/>
  <c r="L121" i="306"/>
  <c r="H121" i="306"/>
  <c r="M120" i="306"/>
  <c r="L120" i="306"/>
  <c r="H120" i="306"/>
  <c r="M119" i="306"/>
  <c r="L119" i="306"/>
  <c r="H119" i="306"/>
  <c r="M118" i="306"/>
  <c r="L118" i="306"/>
  <c r="H118" i="306"/>
  <c r="M117" i="306"/>
  <c r="L117" i="306"/>
  <c r="H117" i="306"/>
  <c r="M116" i="306"/>
  <c r="L116" i="306"/>
  <c r="H116" i="306"/>
  <c r="M115" i="306"/>
  <c r="L115" i="306"/>
  <c r="H115" i="306"/>
  <c r="M114" i="306"/>
  <c r="L114" i="306"/>
  <c r="H114" i="306"/>
  <c r="M113" i="306"/>
  <c r="L113" i="306"/>
  <c r="H113" i="306"/>
  <c r="M112" i="306"/>
  <c r="L112" i="306"/>
  <c r="H112" i="306"/>
  <c r="M111" i="306"/>
  <c r="L111" i="306"/>
  <c r="H111" i="306"/>
  <c r="M110" i="306"/>
  <c r="L110" i="306"/>
  <c r="H110" i="306"/>
  <c r="M109" i="306"/>
  <c r="L109" i="306"/>
  <c r="H109" i="306"/>
  <c r="M108" i="306"/>
  <c r="L108" i="306"/>
  <c r="H108" i="306"/>
  <c r="M107" i="306"/>
  <c r="L107" i="306"/>
  <c r="H107" i="306"/>
  <c r="M106" i="306"/>
  <c r="L106" i="306"/>
  <c r="H106" i="306"/>
  <c r="M105" i="306"/>
  <c r="L105" i="306"/>
  <c r="H105" i="306"/>
  <c r="M104" i="306"/>
  <c r="L104" i="306"/>
  <c r="H104" i="306"/>
  <c r="M103" i="306"/>
  <c r="L103" i="306"/>
  <c r="H103" i="306"/>
  <c r="M102" i="306"/>
  <c r="L102" i="306"/>
  <c r="H102" i="306"/>
  <c r="M101" i="306"/>
  <c r="L101" i="306"/>
  <c r="H101" i="306"/>
  <c r="M100" i="306"/>
  <c r="L100" i="306"/>
  <c r="H100" i="306"/>
  <c r="M99" i="306"/>
  <c r="L99" i="306"/>
  <c r="H99" i="306"/>
  <c r="M98" i="306"/>
  <c r="L98" i="306"/>
  <c r="H98" i="306"/>
  <c r="M97" i="306"/>
  <c r="L97" i="306"/>
  <c r="H97" i="306"/>
  <c r="M96" i="306"/>
  <c r="L96" i="306"/>
  <c r="H96" i="306"/>
  <c r="M95" i="306"/>
  <c r="L95" i="306"/>
  <c r="H95" i="306"/>
  <c r="M94" i="306"/>
  <c r="L94" i="306"/>
  <c r="H94" i="306"/>
  <c r="M93" i="306"/>
  <c r="L93" i="306"/>
  <c r="H93" i="306"/>
  <c r="M92" i="306"/>
  <c r="L92" i="306"/>
  <c r="H92" i="306"/>
  <c r="M91" i="306"/>
  <c r="L91" i="306"/>
  <c r="H91" i="306"/>
  <c r="M90" i="306"/>
  <c r="L90" i="306"/>
  <c r="H90" i="306"/>
  <c r="M89" i="306"/>
  <c r="L89" i="306"/>
  <c r="H89" i="306"/>
  <c r="M88" i="306"/>
  <c r="L88" i="306"/>
  <c r="H88" i="306"/>
  <c r="M87" i="306"/>
  <c r="L87" i="306"/>
  <c r="H87" i="306"/>
  <c r="M86" i="306"/>
  <c r="L86" i="306"/>
  <c r="H86" i="306"/>
  <c r="M85" i="306"/>
  <c r="L85" i="306"/>
  <c r="H85" i="306"/>
  <c r="M84" i="306"/>
  <c r="L84" i="306"/>
  <c r="H84" i="306"/>
  <c r="M82" i="306"/>
  <c r="L82" i="306"/>
  <c r="H82" i="306"/>
  <c r="M71" i="306"/>
  <c r="L71" i="306"/>
  <c r="M70" i="306"/>
  <c r="L70" i="306"/>
  <c r="M49" i="306"/>
  <c r="L49" i="306"/>
  <c r="M48" i="306"/>
  <c r="L48" i="306"/>
  <c r="M47" i="306"/>
  <c r="L47" i="306"/>
  <c r="M46" i="306"/>
  <c r="L46" i="306"/>
  <c r="M45" i="306"/>
  <c r="L45" i="306"/>
  <c r="M44" i="306"/>
  <c r="L44" i="306"/>
  <c r="M43" i="306"/>
  <c r="L43" i="306"/>
  <c r="M42" i="306"/>
  <c r="L42" i="306"/>
  <c r="M41" i="306"/>
  <c r="L41" i="306"/>
  <c r="M40" i="306"/>
  <c r="L40" i="306"/>
  <c r="M39" i="306"/>
  <c r="L39" i="306"/>
  <c r="M38" i="306"/>
  <c r="L38" i="306"/>
  <c r="M37" i="306"/>
  <c r="L37" i="306"/>
  <c r="M35" i="306"/>
  <c r="L35" i="306"/>
  <c r="M34" i="306"/>
  <c r="L34" i="306"/>
  <c r="M33" i="306"/>
  <c r="L33" i="306"/>
  <c r="M31" i="306"/>
  <c r="L31" i="306"/>
  <c r="M27" i="306"/>
  <c r="L27" i="306"/>
  <c r="M25" i="306"/>
  <c r="L25" i="306"/>
  <c r="M23" i="306"/>
  <c r="L23" i="306"/>
  <c r="M22" i="306"/>
  <c r="L22" i="306"/>
  <c r="M21" i="306"/>
  <c r="L21" i="306"/>
  <c r="M20" i="306"/>
  <c r="L20" i="306"/>
  <c r="M19" i="306"/>
  <c r="L19" i="306"/>
  <c r="M17" i="306"/>
  <c r="L17" i="306"/>
  <c r="M15" i="306"/>
  <c r="L15" i="306"/>
  <c r="M14" i="306"/>
  <c r="L14" i="306"/>
  <c r="M13" i="306"/>
  <c r="L13" i="306"/>
  <c r="M12" i="306"/>
  <c r="L12" i="306"/>
  <c r="H71" i="306"/>
  <c r="H70" i="306"/>
  <c r="H49" i="306"/>
  <c r="H48" i="306"/>
  <c r="H47" i="306"/>
  <c r="H46" i="306"/>
  <c r="H45" i="306"/>
  <c r="H44" i="306"/>
  <c r="H43" i="306"/>
  <c r="H42" i="306"/>
  <c r="H41" i="306"/>
  <c r="H40" i="306"/>
  <c r="H39" i="306"/>
  <c r="H38" i="306"/>
  <c r="H37" i="306"/>
  <c r="H36" i="306"/>
  <c r="H35" i="306"/>
  <c r="H34" i="306"/>
  <c r="H33" i="306"/>
  <c r="H32" i="306"/>
  <c r="H31" i="306"/>
  <c r="H27" i="306"/>
  <c r="H26" i="306"/>
  <c r="H25" i="306"/>
  <c r="H24" i="306"/>
  <c r="H23" i="306"/>
  <c r="H22" i="306"/>
  <c r="H21" i="306"/>
  <c r="H20" i="306"/>
  <c r="H19" i="306"/>
  <c r="H18" i="306"/>
  <c r="H17" i="306"/>
  <c r="H16" i="306"/>
  <c r="H15" i="306"/>
  <c r="H14" i="306"/>
  <c r="H13" i="306"/>
  <c r="H12" i="306"/>
  <c r="M68" i="304"/>
  <c r="L68" i="304"/>
  <c r="H68" i="304"/>
  <c r="M67" i="304"/>
  <c r="L67" i="304"/>
  <c r="H67" i="304"/>
  <c r="M66" i="304"/>
  <c r="L66" i="304"/>
  <c r="H66" i="304"/>
  <c r="M65" i="304"/>
  <c r="L65" i="304"/>
  <c r="H65" i="304"/>
  <c r="M64" i="304"/>
  <c r="L64" i="304"/>
  <c r="H64" i="304"/>
  <c r="M63" i="304"/>
  <c r="L63" i="304"/>
  <c r="H63" i="304"/>
  <c r="M62" i="304"/>
  <c r="L62" i="304"/>
  <c r="H62" i="304"/>
  <c r="M61" i="304"/>
  <c r="L61" i="304"/>
  <c r="H61" i="304"/>
  <c r="M60" i="304"/>
  <c r="L60" i="304"/>
  <c r="H60" i="304"/>
  <c r="M59" i="304"/>
  <c r="L59" i="304"/>
  <c r="H59" i="304"/>
  <c r="M58" i="304"/>
  <c r="L58" i="304"/>
  <c r="H58" i="304"/>
  <c r="M57" i="304"/>
  <c r="L57" i="304"/>
  <c r="H57" i="304"/>
  <c r="M56" i="304"/>
  <c r="L56" i="304"/>
  <c r="H56" i="304"/>
  <c r="M55" i="304"/>
  <c r="L55" i="304"/>
  <c r="H55" i="304"/>
  <c r="M54" i="304"/>
  <c r="L54" i="304"/>
  <c r="H54" i="304"/>
  <c r="M53" i="304"/>
  <c r="L53" i="304"/>
  <c r="H53" i="304"/>
  <c r="M52" i="304"/>
  <c r="L52" i="304"/>
  <c r="H52" i="304"/>
  <c r="M51" i="304"/>
  <c r="L51" i="304"/>
  <c r="H51" i="304"/>
  <c r="M50" i="304"/>
  <c r="L50" i="304"/>
  <c r="H50" i="304"/>
  <c r="M49" i="304"/>
  <c r="L49" i="304"/>
  <c r="H49" i="304"/>
  <c r="M190" i="304"/>
  <c r="M129" i="304"/>
  <c r="M70" i="304"/>
  <c r="M189" i="304"/>
  <c r="L189" i="304"/>
  <c r="H189" i="304"/>
  <c r="M188" i="304"/>
  <c r="L188" i="304"/>
  <c r="H188" i="304"/>
  <c r="M187" i="304"/>
  <c r="L187" i="304"/>
  <c r="H187" i="304"/>
  <c r="M186" i="304"/>
  <c r="L186" i="304"/>
  <c r="H186" i="304"/>
  <c r="M185" i="304"/>
  <c r="L185" i="304"/>
  <c r="H185" i="304"/>
  <c r="M184" i="304"/>
  <c r="L184" i="304"/>
  <c r="H184" i="304"/>
  <c r="M183" i="304"/>
  <c r="L183" i="304"/>
  <c r="H183" i="304"/>
  <c r="M182" i="304"/>
  <c r="L182" i="304"/>
  <c r="H182" i="304"/>
  <c r="M181" i="304"/>
  <c r="L181" i="304"/>
  <c r="H181" i="304"/>
  <c r="M180" i="304"/>
  <c r="L180" i="304"/>
  <c r="H180" i="304"/>
  <c r="M179" i="304"/>
  <c r="L179" i="304"/>
  <c r="H179" i="304"/>
  <c r="M178" i="304"/>
  <c r="L178" i="304"/>
  <c r="H178" i="304"/>
  <c r="M177" i="304"/>
  <c r="L177" i="304"/>
  <c r="H177" i="304"/>
  <c r="M176" i="304"/>
  <c r="L176" i="304"/>
  <c r="H176" i="304"/>
  <c r="M175" i="304"/>
  <c r="L175" i="304"/>
  <c r="H175" i="304"/>
  <c r="M174" i="304"/>
  <c r="L174" i="304"/>
  <c r="H174" i="304"/>
  <c r="M173" i="304"/>
  <c r="L173" i="304"/>
  <c r="H173" i="304"/>
  <c r="M172" i="304"/>
  <c r="L172" i="304"/>
  <c r="H172" i="304"/>
  <c r="M171" i="304"/>
  <c r="L171" i="304"/>
  <c r="H171" i="304"/>
  <c r="M170" i="304"/>
  <c r="L170" i="304"/>
  <c r="H170" i="304"/>
  <c r="M169" i="304"/>
  <c r="L169" i="304"/>
  <c r="H169" i="304"/>
  <c r="M168" i="304"/>
  <c r="L168" i="304"/>
  <c r="H168" i="304"/>
  <c r="M167" i="304"/>
  <c r="L167" i="304"/>
  <c r="H167" i="304"/>
  <c r="M166" i="304"/>
  <c r="L166" i="304"/>
  <c r="H166" i="304"/>
  <c r="M165" i="304"/>
  <c r="L165" i="304"/>
  <c r="H165" i="304"/>
  <c r="M164" i="304"/>
  <c r="L164" i="304"/>
  <c r="H164" i="304"/>
  <c r="M163" i="304"/>
  <c r="L163" i="304"/>
  <c r="H163" i="304"/>
  <c r="M162" i="304"/>
  <c r="L162" i="304"/>
  <c r="H162" i="304"/>
  <c r="M161" i="304"/>
  <c r="L161" i="304"/>
  <c r="H161" i="304"/>
  <c r="M160" i="304"/>
  <c r="L160" i="304"/>
  <c r="H160" i="304"/>
  <c r="M159" i="304"/>
  <c r="L159" i="304"/>
  <c r="H159" i="304"/>
  <c r="M158" i="304"/>
  <c r="L158" i="304"/>
  <c r="H158" i="304"/>
  <c r="M157" i="304"/>
  <c r="L157" i="304"/>
  <c r="H157" i="304"/>
  <c r="M156" i="304"/>
  <c r="L156" i="304"/>
  <c r="H156" i="304"/>
  <c r="M155" i="304"/>
  <c r="L155" i="304"/>
  <c r="H155" i="304"/>
  <c r="M154" i="304"/>
  <c r="L154" i="304"/>
  <c r="H154" i="304"/>
  <c r="M153" i="304"/>
  <c r="L153" i="304"/>
  <c r="H153" i="304"/>
  <c r="M152" i="304"/>
  <c r="L152" i="304"/>
  <c r="H152" i="304"/>
  <c r="M151" i="304"/>
  <c r="L151" i="304"/>
  <c r="H151" i="304"/>
  <c r="M150" i="304"/>
  <c r="L150" i="304"/>
  <c r="H150" i="304"/>
  <c r="M149" i="304"/>
  <c r="L149" i="304"/>
  <c r="H149" i="304"/>
  <c r="M148" i="304"/>
  <c r="L148" i="304"/>
  <c r="H148" i="304"/>
  <c r="M147" i="304"/>
  <c r="L147" i="304"/>
  <c r="H147" i="304"/>
  <c r="M146" i="304"/>
  <c r="L146" i="304"/>
  <c r="H146" i="304"/>
  <c r="M145" i="304"/>
  <c r="L145" i="304"/>
  <c r="H145" i="304"/>
  <c r="M144" i="304"/>
  <c r="L144" i="304"/>
  <c r="H144" i="304"/>
  <c r="M143" i="304"/>
  <c r="L143" i="304"/>
  <c r="H143" i="304"/>
  <c r="M142" i="304"/>
  <c r="L142" i="304"/>
  <c r="H142" i="304"/>
  <c r="M141" i="304"/>
  <c r="L141" i="304"/>
  <c r="H141" i="304"/>
  <c r="M140" i="304"/>
  <c r="L140" i="304"/>
  <c r="H140" i="304"/>
  <c r="M139" i="304"/>
  <c r="L139" i="304"/>
  <c r="H139" i="304"/>
  <c r="M128" i="304"/>
  <c r="L128" i="304"/>
  <c r="H128" i="304"/>
  <c r="M127" i="304"/>
  <c r="L127" i="304"/>
  <c r="H127" i="304"/>
  <c r="M126" i="304"/>
  <c r="L126" i="304"/>
  <c r="H126" i="304"/>
  <c r="M125" i="304"/>
  <c r="L125" i="304"/>
  <c r="H125" i="304"/>
  <c r="M124" i="304"/>
  <c r="L124" i="304"/>
  <c r="H124" i="304"/>
  <c r="M123" i="304"/>
  <c r="L123" i="304"/>
  <c r="H123" i="304"/>
  <c r="M122" i="304"/>
  <c r="L122" i="304"/>
  <c r="H122" i="304"/>
  <c r="M121" i="304"/>
  <c r="L121" i="304"/>
  <c r="H121" i="304"/>
  <c r="M120" i="304"/>
  <c r="L120" i="304"/>
  <c r="H120" i="304"/>
  <c r="M119" i="304"/>
  <c r="L119" i="304"/>
  <c r="H119" i="304"/>
  <c r="M118" i="304"/>
  <c r="L118" i="304"/>
  <c r="H118" i="304"/>
  <c r="M117" i="304"/>
  <c r="L117" i="304"/>
  <c r="H117" i="304"/>
  <c r="M116" i="304"/>
  <c r="L116" i="304"/>
  <c r="H116" i="304"/>
  <c r="M115" i="304"/>
  <c r="L115" i="304"/>
  <c r="H115" i="304"/>
  <c r="M114" i="304"/>
  <c r="L114" i="304"/>
  <c r="H114" i="304"/>
  <c r="M113" i="304"/>
  <c r="L113" i="304"/>
  <c r="H113" i="304"/>
  <c r="M112" i="304"/>
  <c r="L112" i="304"/>
  <c r="H112" i="304"/>
  <c r="M111" i="304"/>
  <c r="L111" i="304"/>
  <c r="H111" i="304"/>
  <c r="M110" i="304"/>
  <c r="L110" i="304"/>
  <c r="H110" i="304"/>
  <c r="M109" i="304"/>
  <c r="L109" i="304"/>
  <c r="H109" i="304"/>
  <c r="M108" i="304"/>
  <c r="L108" i="304"/>
  <c r="H108" i="304"/>
  <c r="M107" i="304"/>
  <c r="L107" i="304"/>
  <c r="H107" i="304"/>
  <c r="M106" i="304"/>
  <c r="L106" i="304"/>
  <c r="H106" i="304"/>
  <c r="M105" i="304"/>
  <c r="L105" i="304"/>
  <c r="H105" i="304"/>
  <c r="M104" i="304"/>
  <c r="L104" i="304"/>
  <c r="H104" i="304"/>
  <c r="M103" i="304"/>
  <c r="L103" i="304"/>
  <c r="H103" i="304"/>
  <c r="M102" i="304"/>
  <c r="L102" i="304"/>
  <c r="H102" i="304"/>
  <c r="M101" i="304"/>
  <c r="L101" i="304"/>
  <c r="H101" i="304"/>
  <c r="M100" i="304"/>
  <c r="L100" i="304"/>
  <c r="H100" i="304"/>
  <c r="M99" i="304"/>
  <c r="L99" i="304"/>
  <c r="H99" i="304"/>
  <c r="M98" i="304"/>
  <c r="L98" i="304"/>
  <c r="H98" i="304"/>
  <c r="M97" i="304"/>
  <c r="L97" i="304"/>
  <c r="H97" i="304"/>
  <c r="M96" i="304"/>
  <c r="L96" i="304"/>
  <c r="H96" i="304"/>
  <c r="M95" i="304"/>
  <c r="L95" i="304"/>
  <c r="H95" i="304"/>
  <c r="M94" i="304"/>
  <c r="L94" i="304"/>
  <c r="H94" i="304"/>
  <c r="M93" i="304"/>
  <c r="L93" i="304"/>
  <c r="H93" i="304"/>
  <c r="M92" i="304"/>
  <c r="L92" i="304"/>
  <c r="H92" i="304"/>
  <c r="M91" i="304"/>
  <c r="L91" i="304"/>
  <c r="H91" i="304"/>
  <c r="M90" i="304"/>
  <c r="L90" i="304"/>
  <c r="H90" i="304"/>
  <c r="M89" i="304"/>
  <c r="L89" i="304"/>
  <c r="H89" i="304"/>
  <c r="M88" i="304"/>
  <c r="L88" i="304"/>
  <c r="H88" i="304"/>
  <c r="M87" i="304"/>
  <c r="L87" i="304"/>
  <c r="H87" i="304"/>
  <c r="M86" i="304"/>
  <c r="L86" i="304"/>
  <c r="H86" i="304"/>
  <c r="M85" i="304"/>
  <c r="L85" i="304"/>
  <c r="H85" i="304"/>
  <c r="M84" i="304"/>
  <c r="L84" i="304"/>
  <c r="H84" i="304"/>
  <c r="M83" i="304"/>
  <c r="L83" i="304"/>
  <c r="H83" i="304"/>
  <c r="M82" i="304"/>
  <c r="L82" i="304"/>
  <c r="H82" i="304"/>
  <c r="M81" i="304"/>
  <c r="L81" i="304"/>
  <c r="H81" i="304"/>
  <c r="M80" i="304"/>
  <c r="L80" i="304"/>
  <c r="H80" i="304"/>
  <c r="M69" i="304"/>
  <c r="L69" i="304"/>
  <c r="M48" i="304"/>
  <c r="L48" i="304"/>
  <c r="M47" i="304"/>
  <c r="L47" i="304"/>
  <c r="M46" i="304"/>
  <c r="L46" i="304"/>
  <c r="M45" i="304"/>
  <c r="L45" i="304"/>
  <c r="M44" i="304"/>
  <c r="L44" i="304"/>
  <c r="M43" i="304"/>
  <c r="L43" i="304"/>
  <c r="M42" i="304"/>
  <c r="L42" i="304"/>
  <c r="M41" i="304"/>
  <c r="L41" i="304"/>
  <c r="M40" i="304"/>
  <c r="L40" i="304"/>
  <c r="M39" i="304"/>
  <c r="L39" i="304"/>
  <c r="M38" i="304"/>
  <c r="L38" i="304"/>
  <c r="M37" i="304"/>
  <c r="L37" i="304"/>
  <c r="M36" i="304"/>
  <c r="L36" i="304"/>
  <c r="M35" i="304"/>
  <c r="L35" i="304"/>
  <c r="M34" i="304"/>
  <c r="L34" i="304"/>
  <c r="M33" i="304"/>
  <c r="L33" i="304"/>
  <c r="L32" i="304"/>
  <c r="M31" i="304"/>
  <c r="L31" i="304"/>
  <c r="M29" i="304"/>
  <c r="L29" i="304"/>
  <c r="M27" i="304"/>
  <c r="L27" i="304"/>
  <c r="M26" i="304"/>
  <c r="L26" i="304"/>
  <c r="M25" i="304"/>
  <c r="L25" i="304"/>
  <c r="M23" i="304"/>
  <c r="L23" i="304"/>
  <c r="M21" i="304"/>
  <c r="L21" i="304"/>
  <c r="M19" i="304"/>
  <c r="L19" i="304"/>
  <c r="M17" i="304"/>
  <c r="L17" i="304"/>
  <c r="M16" i="304"/>
  <c r="L16" i="304"/>
  <c r="M15" i="304"/>
  <c r="L15" i="304"/>
  <c r="M14" i="304"/>
  <c r="L14" i="304"/>
  <c r="M13" i="304"/>
  <c r="L13" i="304"/>
  <c r="M12" i="304"/>
  <c r="L12" i="304"/>
  <c r="M11" i="304"/>
  <c r="L11" i="304"/>
  <c r="H69" i="304"/>
  <c r="H48" i="304"/>
  <c r="H47" i="304"/>
  <c r="H46" i="304"/>
  <c r="H45" i="304"/>
  <c r="H44" i="304"/>
  <c r="H43" i="304"/>
  <c r="H42" i="304"/>
  <c r="H41" i="304"/>
  <c r="H40" i="304"/>
  <c r="H39" i="304"/>
  <c r="H38" i="304"/>
  <c r="H37" i="304"/>
  <c r="H36" i="304"/>
  <c r="H35" i="304"/>
  <c r="H34" i="304"/>
  <c r="H33" i="304"/>
  <c r="H32" i="304"/>
  <c r="H31" i="304"/>
  <c r="H30" i="304"/>
  <c r="H29" i="304"/>
  <c r="H28" i="304"/>
  <c r="H27" i="304"/>
  <c r="H26" i="304"/>
  <c r="H25" i="304"/>
  <c r="H24" i="304"/>
  <c r="H23" i="304"/>
  <c r="H22" i="304"/>
  <c r="H21" i="304"/>
  <c r="H20" i="304"/>
  <c r="H19" i="304"/>
  <c r="H18" i="304"/>
  <c r="H17" i="304"/>
  <c r="H16" i="304"/>
  <c r="H15" i="304"/>
  <c r="H14" i="304"/>
  <c r="H13" i="304"/>
  <c r="H12" i="304"/>
  <c r="M70" i="303"/>
  <c r="L70" i="303"/>
  <c r="M69" i="303"/>
  <c r="L69" i="303"/>
  <c r="M68" i="303"/>
  <c r="L68" i="303"/>
  <c r="M67" i="303"/>
  <c r="L67" i="303"/>
  <c r="M66" i="303"/>
  <c r="L66" i="303"/>
  <c r="M65" i="303"/>
  <c r="L65" i="303"/>
  <c r="M64" i="303"/>
  <c r="L64" i="303"/>
  <c r="M63" i="303"/>
  <c r="L63" i="303"/>
  <c r="M62" i="303"/>
  <c r="L62" i="303"/>
  <c r="M61" i="303"/>
  <c r="L61" i="303"/>
  <c r="M60" i="303"/>
  <c r="L60" i="303"/>
  <c r="M59" i="303"/>
  <c r="L59" i="303"/>
  <c r="M58" i="303"/>
  <c r="L58" i="303"/>
  <c r="M57" i="303"/>
  <c r="L57" i="303"/>
  <c r="M56" i="303"/>
  <c r="L56" i="303"/>
  <c r="M55" i="303"/>
  <c r="L55" i="303"/>
  <c r="M54" i="303"/>
  <c r="L54" i="303"/>
  <c r="M53" i="303"/>
  <c r="L53" i="303"/>
  <c r="M52" i="303"/>
  <c r="L52" i="303"/>
  <c r="M51" i="303"/>
  <c r="L51" i="303"/>
  <c r="M41" i="303"/>
  <c r="L41" i="303"/>
  <c r="M39" i="303"/>
  <c r="L39" i="303"/>
  <c r="M37" i="303"/>
  <c r="L37" i="303"/>
  <c r="M35" i="303"/>
  <c r="L35" i="303"/>
  <c r="M34" i="303"/>
  <c r="L34" i="303"/>
  <c r="M33" i="303"/>
  <c r="L33" i="303"/>
  <c r="M31" i="303"/>
  <c r="L31" i="303"/>
  <c r="M29" i="303"/>
  <c r="L29" i="303"/>
  <c r="M28" i="303"/>
  <c r="L28" i="303"/>
  <c r="M27" i="303"/>
  <c r="L27" i="303"/>
  <c r="M25" i="303"/>
  <c r="L25" i="303"/>
  <c r="M23" i="303"/>
  <c r="L23" i="303"/>
  <c r="M22" i="303"/>
  <c r="L22" i="303"/>
  <c r="M21" i="303"/>
  <c r="L21" i="303"/>
  <c r="M19" i="303"/>
  <c r="L19" i="303"/>
  <c r="M17" i="303"/>
  <c r="L17" i="303"/>
  <c r="M16" i="303"/>
  <c r="L16" i="303"/>
  <c r="M15" i="303"/>
  <c r="L15" i="303"/>
  <c r="M14" i="303"/>
  <c r="L14" i="303"/>
  <c r="M13" i="303"/>
  <c r="L13" i="303"/>
  <c r="M12" i="303"/>
  <c r="L12" i="303"/>
  <c r="H70" i="303"/>
  <c r="H69" i="303"/>
  <c r="H68" i="303"/>
  <c r="H67" i="303"/>
  <c r="H66" i="303"/>
  <c r="H65" i="303"/>
  <c r="H64" i="303"/>
  <c r="H63" i="303"/>
  <c r="H62" i="303"/>
  <c r="H61" i="303"/>
  <c r="H60" i="303"/>
  <c r="H59" i="303"/>
  <c r="H58" i="303"/>
  <c r="H57" i="303"/>
  <c r="H56" i="303"/>
  <c r="H55" i="303"/>
  <c r="H54" i="303"/>
  <c r="H53" i="303"/>
  <c r="H52" i="303"/>
  <c r="H51" i="303"/>
  <c r="H41" i="303"/>
  <c r="H40" i="303"/>
  <c r="H39" i="303"/>
  <c r="H38" i="303"/>
  <c r="H37" i="303"/>
  <c r="H36" i="303"/>
  <c r="H35" i="303"/>
  <c r="H34" i="303"/>
  <c r="H33" i="303"/>
  <c r="H32" i="303"/>
  <c r="H31" i="303"/>
  <c r="H30" i="303"/>
  <c r="H29" i="303"/>
  <c r="H28" i="303"/>
  <c r="H27" i="303"/>
  <c r="H26" i="303"/>
  <c r="H25" i="303"/>
  <c r="H24" i="303"/>
  <c r="H23" i="303"/>
  <c r="H22" i="303"/>
  <c r="H21" i="303"/>
  <c r="H20" i="303"/>
  <c r="H19" i="303"/>
  <c r="H18" i="303"/>
  <c r="H17" i="303"/>
  <c r="H16" i="303"/>
  <c r="H15" i="303"/>
  <c r="H14" i="303"/>
  <c r="H13" i="303"/>
  <c r="H12" i="303"/>
  <c r="M74" i="302"/>
  <c r="L74" i="302"/>
  <c r="M73" i="302"/>
  <c r="L73" i="302"/>
  <c r="M72" i="302"/>
  <c r="L72" i="302"/>
  <c r="M71" i="302"/>
  <c r="L71" i="302"/>
  <c r="M70" i="302"/>
  <c r="L70" i="302"/>
  <c r="M69" i="302"/>
  <c r="L69" i="302"/>
  <c r="M68" i="302"/>
  <c r="L68" i="302"/>
  <c r="M67" i="302"/>
  <c r="L67" i="302"/>
  <c r="M66" i="302"/>
  <c r="L66" i="302"/>
  <c r="M65" i="302"/>
  <c r="L65" i="302"/>
  <c r="M64" i="302"/>
  <c r="L64" i="302"/>
  <c r="M63" i="302"/>
  <c r="L63" i="302"/>
  <c r="M62" i="302"/>
  <c r="L62" i="302"/>
  <c r="M61" i="302"/>
  <c r="L61" i="302"/>
  <c r="M60" i="302"/>
  <c r="L60" i="302"/>
  <c r="M59" i="302"/>
  <c r="L59" i="302"/>
  <c r="M58" i="302"/>
  <c r="L58" i="302"/>
  <c r="M57" i="302"/>
  <c r="L57" i="302"/>
  <c r="M56" i="302"/>
  <c r="L56" i="302"/>
  <c r="M55" i="302"/>
  <c r="L55" i="302"/>
  <c r="M54" i="302"/>
  <c r="L54" i="302"/>
  <c r="M53" i="302"/>
  <c r="L53" i="302"/>
  <c r="M52" i="302"/>
  <c r="L52" i="302"/>
  <c r="M51" i="302"/>
  <c r="L51" i="302"/>
  <c r="M50" i="302"/>
  <c r="L50" i="302"/>
  <c r="M49" i="302"/>
  <c r="L49" i="302"/>
  <c r="M48" i="302"/>
  <c r="L48" i="302"/>
  <c r="M47" i="302"/>
  <c r="L47" i="302"/>
  <c r="M46" i="302"/>
  <c r="L46" i="302"/>
  <c r="M45" i="302"/>
  <c r="L45" i="302"/>
  <c r="M44" i="302"/>
  <c r="L44" i="302"/>
  <c r="M43" i="302"/>
  <c r="L43" i="302"/>
  <c r="M41" i="302"/>
  <c r="L41" i="302"/>
  <c r="M40" i="302"/>
  <c r="L40" i="302"/>
  <c r="M39" i="302"/>
  <c r="L39" i="302"/>
  <c r="M38" i="302"/>
  <c r="L38" i="302"/>
  <c r="M37" i="302"/>
  <c r="L37" i="302"/>
  <c r="M35" i="302"/>
  <c r="L35" i="302"/>
  <c r="M34" i="302"/>
  <c r="L34" i="302"/>
  <c r="M33" i="302"/>
  <c r="L33" i="302"/>
  <c r="M32" i="302"/>
  <c r="L32" i="302"/>
  <c r="M31" i="302"/>
  <c r="L31" i="302"/>
  <c r="M29" i="302"/>
  <c r="L29" i="302"/>
  <c r="M27" i="302"/>
  <c r="L27" i="302"/>
  <c r="M25" i="302"/>
  <c r="L25" i="302"/>
  <c r="M24" i="302"/>
  <c r="L24" i="302"/>
  <c r="M23" i="302"/>
  <c r="L23" i="302"/>
  <c r="M21" i="302"/>
  <c r="L21" i="302"/>
  <c r="M19" i="302"/>
  <c r="L19" i="302"/>
  <c r="M17" i="302"/>
  <c r="L17" i="302"/>
  <c r="M16" i="302"/>
  <c r="L16" i="302"/>
  <c r="M15" i="302"/>
  <c r="L15" i="302"/>
  <c r="M14" i="302"/>
  <c r="L14" i="302"/>
  <c r="M13" i="302"/>
  <c r="L13" i="302"/>
  <c r="M12" i="302"/>
  <c r="L12" i="302"/>
  <c r="H74" i="302"/>
  <c r="H73" i="302"/>
  <c r="H72" i="302"/>
  <c r="H71" i="302"/>
  <c r="H70" i="302"/>
  <c r="H69" i="302"/>
  <c r="H68" i="302"/>
  <c r="H67" i="302"/>
  <c r="H66" i="302"/>
  <c r="H65" i="302"/>
  <c r="H64" i="302"/>
  <c r="H63" i="302"/>
  <c r="H62" i="302"/>
  <c r="H61" i="302"/>
  <c r="H60" i="302"/>
  <c r="H59" i="302"/>
  <c r="H58" i="302"/>
  <c r="H57" i="302"/>
  <c r="H56" i="302"/>
  <c r="H55" i="302"/>
  <c r="H54" i="302"/>
  <c r="H53" i="302"/>
  <c r="H52" i="302"/>
  <c r="H51" i="302"/>
  <c r="H50" i="302"/>
  <c r="H49" i="302"/>
  <c r="H48" i="302"/>
  <c r="H47" i="302"/>
  <c r="H46" i="302"/>
  <c r="H45" i="302"/>
  <c r="H44" i="302"/>
  <c r="H43" i="302"/>
  <c r="H42" i="302"/>
  <c r="H41" i="302"/>
  <c r="H40" i="302"/>
  <c r="H39" i="302"/>
  <c r="H38" i="302"/>
  <c r="H37" i="302"/>
  <c r="H36" i="302"/>
  <c r="H35" i="302"/>
  <c r="H34" i="302"/>
  <c r="H33" i="302"/>
  <c r="H32" i="302"/>
  <c r="H31" i="302"/>
  <c r="H30" i="302"/>
  <c r="H29" i="302"/>
  <c r="H28" i="302"/>
  <c r="H27" i="302"/>
  <c r="H26" i="302"/>
  <c r="H25" i="302"/>
  <c r="H24" i="302"/>
  <c r="H23" i="302"/>
  <c r="H22" i="302"/>
  <c r="H21" i="302"/>
  <c r="H20" i="302"/>
  <c r="H19" i="302"/>
  <c r="H18" i="302"/>
  <c r="H17" i="302"/>
  <c r="H16" i="302"/>
  <c r="H15" i="302"/>
  <c r="H14" i="302"/>
  <c r="H13" i="302"/>
  <c r="H12" i="302"/>
  <c r="M199" i="301"/>
  <c r="L199" i="301"/>
  <c r="H199" i="301"/>
  <c r="M198" i="301"/>
  <c r="L198" i="301"/>
  <c r="H198" i="301"/>
  <c r="M197" i="301"/>
  <c r="L197" i="301"/>
  <c r="H197" i="301"/>
  <c r="M196" i="301"/>
  <c r="L196" i="301"/>
  <c r="H196" i="301"/>
  <c r="M195" i="301"/>
  <c r="L195" i="301"/>
  <c r="H195" i="301"/>
  <c r="M194" i="301"/>
  <c r="L194" i="301"/>
  <c r="H194" i="301"/>
  <c r="M193" i="301"/>
  <c r="L193" i="301"/>
  <c r="H193" i="301"/>
  <c r="M192" i="301"/>
  <c r="L192" i="301"/>
  <c r="H192" i="301"/>
  <c r="M191" i="301"/>
  <c r="L191" i="301"/>
  <c r="H191" i="301"/>
  <c r="M190" i="301"/>
  <c r="L190" i="301"/>
  <c r="H190" i="301"/>
  <c r="M189" i="301"/>
  <c r="L189" i="301"/>
  <c r="H189" i="301"/>
  <c r="M188" i="301"/>
  <c r="L188" i="301"/>
  <c r="H188" i="301"/>
  <c r="M187" i="301"/>
  <c r="L187" i="301"/>
  <c r="H187" i="301"/>
  <c r="M186" i="301"/>
  <c r="L186" i="301"/>
  <c r="H186" i="301"/>
  <c r="M185" i="301"/>
  <c r="L185" i="301"/>
  <c r="H185" i="301"/>
  <c r="M184" i="301"/>
  <c r="L184" i="301"/>
  <c r="H184" i="301"/>
  <c r="M183" i="301"/>
  <c r="L183" i="301"/>
  <c r="H183" i="301"/>
  <c r="M182" i="301"/>
  <c r="L182" i="301"/>
  <c r="H182" i="301"/>
  <c r="M181" i="301"/>
  <c r="L181" i="301"/>
  <c r="H181" i="301"/>
  <c r="M180" i="301"/>
  <c r="L180" i="301"/>
  <c r="H180" i="301"/>
  <c r="M179" i="301"/>
  <c r="L179" i="301"/>
  <c r="H179" i="301"/>
  <c r="M178" i="301"/>
  <c r="L178" i="301"/>
  <c r="H178" i="301"/>
  <c r="M177" i="301"/>
  <c r="L177" i="301"/>
  <c r="H177" i="301"/>
  <c r="M176" i="301"/>
  <c r="L176" i="301"/>
  <c r="H176" i="301"/>
  <c r="M175" i="301"/>
  <c r="L175" i="301"/>
  <c r="H175" i="301"/>
  <c r="M174" i="301"/>
  <c r="L174" i="301"/>
  <c r="H174" i="301"/>
  <c r="M173" i="301"/>
  <c r="L173" i="301"/>
  <c r="H173" i="301"/>
  <c r="M172" i="301"/>
  <c r="L172" i="301"/>
  <c r="H172" i="301"/>
  <c r="M171" i="301"/>
  <c r="L171" i="301"/>
  <c r="H171" i="301"/>
  <c r="M170" i="301"/>
  <c r="L170" i="301"/>
  <c r="H170" i="301"/>
  <c r="M169" i="301"/>
  <c r="L169" i="301"/>
  <c r="H169" i="301"/>
  <c r="M168" i="301"/>
  <c r="L168" i="301"/>
  <c r="H168" i="301"/>
  <c r="M167" i="301"/>
  <c r="L167" i="301"/>
  <c r="H167" i="301"/>
  <c r="M166" i="301"/>
  <c r="L166" i="301"/>
  <c r="H166" i="301"/>
  <c r="M165" i="301"/>
  <c r="L165" i="301"/>
  <c r="H165" i="301"/>
  <c r="M164" i="301"/>
  <c r="L164" i="301"/>
  <c r="H164" i="301"/>
  <c r="M163" i="301"/>
  <c r="L163" i="301"/>
  <c r="H163" i="301"/>
  <c r="M162" i="301"/>
  <c r="L162" i="301"/>
  <c r="H162" i="301"/>
  <c r="M161" i="301"/>
  <c r="L161" i="301"/>
  <c r="H161" i="301"/>
  <c r="M160" i="301"/>
  <c r="L160" i="301"/>
  <c r="H160" i="301"/>
  <c r="M159" i="301"/>
  <c r="L159" i="301"/>
  <c r="H159" i="301"/>
  <c r="M158" i="301"/>
  <c r="L158" i="301"/>
  <c r="H158" i="301"/>
  <c r="M157" i="301"/>
  <c r="L157" i="301"/>
  <c r="H157" i="301"/>
  <c r="M156" i="301"/>
  <c r="L156" i="301"/>
  <c r="H156" i="301"/>
  <c r="M155" i="301"/>
  <c r="L155" i="301"/>
  <c r="H155" i="301"/>
  <c r="M154" i="301"/>
  <c r="L154" i="301"/>
  <c r="H154" i="301"/>
  <c r="M153" i="301"/>
  <c r="L153" i="301"/>
  <c r="H153" i="301"/>
  <c r="M152" i="301"/>
  <c r="L152" i="301"/>
  <c r="H152" i="301"/>
  <c r="M151" i="301"/>
  <c r="L151" i="301"/>
  <c r="H151" i="301"/>
  <c r="M150" i="301"/>
  <c r="L150" i="301"/>
  <c r="H150" i="301"/>
  <c r="M149" i="301"/>
  <c r="L149" i="301"/>
  <c r="H149" i="301"/>
  <c r="M148" i="301"/>
  <c r="L148" i="301"/>
  <c r="H148" i="301"/>
  <c r="M147" i="301"/>
  <c r="L147" i="301"/>
  <c r="H147" i="301"/>
  <c r="M146" i="301"/>
  <c r="L146" i="301"/>
  <c r="H146" i="301"/>
  <c r="M145" i="301"/>
  <c r="L145" i="301"/>
  <c r="H145" i="301"/>
  <c r="M144" i="301"/>
  <c r="L144" i="301"/>
  <c r="H144" i="301"/>
  <c r="M142" i="301"/>
  <c r="L142" i="301"/>
  <c r="H142" i="301"/>
  <c r="M141" i="301"/>
  <c r="L141" i="301"/>
  <c r="H141" i="301"/>
  <c r="M130" i="301"/>
  <c r="L130" i="301"/>
  <c r="H130" i="301"/>
  <c r="M129" i="301"/>
  <c r="L129" i="301"/>
  <c r="H129" i="301"/>
  <c r="M128" i="301"/>
  <c r="L128" i="301"/>
  <c r="H128" i="301"/>
  <c r="M127" i="301"/>
  <c r="L127" i="301"/>
  <c r="H127" i="301"/>
  <c r="M126" i="301"/>
  <c r="L126" i="301"/>
  <c r="H126" i="301"/>
  <c r="M125" i="301"/>
  <c r="L125" i="301"/>
  <c r="H125" i="301"/>
  <c r="M124" i="301"/>
  <c r="L124" i="301"/>
  <c r="H124" i="301"/>
  <c r="M123" i="301"/>
  <c r="L123" i="301"/>
  <c r="H123" i="301"/>
  <c r="M122" i="301"/>
  <c r="L122" i="301"/>
  <c r="H122" i="301"/>
  <c r="M121" i="301"/>
  <c r="L121" i="301"/>
  <c r="H121" i="301"/>
  <c r="M120" i="301"/>
  <c r="L120" i="301"/>
  <c r="H120" i="301"/>
  <c r="M119" i="301"/>
  <c r="L119" i="301"/>
  <c r="H119" i="301"/>
  <c r="M118" i="301"/>
  <c r="L118" i="301"/>
  <c r="H118" i="301"/>
  <c r="M117" i="301"/>
  <c r="L117" i="301"/>
  <c r="H117" i="301"/>
  <c r="M116" i="301"/>
  <c r="L116" i="301"/>
  <c r="H116" i="301"/>
  <c r="M115" i="301"/>
  <c r="L115" i="301"/>
  <c r="H115" i="301"/>
  <c r="M114" i="301"/>
  <c r="L114" i="301"/>
  <c r="H114" i="301"/>
  <c r="M113" i="301"/>
  <c r="L113" i="301"/>
  <c r="H113" i="301"/>
  <c r="M112" i="301"/>
  <c r="L112" i="301"/>
  <c r="H112" i="301"/>
  <c r="M111" i="301"/>
  <c r="L111" i="301"/>
  <c r="H111" i="301"/>
  <c r="M110" i="301"/>
  <c r="L110" i="301"/>
  <c r="H110" i="301"/>
  <c r="M109" i="301"/>
  <c r="L109" i="301"/>
  <c r="H109" i="301"/>
  <c r="M108" i="301"/>
  <c r="L108" i="301"/>
  <c r="H108" i="301"/>
  <c r="M107" i="301"/>
  <c r="L107" i="301"/>
  <c r="H107" i="301"/>
  <c r="M106" i="301"/>
  <c r="L106" i="301"/>
  <c r="H106" i="301"/>
  <c r="M105" i="301"/>
  <c r="L105" i="301"/>
  <c r="H105" i="301"/>
  <c r="M104" i="301"/>
  <c r="L104" i="301"/>
  <c r="H104" i="301"/>
  <c r="M103" i="301"/>
  <c r="L103" i="301"/>
  <c r="H103" i="301"/>
  <c r="M102" i="301"/>
  <c r="L102" i="301"/>
  <c r="H102" i="301"/>
  <c r="M101" i="301"/>
  <c r="L101" i="301"/>
  <c r="H101" i="301"/>
  <c r="M100" i="301"/>
  <c r="L100" i="301"/>
  <c r="H100" i="301"/>
  <c r="M99" i="301"/>
  <c r="L99" i="301"/>
  <c r="H99" i="301"/>
  <c r="M98" i="301"/>
  <c r="L98" i="301"/>
  <c r="H98" i="301"/>
  <c r="M97" i="301"/>
  <c r="L97" i="301"/>
  <c r="H97" i="301"/>
  <c r="M96" i="301"/>
  <c r="L96" i="301"/>
  <c r="H96" i="301"/>
  <c r="M95" i="301"/>
  <c r="L95" i="301"/>
  <c r="H95" i="301"/>
  <c r="M94" i="301"/>
  <c r="L94" i="301"/>
  <c r="H94" i="301"/>
  <c r="M93" i="301"/>
  <c r="L93" i="301"/>
  <c r="H93" i="301"/>
  <c r="M92" i="301"/>
  <c r="L92" i="301"/>
  <c r="H92" i="301"/>
  <c r="M91" i="301"/>
  <c r="L91" i="301"/>
  <c r="H91" i="301"/>
  <c r="M90" i="301"/>
  <c r="L90" i="301"/>
  <c r="H90" i="301"/>
  <c r="M89" i="301"/>
  <c r="L89" i="301"/>
  <c r="H89" i="301"/>
  <c r="M88" i="301"/>
  <c r="L88" i="301"/>
  <c r="H88" i="301"/>
  <c r="M87" i="301"/>
  <c r="L87" i="301"/>
  <c r="H87" i="301"/>
  <c r="M86" i="301"/>
  <c r="L86" i="301"/>
  <c r="H86" i="301"/>
  <c r="M85" i="301"/>
  <c r="L85" i="301"/>
  <c r="H85" i="301"/>
  <c r="M84" i="301"/>
  <c r="L84" i="301"/>
  <c r="H84" i="301"/>
  <c r="M83" i="301"/>
  <c r="L83" i="301"/>
  <c r="H83" i="301"/>
  <c r="M82" i="301"/>
  <c r="L82" i="301"/>
  <c r="H82" i="301"/>
  <c r="M81" i="301"/>
  <c r="L81" i="301"/>
  <c r="H81" i="301"/>
  <c r="M80" i="301"/>
  <c r="L80" i="301"/>
  <c r="H80" i="301"/>
  <c r="M79" i="301"/>
  <c r="L79" i="301"/>
  <c r="H79" i="301"/>
  <c r="M77" i="301"/>
  <c r="L77" i="301"/>
  <c r="H77" i="301"/>
  <c r="M76" i="301"/>
  <c r="L76" i="301"/>
  <c r="H76" i="301"/>
  <c r="M65" i="301"/>
  <c r="L65" i="301"/>
  <c r="M64" i="301"/>
  <c r="L64" i="301"/>
  <c r="M63" i="301"/>
  <c r="L63" i="301"/>
  <c r="M62" i="301"/>
  <c r="L62" i="301"/>
  <c r="M61" i="301"/>
  <c r="L61" i="301"/>
  <c r="M60" i="301"/>
  <c r="L60" i="301"/>
  <c r="M59" i="301"/>
  <c r="L59" i="301"/>
  <c r="M58" i="301"/>
  <c r="L58" i="301"/>
  <c r="M57" i="301"/>
  <c r="L57" i="301"/>
  <c r="M56" i="301"/>
  <c r="L56" i="301"/>
  <c r="M35" i="301"/>
  <c r="L35" i="301"/>
  <c r="M55" i="301"/>
  <c r="L55" i="301"/>
  <c r="M53" i="301"/>
  <c r="L53" i="301"/>
  <c r="M51" i="301"/>
  <c r="L51" i="301"/>
  <c r="M49" i="301"/>
  <c r="L49" i="301"/>
  <c r="M47" i="301"/>
  <c r="L47" i="301"/>
  <c r="M46" i="301"/>
  <c r="L46" i="301"/>
  <c r="M45" i="301"/>
  <c r="L45" i="301"/>
  <c r="M43" i="301"/>
  <c r="L43" i="301"/>
  <c r="M41" i="301"/>
  <c r="L41" i="301"/>
  <c r="M39" i="301"/>
  <c r="L39" i="301"/>
  <c r="M37" i="301"/>
  <c r="L37" i="301"/>
  <c r="M36" i="301"/>
  <c r="L36" i="301"/>
  <c r="M33" i="301"/>
  <c r="L33" i="301"/>
  <c r="M31" i="301"/>
  <c r="L31" i="301"/>
  <c r="M30" i="301"/>
  <c r="L30" i="301"/>
  <c r="M29" i="301"/>
  <c r="L29" i="301"/>
  <c r="M27" i="301"/>
  <c r="L27" i="301"/>
  <c r="M25" i="301"/>
  <c r="L25" i="301"/>
  <c r="M21" i="301"/>
  <c r="L21" i="301"/>
  <c r="M19" i="301"/>
  <c r="L19" i="301"/>
  <c r="M17" i="301"/>
  <c r="L17" i="301"/>
  <c r="M16" i="301"/>
  <c r="L16" i="301"/>
  <c r="M15" i="301"/>
  <c r="L15" i="301"/>
  <c r="M14" i="301"/>
  <c r="L14" i="301"/>
  <c r="M13" i="301"/>
  <c r="L13" i="301"/>
  <c r="M12" i="301"/>
  <c r="L12" i="301"/>
  <c r="H65" i="301"/>
  <c r="H64" i="301"/>
  <c r="H63" i="301"/>
  <c r="H62" i="301"/>
  <c r="H61" i="301"/>
  <c r="H60" i="301"/>
  <c r="H59" i="301"/>
  <c r="H58" i="301"/>
  <c r="H57" i="301"/>
  <c r="H56" i="301"/>
  <c r="H35" i="301"/>
  <c r="H55" i="301"/>
  <c r="H54" i="301"/>
  <c r="H53" i="301"/>
  <c r="H52" i="301"/>
  <c r="H51" i="301"/>
  <c r="H50" i="301"/>
  <c r="H49" i="301"/>
  <c r="H48" i="301"/>
  <c r="H47" i="301"/>
  <c r="H46" i="301"/>
  <c r="H45" i="301"/>
  <c r="H44" i="301"/>
  <c r="H43" i="301"/>
  <c r="H42" i="301"/>
  <c r="H41" i="301"/>
  <c r="H40" i="301"/>
  <c r="H39" i="301"/>
  <c r="H38" i="301"/>
  <c r="H37" i="301"/>
  <c r="H36" i="301"/>
  <c r="H33" i="301"/>
  <c r="H32" i="301"/>
  <c r="M32" i="301" s="1"/>
  <c r="H31" i="301"/>
  <c r="H30" i="301"/>
  <c r="H29" i="301"/>
  <c r="H28" i="301"/>
  <c r="H27" i="301"/>
  <c r="H26" i="301"/>
  <c r="H25" i="301"/>
  <c r="H24" i="301"/>
  <c r="H21" i="301"/>
  <c r="H20" i="301"/>
  <c r="H19" i="301"/>
  <c r="H18" i="301"/>
  <c r="H17" i="301"/>
  <c r="H16" i="301"/>
  <c r="H15" i="301"/>
  <c r="H14" i="301"/>
  <c r="H13" i="301"/>
  <c r="H12" i="301"/>
  <c r="L75" i="298"/>
  <c r="K75" i="298"/>
  <c r="L74" i="298"/>
  <c r="K74" i="298"/>
  <c r="L73" i="298"/>
  <c r="K73" i="298"/>
  <c r="L72" i="298"/>
  <c r="K72" i="298"/>
  <c r="L71" i="298"/>
  <c r="K71" i="298"/>
  <c r="L70" i="298"/>
  <c r="K70" i="298"/>
  <c r="L69" i="298"/>
  <c r="K69" i="298"/>
  <c r="L68" i="298"/>
  <c r="K68" i="298"/>
  <c r="L67" i="298"/>
  <c r="K67" i="298"/>
  <c r="L66" i="298"/>
  <c r="K66" i="298"/>
  <c r="L65" i="298"/>
  <c r="K65" i="298"/>
  <c r="L64" i="298"/>
  <c r="K64" i="298"/>
  <c r="L63" i="298"/>
  <c r="K63" i="298"/>
  <c r="L62" i="298"/>
  <c r="K62" i="298"/>
  <c r="L61" i="298"/>
  <c r="K61" i="298"/>
  <c r="L60" i="298"/>
  <c r="K60" i="298"/>
  <c r="L59" i="298"/>
  <c r="K59" i="298"/>
  <c r="L58" i="298"/>
  <c r="K58" i="298"/>
  <c r="L57" i="298"/>
  <c r="K57" i="298"/>
  <c r="L56" i="298"/>
  <c r="K56" i="298"/>
  <c r="L55" i="298"/>
  <c r="K55" i="298"/>
  <c r="L54" i="298"/>
  <c r="K54" i="298"/>
  <c r="L53" i="298"/>
  <c r="K53" i="298"/>
  <c r="L52" i="298"/>
  <c r="K52" i="298"/>
  <c r="L51" i="298"/>
  <c r="K51" i="298"/>
  <c r="L50" i="298"/>
  <c r="K50" i="298"/>
  <c r="L49" i="298"/>
  <c r="K49" i="298"/>
  <c r="L48" i="298"/>
  <c r="K48" i="298"/>
  <c r="L47" i="298"/>
  <c r="K47" i="298"/>
  <c r="L46" i="298"/>
  <c r="K46" i="298"/>
  <c r="L45" i="298"/>
  <c r="K45" i="298"/>
  <c r="L44" i="298"/>
  <c r="K44" i="298"/>
  <c r="L43" i="298"/>
  <c r="K43" i="298"/>
  <c r="L42" i="298"/>
  <c r="K42" i="298"/>
  <c r="L41" i="298"/>
  <c r="K41" i="298"/>
  <c r="L40" i="298"/>
  <c r="K40" i="298"/>
  <c r="L39" i="298"/>
  <c r="K39" i="298"/>
  <c r="L38" i="298"/>
  <c r="K38" i="298"/>
  <c r="L37" i="298"/>
  <c r="K37" i="298"/>
  <c r="L36" i="298"/>
  <c r="K36" i="298"/>
  <c r="L35" i="298"/>
  <c r="K35" i="298"/>
  <c r="L34" i="298"/>
  <c r="K34" i="298"/>
  <c r="L33" i="298"/>
  <c r="K33" i="298"/>
  <c r="L32" i="298"/>
  <c r="K32" i="298"/>
  <c r="L31" i="298"/>
  <c r="K31" i="298"/>
  <c r="L30" i="298"/>
  <c r="K30" i="298"/>
  <c r="L29" i="298"/>
  <c r="K29" i="298"/>
  <c r="L28" i="298"/>
  <c r="K28" i="298"/>
  <c r="L27" i="298"/>
  <c r="K27" i="298"/>
  <c r="L26" i="298"/>
  <c r="K26" i="298"/>
  <c r="L25" i="298"/>
  <c r="K25" i="298"/>
  <c r="L24" i="298"/>
  <c r="K24" i="298"/>
  <c r="L23" i="298"/>
  <c r="K23" i="298"/>
  <c r="L22" i="298"/>
  <c r="K22" i="298"/>
  <c r="L21" i="298"/>
  <c r="K21" i="298"/>
  <c r="L20" i="298"/>
  <c r="K20" i="298"/>
  <c r="L19" i="298"/>
  <c r="K19" i="298"/>
  <c r="L18" i="298"/>
  <c r="K18" i="298"/>
  <c r="L17" i="298"/>
  <c r="K17" i="298"/>
  <c r="L16" i="298"/>
  <c r="K16" i="298"/>
  <c r="L15" i="298"/>
  <c r="K15" i="298"/>
  <c r="L14" i="298"/>
  <c r="K14" i="298"/>
  <c r="L13" i="298"/>
  <c r="K13" i="298"/>
  <c r="L12" i="298"/>
  <c r="K12" i="298"/>
  <c r="G75" i="298"/>
  <c r="G74" i="298"/>
  <c r="G73" i="298"/>
  <c r="G72" i="298"/>
  <c r="G71" i="298"/>
  <c r="G70" i="298"/>
  <c r="G69" i="298"/>
  <c r="G68" i="298"/>
  <c r="G67" i="298"/>
  <c r="G66" i="298"/>
  <c r="G65" i="298"/>
  <c r="G64" i="298"/>
  <c r="G63" i="298"/>
  <c r="G62" i="298"/>
  <c r="G61" i="298"/>
  <c r="G60" i="298"/>
  <c r="G59" i="298"/>
  <c r="G58" i="298"/>
  <c r="G57" i="298"/>
  <c r="G56" i="298"/>
  <c r="G55" i="298"/>
  <c r="G54" i="298"/>
  <c r="G53" i="298"/>
  <c r="G52" i="298"/>
  <c r="G51" i="298"/>
  <c r="G50" i="298"/>
  <c r="G49" i="298"/>
  <c r="G48" i="298"/>
  <c r="G47" i="298"/>
  <c r="G46" i="298"/>
  <c r="G45" i="298"/>
  <c r="G44" i="298"/>
  <c r="G43" i="298"/>
  <c r="G42" i="298"/>
  <c r="G41" i="298"/>
  <c r="G40" i="298"/>
  <c r="G39" i="298"/>
  <c r="G38" i="298"/>
  <c r="G37" i="298"/>
  <c r="G36" i="298"/>
  <c r="G35" i="298"/>
  <c r="G34" i="298"/>
  <c r="G33" i="298"/>
  <c r="G32" i="298"/>
  <c r="G31" i="298"/>
  <c r="G30" i="298"/>
  <c r="G29" i="298"/>
  <c r="G28" i="298"/>
  <c r="G27" i="298"/>
  <c r="G26" i="298"/>
  <c r="G25" i="298"/>
  <c r="G24" i="298"/>
  <c r="G23" i="298"/>
  <c r="G22" i="298"/>
  <c r="G21" i="298"/>
  <c r="G20" i="298"/>
  <c r="G19" i="298"/>
  <c r="G18" i="298"/>
  <c r="G17" i="298"/>
  <c r="G16" i="298"/>
  <c r="G15" i="298"/>
  <c r="G14" i="298"/>
  <c r="G13" i="298"/>
  <c r="G12" i="298"/>
  <c r="L207" i="297"/>
  <c r="K207" i="297"/>
  <c r="G207" i="297"/>
  <c r="L206" i="297"/>
  <c r="K206" i="297"/>
  <c r="G206" i="297"/>
  <c r="L205" i="297"/>
  <c r="K205" i="297"/>
  <c r="G205" i="297"/>
  <c r="L204" i="297"/>
  <c r="K204" i="297"/>
  <c r="G204" i="297"/>
  <c r="L203" i="297"/>
  <c r="K203" i="297"/>
  <c r="G203" i="297"/>
  <c r="L202" i="297"/>
  <c r="K202" i="297"/>
  <c r="G202" i="297"/>
  <c r="L201" i="297"/>
  <c r="K201" i="297"/>
  <c r="G201" i="297"/>
  <c r="L200" i="297"/>
  <c r="K200" i="297"/>
  <c r="G200" i="297"/>
  <c r="L199" i="297"/>
  <c r="K199" i="297"/>
  <c r="G199" i="297"/>
  <c r="L198" i="297"/>
  <c r="K198" i="297"/>
  <c r="G198" i="297"/>
  <c r="L197" i="297"/>
  <c r="K197" i="297"/>
  <c r="G197" i="297"/>
  <c r="L196" i="297"/>
  <c r="K196" i="297"/>
  <c r="G196" i="297"/>
  <c r="L195" i="297"/>
  <c r="K195" i="297"/>
  <c r="G195" i="297"/>
  <c r="L194" i="297"/>
  <c r="K194" i="297"/>
  <c r="G194" i="297"/>
  <c r="L193" i="297"/>
  <c r="K193" i="297"/>
  <c r="G193" i="297"/>
  <c r="L192" i="297"/>
  <c r="K192" i="297"/>
  <c r="G192" i="297"/>
  <c r="L191" i="297"/>
  <c r="K191" i="297"/>
  <c r="G191" i="297"/>
  <c r="L190" i="297"/>
  <c r="K190" i="297"/>
  <c r="G190" i="297"/>
  <c r="L189" i="297"/>
  <c r="K189" i="297"/>
  <c r="G189" i="297"/>
  <c r="L188" i="297"/>
  <c r="K188" i="297"/>
  <c r="G188" i="297"/>
  <c r="L187" i="297"/>
  <c r="K187" i="297"/>
  <c r="G187" i="297"/>
  <c r="L186" i="297"/>
  <c r="K186" i="297"/>
  <c r="G186" i="297"/>
  <c r="L185" i="297"/>
  <c r="K185" i="297"/>
  <c r="G185" i="297"/>
  <c r="L184" i="297"/>
  <c r="K184" i="297"/>
  <c r="G184" i="297"/>
  <c r="L183" i="297"/>
  <c r="K183" i="297"/>
  <c r="G183" i="297"/>
  <c r="L182" i="297"/>
  <c r="K182" i="297"/>
  <c r="G182" i="297"/>
  <c r="L181" i="297"/>
  <c r="K181" i="297"/>
  <c r="G181" i="297"/>
  <c r="L180" i="297"/>
  <c r="K180" i="297"/>
  <c r="G180" i="297"/>
  <c r="L179" i="297"/>
  <c r="K179" i="297"/>
  <c r="G179" i="297"/>
  <c r="L178" i="297"/>
  <c r="K178" i="297"/>
  <c r="G178" i="297"/>
  <c r="L177" i="297"/>
  <c r="K177" i="297"/>
  <c r="G177" i="297"/>
  <c r="L176" i="297"/>
  <c r="K176" i="297"/>
  <c r="G176" i="297"/>
  <c r="L175" i="297"/>
  <c r="K175" i="297"/>
  <c r="G175" i="297"/>
  <c r="L174" i="297"/>
  <c r="K174" i="297"/>
  <c r="G174" i="297"/>
  <c r="L173" i="297"/>
  <c r="K173" i="297"/>
  <c r="G173" i="297"/>
  <c r="L172" i="297"/>
  <c r="K172" i="297"/>
  <c r="G172" i="297"/>
  <c r="L171" i="297"/>
  <c r="K171" i="297"/>
  <c r="G171" i="297"/>
  <c r="L170" i="297"/>
  <c r="K170" i="297"/>
  <c r="G170" i="297"/>
  <c r="L169" i="297"/>
  <c r="K169" i="297"/>
  <c r="G169" i="297"/>
  <c r="L168" i="297"/>
  <c r="K168" i="297"/>
  <c r="G168" i="297"/>
  <c r="L167" i="297"/>
  <c r="K167" i="297"/>
  <c r="G167" i="297"/>
  <c r="L166" i="297"/>
  <c r="K166" i="297"/>
  <c r="G166" i="297"/>
  <c r="L165" i="297"/>
  <c r="K165" i="297"/>
  <c r="G165" i="297"/>
  <c r="L164" i="297"/>
  <c r="K164" i="297"/>
  <c r="G164" i="297"/>
  <c r="L163" i="297"/>
  <c r="K163" i="297"/>
  <c r="G163" i="297"/>
  <c r="L162" i="297"/>
  <c r="K162" i="297"/>
  <c r="G162" i="297"/>
  <c r="L161" i="297"/>
  <c r="K161" i="297"/>
  <c r="G161" i="297"/>
  <c r="L160" i="297"/>
  <c r="K160" i="297"/>
  <c r="G160" i="297"/>
  <c r="L159" i="297"/>
  <c r="K159" i="297"/>
  <c r="G159" i="297"/>
  <c r="L158" i="297"/>
  <c r="K158" i="297"/>
  <c r="G158" i="297"/>
  <c r="L157" i="297"/>
  <c r="K157" i="297"/>
  <c r="G157" i="297"/>
  <c r="L156" i="297"/>
  <c r="K156" i="297"/>
  <c r="G156" i="297"/>
  <c r="L155" i="297"/>
  <c r="K155" i="297"/>
  <c r="G155" i="297"/>
  <c r="L154" i="297"/>
  <c r="K154" i="297"/>
  <c r="G154" i="297"/>
  <c r="L152" i="297"/>
  <c r="K152" i="297"/>
  <c r="G152" i="297"/>
  <c r="L151" i="297"/>
  <c r="K151" i="297"/>
  <c r="G151" i="297"/>
  <c r="L150" i="297"/>
  <c r="K150" i="297"/>
  <c r="G150" i="297"/>
  <c r="L139" i="297"/>
  <c r="K139" i="297"/>
  <c r="G139" i="297"/>
  <c r="L138" i="297"/>
  <c r="K138" i="297"/>
  <c r="G138" i="297"/>
  <c r="L137" i="297"/>
  <c r="K137" i="297"/>
  <c r="G137" i="297"/>
  <c r="L136" i="297"/>
  <c r="K136" i="297"/>
  <c r="G136" i="297"/>
  <c r="L135" i="297"/>
  <c r="K135" i="297"/>
  <c r="G135" i="297"/>
  <c r="L134" i="297"/>
  <c r="K134" i="297"/>
  <c r="G134" i="297"/>
  <c r="L133" i="297"/>
  <c r="K133" i="297"/>
  <c r="G133" i="297"/>
  <c r="L132" i="297"/>
  <c r="K132" i="297"/>
  <c r="G132" i="297"/>
  <c r="L131" i="297"/>
  <c r="K131" i="297"/>
  <c r="G131" i="297"/>
  <c r="L130" i="297"/>
  <c r="K130" i="297"/>
  <c r="G130" i="297"/>
  <c r="L129" i="297"/>
  <c r="K129" i="297"/>
  <c r="G129" i="297"/>
  <c r="L128" i="297"/>
  <c r="K128" i="297"/>
  <c r="G128" i="297"/>
  <c r="L127" i="297"/>
  <c r="K127" i="297"/>
  <c r="G127" i="297"/>
  <c r="L126" i="297"/>
  <c r="K126" i="297"/>
  <c r="G126" i="297"/>
  <c r="L125" i="297"/>
  <c r="K125" i="297"/>
  <c r="G125" i="297"/>
  <c r="L124" i="297"/>
  <c r="K124" i="297"/>
  <c r="G124" i="297"/>
  <c r="L123" i="297"/>
  <c r="K123" i="297"/>
  <c r="G123" i="297"/>
  <c r="L122" i="297"/>
  <c r="K122" i="297"/>
  <c r="G122" i="297"/>
  <c r="L121" i="297"/>
  <c r="K121" i="297"/>
  <c r="G121" i="297"/>
  <c r="L120" i="297"/>
  <c r="K120" i="297"/>
  <c r="G120" i="297"/>
  <c r="L119" i="297"/>
  <c r="K119" i="297"/>
  <c r="G119" i="297"/>
  <c r="L118" i="297"/>
  <c r="K118" i="297"/>
  <c r="G118" i="297"/>
  <c r="L117" i="297"/>
  <c r="K117" i="297"/>
  <c r="G117" i="297"/>
  <c r="L116" i="297"/>
  <c r="K116" i="297"/>
  <c r="G116" i="297"/>
  <c r="L115" i="297"/>
  <c r="K115" i="297"/>
  <c r="G115" i="297"/>
  <c r="L114" i="297"/>
  <c r="K114" i="297"/>
  <c r="G114" i="297"/>
  <c r="L113" i="297"/>
  <c r="K113" i="297"/>
  <c r="G113" i="297"/>
  <c r="L112" i="297"/>
  <c r="K112" i="297"/>
  <c r="G112" i="297"/>
  <c r="L111" i="297"/>
  <c r="K111" i="297"/>
  <c r="G111" i="297"/>
  <c r="L110" i="297"/>
  <c r="K110" i="297"/>
  <c r="G110" i="297"/>
  <c r="L109" i="297"/>
  <c r="K109" i="297"/>
  <c r="G109" i="297"/>
  <c r="L108" i="297"/>
  <c r="K108" i="297"/>
  <c r="G108" i="297"/>
  <c r="L107" i="297"/>
  <c r="K107" i="297"/>
  <c r="G107" i="297"/>
  <c r="L106" i="297"/>
  <c r="K106" i="297"/>
  <c r="G106" i="297"/>
  <c r="L105" i="297"/>
  <c r="K105" i="297"/>
  <c r="G105" i="297"/>
  <c r="L104" i="297"/>
  <c r="K104" i="297"/>
  <c r="G104" i="297"/>
  <c r="L103" i="297"/>
  <c r="K103" i="297"/>
  <c r="G103" i="297"/>
  <c r="L102" i="297"/>
  <c r="K102" i="297"/>
  <c r="G102" i="297"/>
  <c r="L101" i="297"/>
  <c r="K101" i="297"/>
  <c r="G101" i="297"/>
  <c r="L100" i="297"/>
  <c r="K100" i="297"/>
  <c r="G100" i="297"/>
  <c r="L99" i="297"/>
  <c r="K99" i="297"/>
  <c r="G99" i="297"/>
  <c r="L98" i="297"/>
  <c r="K98" i="297"/>
  <c r="G98" i="297"/>
  <c r="L97" i="297"/>
  <c r="K97" i="297"/>
  <c r="G97" i="297"/>
  <c r="L96" i="297"/>
  <c r="K96" i="297"/>
  <c r="G96" i="297"/>
  <c r="L95" i="297"/>
  <c r="K95" i="297"/>
  <c r="G95" i="297"/>
  <c r="L94" i="297"/>
  <c r="K94" i="297"/>
  <c r="G94" i="297"/>
  <c r="L93" i="297"/>
  <c r="K93" i="297"/>
  <c r="G93" i="297"/>
  <c r="L92" i="297"/>
  <c r="K92" i="297"/>
  <c r="G92" i="297"/>
  <c r="L91" i="297"/>
  <c r="K91" i="297"/>
  <c r="G91" i="297"/>
  <c r="L90" i="297"/>
  <c r="K90" i="297"/>
  <c r="G90" i="297"/>
  <c r="L89" i="297"/>
  <c r="K89" i="297"/>
  <c r="G89" i="297"/>
  <c r="L88" i="297"/>
  <c r="K88" i="297"/>
  <c r="G88" i="297"/>
  <c r="L87" i="297"/>
  <c r="K87" i="297"/>
  <c r="G87" i="297"/>
  <c r="L86" i="297"/>
  <c r="K86" i="297"/>
  <c r="G86" i="297"/>
  <c r="L85" i="297"/>
  <c r="K85" i="297"/>
  <c r="G85" i="297"/>
  <c r="L84" i="297"/>
  <c r="K84" i="297"/>
  <c r="G84" i="297"/>
  <c r="L72" i="297"/>
  <c r="K72" i="297"/>
  <c r="L71" i="297"/>
  <c r="K71" i="297"/>
  <c r="L70" i="297"/>
  <c r="K70" i="297"/>
  <c r="L69" i="297"/>
  <c r="K69" i="297"/>
  <c r="L68" i="297"/>
  <c r="K68" i="297"/>
  <c r="L67" i="297"/>
  <c r="K67" i="297"/>
  <c r="L66" i="297"/>
  <c r="K66" i="297"/>
  <c r="L65" i="297"/>
  <c r="K65" i="297"/>
  <c r="L64" i="297"/>
  <c r="K64" i="297"/>
  <c r="L63" i="297"/>
  <c r="K63" i="297"/>
  <c r="L62" i="297"/>
  <c r="K62" i="297"/>
  <c r="L61" i="297"/>
  <c r="K61" i="297"/>
  <c r="L60" i="297"/>
  <c r="K60" i="297"/>
  <c r="L59" i="297"/>
  <c r="K59" i="297"/>
  <c r="L58" i="297"/>
  <c r="K58" i="297"/>
  <c r="L57" i="297"/>
  <c r="K57" i="297"/>
  <c r="L56" i="297"/>
  <c r="K56" i="297"/>
  <c r="L55" i="297"/>
  <c r="K55" i="297"/>
  <c r="L54" i="297"/>
  <c r="K54" i="297"/>
  <c r="L53" i="297"/>
  <c r="K53" i="297"/>
  <c r="L52" i="297"/>
  <c r="K52" i="297"/>
  <c r="L51" i="297"/>
  <c r="K51" i="297"/>
  <c r="L50" i="297"/>
  <c r="K50" i="297"/>
  <c r="L49" i="297"/>
  <c r="K49" i="297"/>
  <c r="L48" i="297"/>
  <c r="K48" i="297"/>
  <c r="L47" i="297"/>
  <c r="K47" i="297"/>
  <c r="L46" i="297"/>
  <c r="K46" i="297"/>
  <c r="L45" i="297"/>
  <c r="K45" i="297"/>
  <c r="L44" i="297"/>
  <c r="K44" i="297"/>
  <c r="L43" i="297"/>
  <c r="K43" i="297"/>
  <c r="L42" i="297"/>
  <c r="K42" i="297"/>
  <c r="L41" i="297"/>
  <c r="K41" i="297"/>
  <c r="L40" i="297"/>
  <c r="K40" i="297"/>
  <c r="L39" i="297"/>
  <c r="K39" i="297"/>
  <c r="L38" i="297"/>
  <c r="K38" i="297"/>
  <c r="L37" i="297"/>
  <c r="K37" i="297"/>
  <c r="L36" i="297"/>
  <c r="K36" i="297"/>
  <c r="L35" i="297"/>
  <c r="K35" i="297"/>
  <c r="L34" i="297"/>
  <c r="K34" i="297"/>
  <c r="L33" i="297"/>
  <c r="K33" i="297"/>
  <c r="K32" i="297"/>
  <c r="L31" i="297"/>
  <c r="K31" i="297"/>
  <c r="L30" i="297"/>
  <c r="K30" i="297"/>
  <c r="L29" i="297"/>
  <c r="K29" i="297"/>
  <c r="L28" i="297"/>
  <c r="K28" i="297"/>
  <c r="L27" i="297"/>
  <c r="K27" i="297"/>
  <c r="L26" i="297"/>
  <c r="K26" i="297"/>
  <c r="L25" i="297"/>
  <c r="K25" i="297"/>
  <c r="L24" i="297"/>
  <c r="K24" i="297"/>
  <c r="L23" i="297"/>
  <c r="K23" i="297"/>
  <c r="L22" i="297"/>
  <c r="K22" i="297"/>
  <c r="L21" i="297"/>
  <c r="K21" i="297"/>
  <c r="L20" i="297"/>
  <c r="K20" i="297"/>
  <c r="L19" i="297"/>
  <c r="K19" i="297"/>
  <c r="L18" i="297"/>
  <c r="K18" i="297"/>
  <c r="L17" i="297"/>
  <c r="K17" i="297"/>
  <c r="L16" i="297"/>
  <c r="K16" i="297"/>
  <c r="L15" i="297"/>
  <c r="K15" i="297"/>
  <c r="L14" i="297"/>
  <c r="K14" i="297"/>
  <c r="L13" i="297"/>
  <c r="K13" i="297"/>
  <c r="L12" i="297"/>
  <c r="K12" i="297"/>
  <c r="G72" i="297"/>
  <c r="G71" i="297"/>
  <c r="G70" i="297"/>
  <c r="G69" i="297"/>
  <c r="G68" i="297"/>
  <c r="G67" i="297"/>
  <c r="G66" i="297"/>
  <c r="G65" i="297"/>
  <c r="G64" i="297"/>
  <c r="G63" i="297"/>
  <c r="G62" i="297"/>
  <c r="G61" i="297"/>
  <c r="G60" i="297"/>
  <c r="G59" i="297"/>
  <c r="G58" i="297"/>
  <c r="G57" i="297"/>
  <c r="G56" i="297"/>
  <c r="G55" i="297"/>
  <c r="G54" i="297"/>
  <c r="G53" i="297"/>
  <c r="G52" i="297"/>
  <c r="G51" i="297"/>
  <c r="G50" i="297"/>
  <c r="G49" i="297"/>
  <c r="G48" i="297"/>
  <c r="G47" i="297"/>
  <c r="G46" i="297"/>
  <c r="G45" i="297"/>
  <c r="G44" i="297"/>
  <c r="G43" i="297"/>
  <c r="G42" i="297"/>
  <c r="G41" i="297"/>
  <c r="G40" i="297"/>
  <c r="G39" i="297"/>
  <c r="G38" i="297"/>
  <c r="G37" i="297"/>
  <c r="G36" i="297"/>
  <c r="G35" i="297"/>
  <c r="G34" i="297"/>
  <c r="G33" i="297"/>
  <c r="G32" i="297"/>
  <c r="G31" i="297"/>
  <c r="G30" i="297"/>
  <c r="G29" i="297"/>
  <c r="G28" i="297"/>
  <c r="G27" i="297"/>
  <c r="G26" i="297"/>
  <c r="G25" i="297"/>
  <c r="G23" i="297"/>
  <c r="G22" i="297"/>
  <c r="G21" i="297"/>
  <c r="G20" i="297"/>
  <c r="G19" i="297"/>
  <c r="G17" i="297"/>
  <c r="G15" i="297"/>
  <c r="G14" i="297"/>
  <c r="G13" i="297"/>
  <c r="G12" i="297"/>
  <c r="M144" i="314"/>
  <c r="L144" i="314"/>
  <c r="H144" i="314"/>
  <c r="M143" i="314"/>
  <c r="L143" i="314"/>
  <c r="H143" i="314"/>
  <c r="M142" i="314"/>
  <c r="L142" i="314"/>
  <c r="H142" i="314"/>
  <c r="M141" i="314"/>
  <c r="L141" i="314"/>
  <c r="H141" i="314"/>
  <c r="M140" i="314"/>
  <c r="L140" i="314"/>
  <c r="H140" i="314"/>
  <c r="M139" i="314"/>
  <c r="L139" i="314"/>
  <c r="H139" i="314"/>
  <c r="M138" i="314"/>
  <c r="L138" i="314"/>
  <c r="H138" i="314"/>
  <c r="M137" i="314"/>
  <c r="L137" i="314"/>
  <c r="H137" i="314"/>
  <c r="M136" i="314"/>
  <c r="L136" i="314"/>
  <c r="H136" i="314"/>
  <c r="M135" i="314"/>
  <c r="L135" i="314"/>
  <c r="H135" i="314"/>
  <c r="M134" i="314"/>
  <c r="L134" i="314"/>
  <c r="H134" i="314"/>
  <c r="M133" i="314"/>
  <c r="L133" i="314"/>
  <c r="H133" i="314"/>
  <c r="M132" i="314"/>
  <c r="L132" i="314"/>
  <c r="H132" i="314"/>
  <c r="M131" i="314"/>
  <c r="L131" i="314"/>
  <c r="H131" i="314"/>
  <c r="M130" i="314"/>
  <c r="L130" i="314"/>
  <c r="H130" i="314"/>
  <c r="M129" i="314"/>
  <c r="L129" i="314"/>
  <c r="H129" i="314"/>
  <c r="M128" i="314"/>
  <c r="L128" i="314"/>
  <c r="H128" i="314"/>
  <c r="M127" i="314"/>
  <c r="L127" i="314"/>
  <c r="H127" i="314"/>
  <c r="M126" i="314"/>
  <c r="L126" i="314"/>
  <c r="H126" i="314"/>
  <c r="M125" i="314"/>
  <c r="L125" i="314"/>
  <c r="H125" i="314"/>
  <c r="M124" i="314"/>
  <c r="L124" i="314"/>
  <c r="H124" i="314"/>
  <c r="M123" i="314"/>
  <c r="L123" i="314"/>
  <c r="H123" i="314"/>
  <c r="M122" i="314"/>
  <c r="L122" i="314"/>
  <c r="H122" i="314"/>
  <c r="M121" i="314"/>
  <c r="L121" i="314"/>
  <c r="H121" i="314"/>
  <c r="M120" i="314"/>
  <c r="L120" i="314"/>
  <c r="H120" i="314"/>
  <c r="M119" i="314"/>
  <c r="L119" i="314"/>
  <c r="H119" i="314"/>
  <c r="M118" i="314"/>
  <c r="L118" i="314"/>
  <c r="H118" i="314"/>
  <c r="M117" i="314"/>
  <c r="L117" i="314"/>
  <c r="H117" i="314"/>
  <c r="M116" i="314"/>
  <c r="L116" i="314"/>
  <c r="H116" i="314"/>
  <c r="M115" i="314"/>
  <c r="L115" i="314"/>
  <c r="H115" i="314"/>
  <c r="M114" i="314"/>
  <c r="L114" i="314"/>
  <c r="H114" i="314"/>
  <c r="M113" i="314"/>
  <c r="L113" i="314"/>
  <c r="H113" i="314"/>
  <c r="M112" i="314"/>
  <c r="L112" i="314"/>
  <c r="H112" i="314"/>
  <c r="M111" i="314"/>
  <c r="L111" i="314"/>
  <c r="H111" i="314"/>
  <c r="M110" i="314"/>
  <c r="L110" i="314"/>
  <c r="H110" i="314"/>
  <c r="M109" i="314"/>
  <c r="L109" i="314"/>
  <c r="H109" i="314"/>
  <c r="M108" i="314"/>
  <c r="L108" i="314"/>
  <c r="H108" i="314"/>
  <c r="M107" i="314"/>
  <c r="L107" i="314"/>
  <c r="H107" i="314"/>
  <c r="M106" i="314"/>
  <c r="L106" i="314"/>
  <c r="H106" i="314"/>
  <c r="M105" i="314"/>
  <c r="L105" i="314"/>
  <c r="H105" i="314"/>
  <c r="M104" i="314"/>
  <c r="L104" i="314"/>
  <c r="H104" i="314"/>
  <c r="M103" i="314"/>
  <c r="L103" i="314"/>
  <c r="H103" i="314"/>
  <c r="M102" i="314"/>
  <c r="L102" i="314"/>
  <c r="H102" i="314"/>
  <c r="M101" i="314"/>
  <c r="L101" i="314"/>
  <c r="H101" i="314"/>
  <c r="M100" i="314"/>
  <c r="L100" i="314"/>
  <c r="H100" i="314"/>
  <c r="M99" i="314"/>
  <c r="L99" i="314"/>
  <c r="H99" i="314"/>
  <c r="M98" i="314"/>
  <c r="L98" i="314"/>
  <c r="H98" i="314"/>
  <c r="M97" i="314"/>
  <c r="L97" i="314"/>
  <c r="H97" i="314"/>
  <c r="M96" i="314"/>
  <c r="L96" i="314"/>
  <c r="H96" i="314"/>
  <c r="M95" i="314"/>
  <c r="L95" i="314"/>
  <c r="H95" i="314"/>
  <c r="M94" i="314"/>
  <c r="L94" i="314"/>
  <c r="H94" i="314"/>
  <c r="M93" i="314"/>
  <c r="L93" i="314"/>
  <c r="H93" i="314"/>
  <c r="M92" i="314"/>
  <c r="L92" i="314"/>
  <c r="H92" i="314"/>
  <c r="M91" i="314"/>
  <c r="L91" i="314"/>
  <c r="H91" i="314"/>
  <c r="M90" i="314"/>
  <c r="L90" i="314"/>
  <c r="H90" i="314"/>
  <c r="M89" i="314"/>
  <c r="L89" i="314"/>
  <c r="H89" i="314"/>
  <c r="M88" i="314"/>
  <c r="L88" i="314"/>
  <c r="H88" i="314"/>
  <c r="M87" i="314"/>
  <c r="L87" i="314"/>
  <c r="H87" i="314"/>
  <c r="M86" i="314"/>
  <c r="L86" i="314"/>
  <c r="H86" i="314"/>
  <c r="M85" i="314"/>
  <c r="L85" i="314"/>
  <c r="H85" i="314"/>
  <c r="M84" i="314"/>
  <c r="L84" i="314"/>
  <c r="H84" i="314"/>
  <c r="M83" i="314"/>
  <c r="L83" i="314"/>
  <c r="H83" i="314"/>
  <c r="M82" i="314"/>
  <c r="L82" i="314"/>
  <c r="H82" i="314"/>
  <c r="M80" i="314"/>
  <c r="L80" i="314"/>
  <c r="H80" i="314"/>
  <c r="M69" i="314"/>
  <c r="L69" i="314"/>
  <c r="M58" i="314"/>
  <c r="L58" i="314"/>
  <c r="M57" i="314"/>
  <c r="L57" i="314"/>
  <c r="M56" i="314"/>
  <c r="L56" i="314"/>
  <c r="M55" i="314"/>
  <c r="L55" i="314"/>
  <c r="M54" i="314"/>
  <c r="L54" i="314"/>
  <c r="M53" i="314"/>
  <c r="L53" i="314"/>
  <c r="M52" i="314"/>
  <c r="L52" i="314"/>
  <c r="M51" i="314"/>
  <c r="L51" i="314"/>
  <c r="M50" i="314"/>
  <c r="L50" i="314"/>
  <c r="M49" i="314"/>
  <c r="L49" i="314"/>
  <c r="M48" i="314"/>
  <c r="L48" i="314"/>
  <c r="M47" i="314"/>
  <c r="L47" i="314"/>
  <c r="M46" i="314"/>
  <c r="L46" i="314"/>
  <c r="M45" i="314"/>
  <c r="L45" i="314"/>
  <c r="M44" i="314"/>
  <c r="L44" i="314"/>
  <c r="M43" i="314"/>
  <c r="L43" i="314"/>
  <c r="M42" i="314"/>
  <c r="L42" i="314"/>
  <c r="M41" i="314"/>
  <c r="L41" i="314"/>
  <c r="M40" i="314"/>
  <c r="L40" i="314"/>
  <c r="M39" i="314"/>
  <c r="L39" i="314"/>
  <c r="M37" i="314"/>
  <c r="L37" i="314"/>
  <c r="M36" i="314"/>
  <c r="L36" i="314"/>
  <c r="M35" i="314"/>
  <c r="L35" i="314"/>
  <c r="M33" i="314"/>
  <c r="L33" i="314"/>
  <c r="M32" i="314"/>
  <c r="L32" i="314"/>
  <c r="M31" i="314"/>
  <c r="L31" i="314"/>
  <c r="M29" i="314"/>
  <c r="L29" i="314"/>
  <c r="M27" i="314"/>
  <c r="L27" i="314"/>
  <c r="M25" i="314"/>
  <c r="L25" i="314"/>
  <c r="M24" i="314"/>
  <c r="L24" i="314"/>
  <c r="M23" i="314"/>
  <c r="L23" i="314"/>
  <c r="M21" i="314"/>
  <c r="L21" i="314"/>
  <c r="M20" i="314"/>
  <c r="L20" i="314"/>
  <c r="M19" i="314"/>
  <c r="L19" i="314"/>
  <c r="M18" i="314"/>
  <c r="L18" i="314"/>
  <c r="M17" i="314"/>
  <c r="L17" i="314"/>
  <c r="M15" i="314"/>
  <c r="L15" i="314"/>
  <c r="M14" i="314"/>
  <c r="L14" i="314"/>
  <c r="M13" i="314"/>
  <c r="L13" i="314"/>
  <c r="M12" i="314"/>
  <c r="L12" i="314"/>
  <c r="H69" i="314"/>
  <c r="H58" i="314"/>
  <c r="H57" i="314"/>
  <c r="H56" i="314"/>
  <c r="H55" i="314"/>
  <c r="H54" i="314"/>
  <c r="H53" i="314"/>
  <c r="H52" i="314"/>
  <c r="H51" i="314"/>
  <c r="H50" i="314"/>
  <c r="H49" i="314"/>
  <c r="H48" i="314"/>
  <c r="H47" i="314"/>
  <c r="H46" i="314"/>
  <c r="H45" i="314"/>
  <c r="H44" i="314"/>
  <c r="H43" i="314"/>
  <c r="H42" i="314"/>
  <c r="H41" i="314"/>
  <c r="H40" i="314"/>
  <c r="H39" i="314"/>
  <c r="H38" i="314"/>
  <c r="H37" i="314"/>
  <c r="H36" i="314"/>
  <c r="H35" i="314"/>
  <c r="H34" i="314"/>
  <c r="H33" i="314"/>
  <c r="H32" i="314"/>
  <c r="H31" i="314"/>
  <c r="H30" i="314"/>
  <c r="H29" i="314"/>
  <c r="H28" i="314"/>
  <c r="H27" i="314"/>
  <c r="H26" i="314"/>
  <c r="H25" i="314"/>
  <c r="H24" i="314"/>
  <c r="H23" i="314"/>
  <c r="H22" i="314"/>
  <c r="H21" i="314"/>
  <c r="H20" i="314"/>
  <c r="H19" i="314"/>
  <c r="H18" i="314"/>
  <c r="H17" i="314"/>
  <c r="H16" i="314"/>
  <c r="H15" i="314"/>
  <c r="H14" i="314"/>
  <c r="H13" i="314"/>
  <c r="H12" i="314"/>
  <c r="M145" i="313"/>
  <c r="L145" i="313"/>
  <c r="H145" i="313"/>
  <c r="M144" i="313"/>
  <c r="L144" i="313"/>
  <c r="H144" i="313"/>
  <c r="M143" i="313"/>
  <c r="L143" i="313"/>
  <c r="H143" i="313"/>
  <c r="M142" i="313"/>
  <c r="L142" i="313"/>
  <c r="H142" i="313"/>
  <c r="M141" i="313"/>
  <c r="L141" i="313"/>
  <c r="H141" i="313"/>
  <c r="M140" i="313"/>
  <c r="L140" i="313"/>
  <c r="H140" i="313"/>
  <c r="M139" i="313"/>
  <c r="L139" i="313"/>
  <c r="H139" i="313"/>
  <c r="M138" i="313"/>
  <c r="L138" i="313"/>
  <c r="H138" i="313"/>
  <c r="M137" i="313"/>
  <c r="L137" i="313"/>
  <c r="H137" i="313"/>
  <c r="M136" i="313"/>
  <c r="L136" i="313"/>
  <c r="H136" i="313"/>
  <c r="M135" i="313"/>
  <c r="L135" i="313"/>
  <c r="H135" i="313"/>
  <c r="M134" i="313"/>
  <c r="L134" i="313"/>
  <c r="H134" i="313"/>
  <c r="M133" i="313"/>
  <c r="L133" i="313"/>
  <c r="H133" i="313"/>
  <c r="M132" i="313"/>
  <c r="L132" i="313"/>
  <c r="H132" i="313"/>
  <c r="M131" i="313"/>
  <c r="L131" i="313"/>
  <c r="H131" i="313"/>
  <c r="M130" i="313"/>
  <c r="L130" i="313"/>
  <c r="H130" i="313"/>
  <c r="M129" i="313"/>
  <c r="L129" i="313"/>
  <c r="H129" i="313"/>
  <c r="M128" i="313"/>
  <c r="L128" i="313"/>
  <c r="H128" i="313"/>
  <c r="M127" i="313"/>
  <c r="L127" i="313"/>
  <c r="H127" i="313"/>
  <c r="M126" i="313"/>
  <c r="L126" i="313"/>
  <c r="H126" i="313"/>
  <c r="M125" i="313"/>
  <c r="L125" i="313"/>
  <c r="H125" i="313"/>
  <c r="M124" i="313"/>
  <c r="L124" i="313"/>
  <c r="H124" i="313"/>
  <c r="M123" i="313"/>
  <c r="L123" i="313"/>
  <c r="H123" i="313"/>
  <c r="M122" i="313"/>
  <c r="L122" i="313"/>
  <c r="H122" i="313"/>
  <c r="M121" i="313"/>
  <c r="L121" i="313"/>
  <c r="H121" i="313"/>
  <c r="M120" i="313"/>
  <c r="L120" i="313"/>
  <c r="H120" i="313"/>
  <c r="M119" i="313"/>
  <c r="L119" i="313"/>
  <c r="H119" i="313"/>
  <c r="M118" i="313"/>
  <c r="L118" i="313"/>
  <c r="H118" i="313"/>
  <c r="M117" i="313"/>
  <c r="L117" i="313"/>
  <c r="H117" i="313"/>
  <c r="M116" i="313"/>
  <c r="L116" i="313"/>
  <c r="H116" i="313"/>
  <c r="M115" i="313"/>
  <c r="L115" i="313"/>
  <c r="H115" i="313"/>
  <c r="M114" i="313"/>
  <c r="L114" i="313"/>
  <c r="H114" i="313"/>
  <c r="M113" i="313"/>
  <c r="L113" i="313"/>
  <c r="H113" i="313"/>
  <c r="M112" i="313"/>
  <c r="L112" i="313"/>
  <c r="H112" i="313"/>
  <c r="M111" i="313"/>
  <c r="L111" i="313"/>
  <c r="H111" i="313"/>
  <c r="M110" i="313"/>
  <c r="L110" i="313"/>
  <c r="H110" i="313"/>
  <c r="M109" i="313"/>
  <c r="L109" i="313"/>
  <c r="H109" i="313"/>
  <c r="M108" i="313"/>
  <c r="L108" i="313"/>
  <c r="H108" i="313"/>
  <c r="M107" i="313"/>
  <c r="L107" i="313"/>
  <c r="H107" i="313"/>
  <c r="M106" i="313"/>
  <c r="L106" i="313"/>
  <c r="H106" i="313"/>
  <c r="M105" i="313"/>
  <c r="L105" i="313"/>
  <c r="H105" i="313"/>
  <c r="M104" i="313"/>
  <c r="L104" i="313"/>
  <c r="H104" i="313"/>
  <c r="M103" i="313"/>
  <c r="L103" i="313"/>
  <c r="H103" i="313"/>
  <c r="M102" i="313"/>
  <c r="L102" i="313"/>
  <c r="H102" i="313"/>
  <c r="M101" i="313"/>
  <c r="L101" i="313"/>
  <c r="H101" i="313"/>
  <c r="M100" i="313"/>
  <c r="L100" i="313"/>
  <c r="H100" i="313"/>
  <c r="M99" i="313"/>
  <c r="L99" i="313"/>
  <c r="H99" i="313"/>
  <c r="M98" i="313"/>
  <c r="L98" i="313"/>
  <c r="H98" i="313"/>
  <c r="M97" i="313"/>
  <c r="L97" i="313"/>
  <c r="H97" i="313"/>
  <c r="M96" i="313"/>
  <c r="L96" i="313"/>
  <c r="H96" i="313"/>
  <c r="M95" i="313"/>
  <c r="L95" i="313"/>
  <c r="H95" i="313"/>
  <c r="M94" i="313"/>
  <c r="L94" i="313"/>
  <c r="H94" i="313"/>
  <c r="M93" i="313"/>
  <c r="L93" i="313"/>
  <c r="H93" i="313"/>
  <c r="M92" i="313"/>
  <c r="L92" i="313"/>
  <c r="H92" i="313"/>
  <c r="M91" i="313"/>
  <c r="L91" i="313"/>
  <c r="H91" i="313"/>
  <c r="M90" i="313"/>
  <c r="L90" i="313"/>
  <c r="H90" i="313"/>
  <c r="M89" i="313"/>
  <c r="L89" i="313"/>
  <c r="H89" i="313"/>
  <c r="M88" i="313"/>
  <c r="L88" i="313"/>
  <c r="H88" i="313"/>
  <c r="M87" i="313"/>
  <c r="L87" i="313"/>
  <c r="H87" i="313"/>
  <c r="M86" i="313"/>
  <c r="L86" i="313"/>
  <c r="H86" i="313"/>
  <c r="M85" i="313"/>
  <c r="L85" i="313"/>
  <c r="H85" i="313"/>
  <c r="M84" i="313"/>
  <c r="L84" i="313"/>
  <c r="H84" i="313"/>
  <c r="M82" i="313"/>
  <c r="L82" i="313"/>
  <c r="H82" i="313"/>
  <c r="M81" i="313"/>
  <c r="L81" i="313"/>
  <c r="H81" i="313"/>
  <c r="M27" i="313"/>
  <c r="L27" i="313"/>
  <c r="M25" i="313"/>
  <c r="L25" i="313"/>
  <c r="M23" i="313"/>
  <c r="L23" i="313"/>
  <c r="M22" i="313"/>
  <c r="L22" i="313"/>
  <c r="M21" i="313"/>
  <c r="L21" i="313"/>
  <c r="M20" i="313"/>
  <c r="L20" i="313"/>
  <c r="M19" i="313"/>
  <c r="L19" i="313"/>
  <c r="M17" i="313"/>
  <c r="L17" i="313"/>
  <c r="M15" i="313"/>
  <c r="L15" i="313"/>
  <c r="M14" i="313"/>
  <c r="L14" i="313"/>
  <c r="M13" i="313"/>
  <c r="L13" i="313"/>
  <c r="M12" i="313"/>
  <c r="L12" i="313"/>
  <c r="H27" i="313"/>
  <c r="H26" i="313"/>
  <c r="H25" i="313"/>
  <c r="H24" i="313"/>
  <c r="H23" i="313"/>
  <c r="H22" i="313"/>
  <c r="H21" i="313"/>
  <c r="H20" i="313"/>
  <c r="H19" i="313"/>
  <c r="H18" i="313"/>
  <c r="H17" i="313"/>
  <c r="H16" i="313"/>
  <c r="H15" i="313"/>
  <c r="H14" i="313"/>
  <c r="H13" i="313"/>
  <c r="H12" i="313"/>
  <c r="H190" i="311"/>
  <c r="H189" i="311"/>
  <c r="H188" i="311"/>
  <c r="H187" i="311"/>
  <c r="H186" i="311"/>
  <c r="H185" i="311"/>
  <c r="H184" i="311"/>
  <c r="H183" i="311"/>
  <c r="H182" i="311"/>
  <c r="H181" i="311"/>
  <c r="H180" i="311"/>
  <c r="H179" i="311"/>
  <c r="H178" i="311"/>
  <c r="H177" i="311"/>
  <c r="H176" i="311"/>
  <c r="H175" i="311"/>
  <c r="H174" i="311"/>
  <c r="H173" i="311"/>
  <c r="H172" i="311"/>
  <c r="H171" i="311"/>
  <c r="H170" i="311"/>
  <c r="H169" i="311"/>
  <c r="H168" i="311"/>
  <c r="H167" i="311"/>
  <c r="H166" i="311"/>
  <c r="H165" i="311"/>
  <c r="H164" i="311"/>
  <c r="H163" i="311"/>
  <c r="H162" i="311"/>
  <c r="H161" i="311"/>
  <c r="H160" i="311"/>
  <c r="H159" i="311"/>
  <c r="H158" i="311"/>
  <c r="H157" i="311"/>
  <c r="H156" i="311"/>
  <c r="H155" i="311"/>
  <c r="H154" i="311"/>
  <c r="H153" i="311"/>
  <c r="H152" i="311"/>
  <c r="H151" i="311"/>
  <c r="H150" i="311"/>
  <c r="H149" i="311"/>
  <c r="H148" i="311"/>
  <c r="H147" i="311"/>
  <c r="H146" i="311"/>
  <c r="H145" i="311"/>
  <c r="H144" i="311"/>
  <c r="H143" i="311"/>
  <c r="H142" i="311"/>
  <c r="H140" i="311"/>
  <c r="H129" i="311"/>
  <c r="H128" i="311"/>
  <c r="H127" i="311"/>
  <c r="H126" i="311"/>
  <c r="H125" i="311"/>
  <c r="H124" i="311"/>
  <c r="H123" i="311"/>
  <c r="H122" i="311"/>
  <c r="H121" i="311"/>
  <c r="H120" i="311"/>
  <c r="H119" i="311"/>
  <c r="H118" i="311"/>
  <c r="H117" i="311"/>
  <c r="H116" i="311"/>
  <c r="H115" i="311"/>
  <c r="H114" i="311"/>
  <c r="H113" i="311"/>
  <c r="H112" i="311"/>
  <c r="H111" i="311"/>
  <c r="H110" i="311"/>
  <c r="H109" i="311"/>
  <c r="H108" i="311"/>
  <c r="H107" i="311"/>
  <c r="H106" i="311"/>
  <c r="H105" i="311"/>
  <c r="H104" i="311"/>
  <c r="H103" i="311"/>
  <c r="H102" i="311"/>
  <c r="H101" i="311"/>
  <c r="H100" i="311"/>
  <c r="H99" i="311"/>
  <c r="H98" i="311"/>
  <c r="H97" i="311"/>
  <c r="H96" i="311"/>
  <c r="H95" i="311"/>
  <c r="H94" i="311"/>
  <c r="H93" i="311"/>
  <c r="H92" i="311"/>
  <c r="H91" i="311"/>
  <c r="H90" i="311"/>
  <c r="H89" i="311"/>
  <c r="H88" i="311"/>
  <c r="H87" i="311"/>
  <c r="H86" i="311"/>
  <c r="H85" i="311"/>
  <c r="H84" i="311"/>
  <c r="H83" i="311"/>
  <c r="H81" i="311"/>
  <c r="M191" i="311"/>
  <c r="M190" i="311"/>
  <c r="L190" i="311"/>
  <c r="M189" i="311"/>
  <c r="L189" i="311"/>
  <c r="M188" i="311"/>
  <c r="L188" i="311"/>
  <c r="M187" i="311"/>
  <c r="L187" i="311"/>
  <c r="M186" i="311"/>
  <c r="L186" i="311"/>
  <c r="M185" i="311"/>
  <c r="L185" i="311"/>
  <c r="M184" i="311"/>
  <c r="L184" i="311"/>
  <c r="M183" i="311"/>
  <c r="L183" i="311"/>
  <c r="M182" i="311"/>
  <c r="L182" i="311"/>
  <c r="M181" i="311"/>
  <c r="L181" i="311"/>
  <c r="M180" i="311"/>
  <c r="L180" i="311"/>
  <c r="M179" i="311"/>
  <c r="L179" i="311"/>
  <c r="M178" i="311"/>
  <c r="L178" i="311"/>
  <c r="M177" i="311"/>
  <c r="L177" i="311"/>
  <c r="M176" i="311"/>
  <c r="L176" i="311"/>
  <c r="M175" i="311"/>
  <c r="L175" i="311"/>
  <c r="M174" i="311"/>
  <c r="L174" i="311"/>
  <c r="M173" i="311"/>
  <c r="L173" i="311"/>
  <c r="M172" i="311"/>
  <c r="L172" i="311"/>
  <c r="M171" i="311"/>
  <c r="L171" i="311"/>
  <c r="M170" i="311"/>
  <c r="L170" i="311"/>
  <c r="M169" i="311"/>
  <c r="L169" i="311"/>
  <c r="M168" i="311"/>
  <c r="L168" i="311"/>
  <c r="M167" i="311"/>
  <c r="L167" i="311"/>
  <c r="M166" i="311"/>
  <c r="L166" i="311"/>
  <c r="M165" i="311"/>
  <c r="L165" i="311"/>
  <c r="M164" i="311"/>
  <c r="L164" i="311"/>
  <c r="M163" i="311"/>
  <c r="L163" i="311"/>
  <c r="M162" i="311"/>
  <c r="L162" i="311"/>
  <c r="M161" i="311"/>
  <c r="L161" i="311"/>
  <c r="M160" i="311"/>
  <c r="L160" i="311"/>
  <c r="M159" i="311"/>
  <c r="L159" i="311"/>
  <c r="M158" i="311"/>
  <c r="L158" i="311"/>
  <c r="M157" i="311"/>
  <c r="L157" i="311"/>
  <c r="M156" i="311"/>
  <c r="L156" i="311"/>
  <c r="M155" i="311"/>
  <c r="L155" i="311"/>
  <c r="M154" i="311"/>
  <c r="L154" i="311"/>
  <c r="M153" i="311"/>
  <c r="L153" i="311"/>
  <c r="M152" i="311"/>
  <c r="L152" i="311"/>
  <c r="M151" i="311"/>
  <c r="L151" i="311"/>
  <c r="M150" i="311"/>
  <c r="L150" i="311"/>
  <c r="M149" i="311"/>
  <c r="L149" i="311"/>
  <c r="M148" i="311"/>
  <c r="L148" i="311"/>
  <c r="M147" i="311"/>
  <c r="L147" i="311"/>
  <c r="M146" i="311"/>
  <c r="L146" i="311"/>
  <c r="M145" i="311"/>
  <c r="L145" i="311"/>
  <c r="M144" i="311"/>
  <c r="L144" i="311"/>
  <c r="M143" i="311"/>
  <c r="L143" i="311"/>
  <c r="M142" i="311"/>
  <c r="L142" i="311"/>
  <c r="M141" i="311"/>
  <c r="L141" i="311"/>
  <c r="M140" i="311"/>
  <c r="L140" i="311"/>
  <c r="M130" i="311"/>
  <c r="M129" i="311"/>
  <c r="L129" i="311"/>
  <c r="M128" i="311"/>
  <c r="L128" i="311"/>
  <c r="M127" i="311"/>
  <c r="L127" i="311"/>
  <c r="M126" i="311"/>
  <c r="L126" i="311"/>
  <c r="M125" i="311"/>
  <c r="L125" i="311"/>
  <c r="M124" i="311"/>
  <c r="L124" i="311"/>
  <c r="M123" i="311"/>
  <c r="L123" i="311"/>
  <c r="M122" i="311"/>
  <c r="L122" i="311"/>
  <c r="M121" i="311"/>
  <c r="L121" i="311"/>
  <c r="M120" i="311"/>
  <c r="L120" i="311"/>
  <c r="M119" i="311"/>
  <c r="L119" i="311"/>
  <c r="M118" i="311"/>
  <c r="L118" i="311"/>
  <c r="M117" i="311"/>
  <c r="L117" i="311"/>
  <c r="M116" i="311"/>
  <c r="L116" i="311"/>
  <c r="M115" i="311"/>
  <c r="L115" i="311"/>
  <c r="M114" i="311"/>
  <c r="L114" i="311"/>
  <c r="M113" i="311"/>
  <c r="L113" i="311"/>
  <c r="M112" i="311"/>
  <c r="L112" i="311"/>
  <c r="M111" i="311"/>
  <c r="L111" i="311"/>
  <c r="M110" i="311"/>
  <c r="L110" i="311"/>
  <c r="M109" i="311"/>
  <c r="L109" i="311"/>
  <c r="M108" i="311"/>
  <c r="L108" i="311"/>
  <c r="M107" i="311"/>
  <c r="L107" i="311"/>
  <c r="M106" i="311"/>
  <c r="L106" i="311"/>
  <c r="M105" i="311"/>
  <c r="L105" i="311"/>
  <c r="M104" i="311"/>
  <c r="L104" i="311"/>
  <c r="M103" i="311"/>
  <c r="L103" i="311"/>
  <c r="M102" i="311"/>
  <c r="L102" i="311"/>
  <c r="M101" i="311"/>
  <c r="L101" i="311"/>
  <c r="M100" i="311"/>
  <c r="L100" i="311"/>
  <c r="M99" i="311"/>
  <c r="L99" i="311"/>
  <c r="M98" i="311"/>
  <c r="L98" i="311"/>
  <c r="M97" i="311"/>
  <c r="L97" i="311"/>
  <c r="M96" i="311"/>
  <c r="L96" i="311"/>
  <c r="M95" i="311"/>
  <c r="L95" i="311"/>
  <c r="M94" i="311"/>
  <c r="L94" i="311"/>
  <c r="M93" i="311"/>
  <c r="L93" i="311"/>
  <c r="M92" i="311"/>
  <c r="L92" i="311"/>
  <c r="M91" i="311"/>
  <c r="L91" i="311"/>
  <c r="M90" i="311"/>
  <c r="L90" i="311"/>
  <c r="M89" i="311"/>
  <c r="L89" i="311"/>
  <c r="M88" i="311"/>
  <c r="L88" i="311"/>
  <c r="M87" i="311"/>
  <c r="L87" i="311"/>
  <c r="M86" i="311"/>
  <c r="L86" i="311"/>
  <c r="M85" i="311"/>
  <c r="L85" i="311"/>
  <c r="M84" i="311"/>
  <c r="L84" i="311"/>
  <c r="M83" i="311"/>
  <c r="L83" i="311"/>
  <c r="M82" i="311"/>
  <c r="L82" i="311"/>
  <c r="M81" i="311"/>
  <c r="L81" i="311"/>
  <c r="M70" i="311"/>
  <c r="L70" i="311"/>
  <c r="M69" i="311"/>
  <c r="L69" i="311"/>
  <c r="M68" i="311"/>
  <c r="L68" i="311"/>
  <c r="M67" i="311"/>
  <c r="L67" i="311"/>
  <c r="M66" i="311"/>
  <c r="L66" i="311"/>
  <c r="M65" i="311"/>
  <c r="L65" i="311"/>
  <c r="M64" i="311"/>
  <c r="L64" i="311"/>
  <c r="M63" i="311"/>
  <c r="L63" i="311"/>
  <c r="M62" i="311"/>
  <c r="L62" i="311"/>
  <c r="M61" i="311"/>
  <c r="L61" i="311"/>
  <c r="M60" i="311"/>
  <c r="L60" i="311"/>
  <c r="M59" i="311"/>
  <c r="L59" i="311"/>
  <c r="M58" i="311"/>
  <c r="L58" i="311"/>
  <c r="M57" i="311"/>
  <c r="L57" i="311"/>
  <c r="M56" i="311"/>
  <c r="L56" i="311"/>
  <c r="M55" i="311"/>
  <c r="L55" i="311"/>
  <c r="M54" i="311"/>
  <c r="L54" i="311"/>
  <c r="M53" i="311"/>
  <c r="L53" i="311"/>
  <c r="M52" i="311"/>
  <c r="L52" i="311"/>
  <c r="M51" i="311"/>
  <c r="L51" i="311"/>
  <c r="M50" i="311"/>
  <c r="L50" i="311"/>
  <c r="M49" i="311"/>
  <c r="L49" i="311"/>
  <c r="M48" i="311"/>
  <c r="L48" i="311"/>
  <c r="M47" i="311"/>
  <c r="L47" i="311"/>
  <c r="M46" i="311"/>
  <c r="L46" i="311"/>
  <c r="M45" i="311"/>
  <c r="L45" i="311"/>
  <c r="M44" i="311"/>
  <c r="L44" i="311"/>
  <c r="M43" i="311"/>
  <c r="L43" i="311"/>
  <c r="M42" i="311"/>
  <c r="L42" i="311"/>
  <c r="M41" i="311"/>
  <c r="L41" i="311"/>
  <c r="M40" i="311"/>
  <c r="L40" i="311"/>
  <c r="M39" i="311"/>
  <c r="L39" i="311"/>
  <c r="M38" i="311"/>
  <c r="L38" i="311"/>
  <c r="M37" i="311"/>
  <c r="L37" i="311"/>
  <c r="M36" i="311"/>
  <c r="L36" i="311"/>
  <c r="M35" i="311"/>
  <c r="L35" i="311"/>
  <c r="M34" i="311"/>
  <c r="L34" i="311"/>
  <c r="M33" i="311"/>
  <c r="L33" i="311"/>
  <c r="L32" i="311"/>
  <c r="M31" i="311"/>
  <c r="L31" i="311"/>
  <c r="M29" i="311"/>
  <c r="L29" i="311"/>
  <c r="M27" i="311"/>
  <c r="L27" i="311"/>
  <c r="M26" i="311"/>
  <c r="L26" i="311"/>
  <c r="M25" i="311"/>
  <c r="L25" i="311"/>
  <c r="M23" i="311"/>
  <c r="L23" i="311"/>
  <c r="M21" i="311"/>
  <c r="L21" i="311"/>
  <c r="M19" i="311"/>
  <c r="L19" i="311"/>
  <c r="M17" i="311"/>
  <c r="L17" i="311"/>
  <c r="M16" i="311"/>
  <c r="L16" i="311"/>
  <c r="M15" i="311"/>
  <c r="L15" i="311"/>
  <c r="M14" i="311"/>
  <c r="L14" i="311"/>
  <c r="M13" i="311"/>
  <c r="L13" i="311"/>
  <c r="M12" i="311"/>
  <c r="L12" i="311"/>
  <c r="H70" i="311"/>
  <c r="H69" i="311"/>
  <c r="H68" i="311"/>
  <c r="H67" i="311"/>
  <c r="H66" i="311"/>
  <c r="H65" i="311"/>
  <c r="H64" i="311"/>
  <c r="H63" i="311"/>
  <c r="H62" i="311"/>
  <c r="H61" i="311"/>
  <c r="H60" i="311"/>
  <c r="H59" i="311"/>
  <c r="H58" i="311"/>
  <c r="H57" i="311"/>
  <c r="H56" i="311"/>
  <c r="H55" i="311"/>
  <c r="H54" i="311"/>
  <c r="H53" i="311"/>
  <c r="H52" i="311"/>
  <c r="H51" i="311"/>
  <c r="H50" i="311"/>
  <c r="H49" i="311"/>
  <c r="H48" i="311"/>
  <c r="H47" i="311"/>
  <c r="H46" i="311"/>
  <c r="H45" i="311"/>
  <c r="H44" i="311"/>
  <c r="H43" i="311"/>
  <c r="H42" i="311"/>
  <c r="H41" i="311"/>
  <c r="H40" i="311"/>
  <c r="H39" i="311"/>
  <c r="H38" i="311"/>
  <c r="H37" i="311"/>
  <c r="H36" i="311"/>
  <c r="H35" i="311"/>
  <c r="H34" i="311"/>
  <c r="H33" i="311"/>
  <c r="H32" i="311"/>
  <c r="H31" i="311"/>
  <c r="H30" i="311"/>
  <c r="H29" i="311"/>
  <c r="H28" i="311"/>
  <c r="H27" i="311"/>
  <c r="H26" i="311"/>
  <c r="H25" i="311"/>
  <c r="H24" i="311"/>
  <c r="H23" i="311"/>
  <c r="H22" i="311"/>
  <c r="H21" i="311"/>
  <c r="H20" i="311"/>
  <c r="H19" i="311"/>
  <c r="H18" i="311"/>
  <c r="H17" i="311"/>
  <c r="H16" i="311"/>
  <c r="H15" i="311"/>
  <c r="H14" i="311"/>
  <c r="H13" i="311"/>
  <c r="H12" i="311"/>
  <c r="M71" i="311"/>
  <c r="M11" i="311"/>
  <c r="L11" i="311"/>
  <c r="M72" i="310"/>
  <c r="M71" i="310"/>
  <c r="L71" i="310"/>
  <c r="M70" i="310"/>
  <c r="L70" i="310"/>
  <c r="M69" i="310"/>
  <c r="L69" i="310"/>
  <c r="M68" i="310"/>
  <c r="L68" i="310"/>
  <c r="M67" i="310"/>
  <c r="L67" i="310"/>
  <c r="M66" i="310"/>
  <c r="L66" i="310"/>
  <c r="M65" i="310"/>
  <c r="L65" i="310"/>
  <c r="M64" i="310"/>
  <c r="L64" i="310"/>
  <c r="M63" i="310"/>
  <c r="L63" i="310"/>
  <c r="M62" i="310"/>
  <c r="L62" i="310"/>
  <c r="M61" i="310"/>
  <c r="L61" i="310"/>
  <c r="M60" i="310"/>
  <c r="L60" i="310"/>
  <c r="M59" i="310"/>
  <c r="L59" i="310"/>
  <c r="M58" i="310"/>
  <c r="L58" i="310"/>
  <c r="M57" i="310"/>
  <c r="L57" i="310"/>
  <c r="M56" i="310"/>
  <c r="L56" i="310"/>
  <c r="M55" i="310"/>
  <c r="L55" i="310"/>
  <c r="M54" i="310"/>
  <c r="L54" i="310"/>
  <c r="M53" i="310"/>
  <c r="L53" i="310"/>
  <c r="M52" i="310"/>
  <c r="L52" i="310"/>
  <c r="M51" i="310"/>
  <c r="L51" i="310"/>
  <c r="M50" i="310"/>
  <c r="L50" i="310"/>
  <c r="M49" i="310"/>
  <c r="L49" i="310"/>
  <c r="M45" i="310"/>
  <c r="L45" i="310"/>
  <c r="M43" i="310"/>
  <c r="L43" i="310"/>
  <c r="M42" i="310"/>
  <c r="L42" i="310"/>
  <c r="M41" i="310"/>
  <c r="L41" i="310"/>
  <c r="M39" i="310"/>
  <c r="L39" i="310"/>
  <c r="M37" i="310"/>
  <c r="L37" i="310"/>
  <c r="M35" i="310"/>
  <c r="L35" i="310"/>
  <c r="M34" i="310"/>
  <c r="L34" i="310"/>
  <c r="M33" i="310"/>
  <c r="L33" i="310"/>
  <c r="M31" i="310"/>
  <c r="L31" i="310"/>
  <c r="M29" i="310"/>
  <c r="L29" i="310"/>
  <c r="M28" i="310"/>
  <c r="L28" i="310"/>
  <c r="M27" i="310"/>
  <c r="L27" i="310"/>
  <c r="M25" i="310"/>
  <c r="L25" i="310"/>
  <c r="M23" i="310"/>
  <c r="L23" i="310"/>
  <c r="M22" i="310"/>
  <c r="L22" i="310"/>
  <c r="M21" i="310"/>
  <c r="L21" i="310"/>
  <c r="M19" i="310"/>
  <c r="L19" i="310"/>
  <c r="M17" i="310"/>
  <c r="L17" i="310"/>
  <c r="M16" i="310"/>
  <c r="L16" i="310"/>
  <c r="M15" i="310"/>
  <c r="L15" i="310"/>
  <c r="M14" i="310"/>
  <c r="L14" i="310"/>
  <c r="M13" i="310"/>
  <c r="L13" i="310"/>
  <c r="M12" i="310"/>
  <c r="L12" i="310"/>
  <c r="H71" i="310"/>
  <c r="H70" i="310"/>
  <c r="H69" i="310"/>
  <c r="H68" i="310"/>
  <c r="H67" i="310"/>
  <c r="H66" i="310"/>
  <c r="H65" i="310"/>
  <c r="H64" i="310"/>
  <c r="H63" i="310"/>
  <c r="H62" i="310"/>
  <c r="H61" i="310"/>
  <c r="H60" i="310"/>
  <c r="H59" i="310"/>
  <c r="H58" i="310"/>
  <c r="H57" i="310"/>
  <c r="H56" i="310"/>
  <c r="H55" i="310"/>
  <c r="H54" i="310"/>
  <c r="H53" i="310"/>
  <c r="H52" i="310"/>
  <c r="H51" i="310"/>
  <c r="H49" i="310"/>
  <c r="H45" i="310"/>
  <c r="H43" i="310"/>
  <c r="H42" i="310"/>
  <c r="H41" i="310"/>
  <c r="H40" i="310"/>
  <c r="H39" i="310"/>
  <c r="H38" i="310"/>
  <c r="H37" i="310"/>
  <c r="H36" i="310"/>
  <c r="H35" i="310"/>
  <c r="H34" i="310"/>
  <c r="H33" i="310"/>
  <c r="H32" i="310"/>
  <c r="H31" i="310"/>
  <c r="H30" i="310"/>
  <c r="H29" i="310"/>
  <c r="H28" i="310"/>
  <c r="H27" i="310"/>
  <c r="H26" i="310"/>
  <c r="H25" i="310"/>
  <c r="H24" i="310"/>
  <c r="H23" i="310"/>
  <c r="H22" i="310"/>
  <c r="H21" i="310"/>
  <c r="H20" i="310"/>
  <c r="H19" i="310"/>
  <c r="H18" i="310"/>
  <c r="H17" i="310"/>
  <c r="H16" i="310"/>
  <c r="H15" i="310"/>
  <c r="H14" i="310"/>
  <c r="H13" i="310"/>
  <c r="H12" i="310"/>
  <c r="M73" i="309"/>
  <c r="L73" i="309"/>
  <c r="M72" i="309"/>
  <c r="L72" i="309"/>
  <c r="M71" i="309"/>
  <c r="L71" i="309"/>
  <c r="M70" i="309"/>
  <c r="L70" i="309"/>
  <c r="M69" i="309"/>
  <c r="L69" i="309"/>
  <c r="M68" i="309"/>
  <c r="L68" i="309"/>
  <c r="M67" i="309"/>
  <c r="L67" i="309"/>
  <c r="M66" i="309"/>
  <c r="L66" i="309"/>
  <c r="M65" i="309"/>
  <c r="L65" i="309"/>
  <c r="M64" i="309"/>
  <c r="L64" i="309"/>
  <c r="M57" i="309"/>
  <c r="L57" i="309"/>
  <c r="M56" i="309"/>
  <c r="L56" i="309"/>
  <c r="M55" i="309"/>
  <c r="L55" i="309"/>
  <c r="M54" i="309"/>
  <c r="L54" i="309"/>
  <c r="M53" i="309"/>
  <c r="L53" i="309"/>
  <c r="M52" i="309"/>
  <c r="L52" i="309"/>
  <c r="M51" i="309"/>
  <c r="L51" i="309"/>
  <c r="M50" i="309"/>
  <c r="L50" i="309"/>
  <c r="M49" i="309"/>
  <c r="L49" i="309"/>
  <c r="M48" i="309"/>
  <c r="L48" i="309"/>
  <c r="M47" i="309"/>
  <c r="L47" i="309"/>
  <c r="M46" i="309"/>
  <c r="L46" i="309"/>
  <c r="M45" i="309"/>
  <c r="L45" i="309"/>
  <c r="M44" i="309"/>
  <c r="L44" i="309"/>
  <c r="M43" i="309"/>
  <c r="L43" i="309"/>
  <c r="M41" i="309"/>
  <c r="L41" i="309"/>
  <c r="M40" i="309"/>
  <c r="L40" i="309"/>
  <c r="M39" i="309"/>
  <c r="L39" i="309"/>
  <c r="M38" i="309"/>
  <c r="L38" i="309"/>
  <c r="M37" i="309"/>
  <c r="L37" i="309"/>
  <c r="M35" i="309"/>
  <c r="L35" i="309"/>
  <c r="M34" i="309"/>
  <c r="L34" i="309"/>
  <c r="M33" i="309"/>
  <c r="L33" i="309"/>
  <c r="M32" i="309"/>
  <c r="L32" i="309"/>
  <c r="M31" i="309"/>
  <c r="L31" i="309"/>
  <c r="M29" i="309"/>
  <c r="L29" i="309"/>
  <c r="M27" i="309"/>
  <c r="L27" i="309"/>
  <c r="M25" i="309"/>
  <c r="L25" i="309"/>
  <c r="M24" i="309"/>
  <c r="L24" i="309"/>
  <c r="M23" i="309"/>
  <c r="L23" i="309"/>
  <c r="M21" i="309"/>
  <c r="L21" i="309"/>
  <c r="M19" i="309"/>
  <c r="L19" i="309"/>
  <c r="M17" i="309"/>
  <c r="L17" i="309"/>
  <c r="M16" i="309"/>
  <c r="L16" i="309"/>
  <c r="M15" i="309"/>
  <c r="L15" i="309"/>
  <c r="M14" i="309"/>
  <c r="L14" i="309"/>
  <c r="M13" i="309"/>
  <c r="L13" i="309"/>
  <c r="M12" i="309"/>
  <c r="L12" i="309"/>
  <c r="H73" i="309"/>
  <c r="H72" i="309"/>
  <c r="H71" i="309"/>
  <c r="H70" i="309"/>
  <c r="H69" i="309"/>
  <c r="H68" i="309"/>
  <c r="H67" i="309"/>
  <c r="H66" i="309"/>
  <c r="H65" i="309"/>
  <c r="H64" i="309"/>
  <c r="H57" i="309"/>
  <c r="H56" i="309"/>
  <c r="H55" i="309"/>
  <c r="H54" i="309"/>
  <c r="H53" i="309"/>
  <c r="H52" i="309"/>
  <c r="H51" i="309"/>
  <c r="H50" i="309"/>
  <c r="H49" i="309"/>
  <c r="H48" i="309"/>
  <c r="H47" i="309"/>
  <c r="H46" i="309"/>
  <c r="H45" i="309"/>
  <c r="H44" i="309"/>
  <c r="H43" i="309"/>
  <c r="H42" i="309"/>
  <c r="H41" i="309"/>
  <c r="H40" i="309"/>
  <c r="H39" i="309"/>
  <c r="H38" i="309"/>
  <c r="H37" i="309"/>
  <c r="H36" i="309"/>
  <c r="H35" i="309"/>
  <c r="H34" i="309"/>
  <c r="H33" i="309"/>
  <c r="H32" i="309"/>
  <c r="H31" i="309"/>
  <c r="H30" i="309"/>
  <c r="H29" i="309"/>
  <c r="H28" i="309"/>
  <c r="H27" i="309"/>
  <c r="H26" i="309"/>
  <c r="H25" i="309"/>
  <c r="H24" i="309"/>
  <c r="H23" i="309"/>
  <c r="H22" i="309"/>
  <c r="H21" i="309"/>
  <c r="H20" i="309"/>
  <c r="H19" i="309"/>
  <c r="H18" i="309"/>
  <c r="H17" i="309"/>
  <c r="H16" i="309"/>
  <c r="H15" i="309"/>
  <c r="H14" i="309"/>
  <c r="H13" i="309"/>
  <c r="H12" i="309"/>
  <c r="M198" i="308"/>
  <c r="M197" i="308"/>
  <c r="L197" i="308"/>
  <c r="H197" i="308"/>
  <c r="M196" i="308"/>
  <c r="L196" i="308"/>
  <c r="H196" i="308"/>
  <c r="M195" i="308"/>
  <c r="L195" i="308"/>
  <c r="H195" i="308"/>
  <c r="M194" i="308"/>
  <c r="L194" i="308"/>
  <c r="H194" i="308"/>
  <c r="M193" i="308"/>
  <c r="L193" i="308"/>
  <c r="H193" i="308"/>
  <c r="M192" i="308"/>
  <c r="L192" i="308"/>
  <c r="H192" i="308"/>
  <c r="M191" i="308"/>
  <c r="L191" i="308"/>
  <c r="H191" i="308"/>
  <c r="M190" i="308"/>
  <c r="L190" i="308"/>
  <c r="H190" i="308"/>
  <c r="M189" i="308"/>
  <c r="L189" i="308"/>
  <c r="H189" i="308"/>
  <c r="M188" i="308"/>
  <c r="L188" i="308"/>
  <c r="H188" i="308"/>
  <c r="M187" i="308"/>
  <c r="L187" i="308"/>
  <c r="H187" i="308"/>
  <c r="M186" i="308"/>
  <c r="L186" i="308"/>
  <c r="H186" i="308"/>
  <c r="M185" i="308"/>
  <c r="L185" i="308"/>
  <c r="H185" i="308"/>
  <c r="M184" i="308"/>
  <c r="L184" i="308"/>
  <c r="H184" i="308"/>
  <c r="M183" i="308"/>
  <c r="L183" i="308"/>
  <c r="H183" i="308"/>
  <c r="M182" i="308"/>
  <c r="L182" i="308"/>
  <c r="H182" i="308"/>
  <c r="M181" i="308"/>
  <c r="L181" i="308"/>
  <c r="H181" i="308"/>
  <c r="M180" i="308"/>
  <c r="L180" i="308"/>
  <c r="H180" i="308"/>
  <c r="M179" i="308"/>
  <c r="L179" i="308"/>
  <c r="H179" i="308"/>
  <c r="M178" i="308"/>
  <c r="L178" i="308"/>
  <c r="H178" i="308"/>
  <c r="M177" i="308"/>
  <c r="L177" i="308"/>
  <c r="H177" i="308"/>
  <c r="M176" i="308"/>
  <c r="L176" i="308"/>
  <c r="H176" i="308"/>
  <c r="M175" i="308"/>
  <c r="L175" i="308"/>
  <c r="H175" i="308"/>
  <c r="M174" i="308"/>
  <c r="L174" i="308"/>
  <c r="H174" i="308"/>
  <c r="M173" i="308"/>
  <c r="L173" i="308"/>
  <c r="H173" i="308"/>
  <c r="M172" i="308"/>
  <c r="L172" i="308"/>
  <c r="H172" i="308"/>
  <c r="M171" i="308"/>
  <c r="L171" i="308"/>
  <c r="H171" i="308"/>
  <c r="M170" i="308"/>
  <c r="L170" i="308"/>
  <c r="H170" i="308"/>
  <c r="M169" i="308"/>
  <c r="L169" i="308"/>
  <c r="H169" i="308"/>
  <c r="M168" i="308"/>
  <c r="L168" i="308"/>
  <c r="H168" i="308"/>
  <c r="M167" i="308"/>
  <c r="L167" i="308"/>
  <c r="H167" i="308"/>
  <c r="M166" i="308"/>
  <c r="L166" i="308"/>
  <c r="H166" i="308"/>
  <c r="M165" i="308"/>
  <c r="L165" i="308"/>
  <c r="H165" i="308"/>
  <c r="M164" i="308"/>
  <c r="L164" i="308"/>
  <c r="H164" i="308"/>
  <c r="M163" i="308"/>
  <c r="L163" i="308"/>
  <c r="H163" i="308"/>
  <c r="M162" i="308"/>
  <c r="L162" i="308"/>
  <c r="H162" i="308"/>
  <c r="M161" i="308"/>
  <c r="L161" i="308"/>
  <c r="H161" i="308"/>
  <c r="M160" i="308"/>
  <c r="L160" i="308"/>
  <c r="H160" i="308"/>
  <c r="M159" i="308"/>
  <c r="L159" i="308"/>
  <c r="H159" i="308"/>
  <c r="M158" i="308"/>
  <c r="L158" i="308"/>
  <c r="H158" i="308"/>
  <c r="M157" i="308"/>
  <c r="L157" i="308"/>
  <c r="H157" i="308"/>
  <c r="M156" i="308"/>
  <c r="L156" i="308"/>
  <c r="H156" i="308"/>
  <c r="M155" i="308"/>
  <c r="L155" i="308"/>
  <c r="H155" i="308"/>
  <c r="M154" i="308"/>
  <c r="L154" i="308"/>
  <c r="H154" i="308"/>
  <c r="M153" i="308"/>
  <c r="L153" i="308"/>
  <c r="H153" i="308"/>
  <c r="M152" i="308"/>
  <c r="L152" i="308"/>
  <c r="H152" i="308"/>
  <c r="M151" i="308"/>
  <c r="L151" i="308"/>
  <c r="H151" i="308"/>
  <c r="M150" i="308"/>
  <c r="L150" i="308"/>
  <c r="H150" i="308"/>
  <c r="M149" i="308"/>
  <c r="L149" i="308"/>
  <c r="H149" i="308"/>
  <c r="M148" i="308"/>
  <c r="L148" i="308"/>
  <c r="H148" i="308"/>
  <c r="M147" i="308"/>
  <c r="L147" i="308"/>
  <c r="H147" i="308"/>
  <c r="M146" i="308"/>
  <c r="L146" i="308"/>
  <c r="H146" i="308"/>
  <c r="M145" i="308"/>
  <c r="L145" i="308"/>
  <c r="H145" i="308"/>
  <c r="M144" i="308"/>
  <c r="L144" i="308"/>
  <c r="H144" i="308"/>
  <c r="M143" i="308"/>
  <c r="L143" i="308"/>
  <c r="H143" i="308"/>
  <c r="M142" i="308"/>
  <c r="L142" i="308"/>
  <c r="H142" i="308"/>
  <c r="M141" i="308"/>
  <c r="L141" i="308"/>
  <c r="H141" i="308"/>
  <c r="M140" i="308"/>
  <c r="L140" i="308"/>
  <c r="H140" i="308"/>
  <c r="M139" i="308"/>
  <c r="L139" i="308"/>
  <c r="H139" i="308"/>
  <c r="M128" i="308"/>
  <c r="L128" i="308"/>
  <c r="H128" i="308"/>
  <c r="M127" i="308"/>
  <c r="L127" i="308"/>
  <c r="H127" i="308"/>
  <c r="M126" i="308"/>
  <c r="L126" i="308"/>
  <c r="H126" i="308"/>
  <c r="M125" i="308"/>
  <c r="L125" i="308"/>
  <c r="H125" i="308"/>
  <c r="M124" i="308"/>
  <c r="L124" i="308"/>
  <c r="H124" i="308"/>
  <c r="M123" i="308"/>
  <c r="L123" i="308"/>
  <c r="H123" i="308"/>
  <c r="M122" i="308"/>
  <c r="L122" i="308"/>
  <c r="H122" i="308"/>
  <c r="M121" i="308"/>
  <c r="L121" i="308"/>
  <c r="H121" i="308"/>
  <c r="M120" i="308"/>
  <c r="L120" i="308"/>
  <c r="H120" i="308"/>
  <c r="M119" i="308"/>
  <c r="L119" i="308"/>
  <c r="H119" i="308"/>
  <c r="M118" i="308"/>
  <c r="L118" i="308"/>
  <c r="H118" i="308"/>
  <c r="M117" i="308"/>
  <c r="L117" i="308"/>
  <c r="H117" i="308"/>
  <c r="M116" i="308"/>
  <c r="L116" i="308"/>
  <c r="H116" i="308"/>
  <c r="M115" i="308"/>
  <c r="L115" i="308"/>
  <c r="H115" i="308"/>
  <c r="M114" i="308"/>
  <c r="L114" i="308"/>
  <c r="H114" i="308"/>
  <c r="M113" i="308"/>
  <c r="L113" i="308"/>
  <c r="H113" i="308"/>
  <c r="M112" i="308"/>
  <c r="L112" i="308"/>
  <c r="H112" i="308"/>
  <c r="M111" i="308"/>
  <c r="L111" i="308"/>
  <c r="H111" i="308"/>
  <c r="M110" i="308"/>
  <c r="L110" i="308"/>
  <c r="H110" i="308"/>
  <c r="M109" i="308"/>
  <c r="L109" i="308"/>
  <c r="H109" i="308"/>
  <c r="M108" i="308"/>
  <c r="L108" i="308"/>
  <c r="H108" i="308"/>
  <c r="M107" i="308"/>
  <c r="L107" i="308"/>
  <c r="H107" i="308"/>
  <c r="M106" i="308"/>
  <c r="L106" i="308"/>
  <c r="H106" i="308"/>
  <c r="M105" i="308"/>
  <c r="L105" i="308"/>
  <c r="H105" i="308"/>
  <c r="M104" i="308"/>
  <c r="L104" i="308"/>
  <c r="H104" i="308"/>
  <c r="M103" i="308"/>
  <c r="L103" i="308"/>
  <c r="H103" i="308"/>
  <c r="M102" i="308"/>
  <c r="L102" i="308"/>
  <c r="H102" i="308"/>
  <c r="M101" i="308"/>
  <c r="L101" i="308"/>
  <c r="H101" i="308"/>
  <c r="M100" i="308"/>
  <c r="L100" i="308"/>
  <c r="H100" i="308"/>
  <c r="M99" i="308"/>
  <c r="L99" i="308"/>
  <c r="H99" i="308"/>
  <c r="M98" i="308"/>
  <c r="L98" i="308"/>
  <c r="H98" i="308"/>
  <c r="M97" i="308"/>
  <c r="L97" i="308"/>
  <c r="H97" i="308"/>
  <c r="M96" i="308"/>
  <c r="L96" i="308"/>
  <c r="H96" i="308"/>
  <c r="M95" i="308"/>
  <c r="L95" i="308"/>
  <c r="H95" i="308"/>
  <c r="M94" i="308"/>
  <c r="L94" i="308"/>
  <c r="H94" i="308"/>
  <c r="M93" i="308"/>
  <c r="L93" i="308"/>
  <c r="H93" i="308"/>
  <c r="M92" i="308"/>
  <c r="L92" i="308"/>
  <c r="H92" i="308"/>
  <c r="M91" i="308"/>
  <c r="L91" i="308"/>
  <c r="H91" i="308"/>
  <c r="M90" i="308"/>
  <c r="L90" i="308"/>
  <c r="H90" i="308"/>
  <c r="M89" i="308"/>
  <c r="L89" i="308"/>
  <c r="H89" i="308"/>
  <c r="M88" i="308"/>
  <c r="L88" i="308"/>
  <c r="H88" i="308"/>
  <c r="M87" i="308"/>
  <c r="L87" i="308"/>
  <c r="H87" i="308"/>
  <c r="M86" i="308"/>
  <c r="L86" i="308"/>
  <c r="H86" i="308"/>
  <c r="M85" i="308"/>
  <c r="L85" i="308"/>
  <c r="H85" i="308"/>
  <c r="M84" i="308"/>
  <c r="L84" i="308"/>
  <c r="H84" i="308"/>
  <c r="M83" i="308"/>
  <c r="L83" i="308"/>
  <c r="H83" i="308"/>
  <c r="M82" i="308"/>
  <c r="L82" i="308"/>
  <c r="H82" i="308"/>
  <c r="M81" i="308"/>
  <c r="L81" i="308"/>
  <c r="H81" i="308"/>
  <c r="M80" i="308"/>
  <c r="L80" i="308"/>
  <c r="H80" i="308"/>
  <c r="M79" i="308"/>
  <c r="L79" i="308"/>
  <c r="H79" i="308"/>
  <c r="M78" i="308"/>
  <c r="L78" i="308"/>
  <c r="H78" i="308"/>
  <c r="M77" i="308"/>
  <c r="L77" i="308"/>
  <c r="H77" i="308"/>
  <c r="M75" i="308"/>
  <c r="L75" i="308"/>
  <c r="H75" i="308"/>
  <c r="M74" i="308"/>
  <c r="L74" i="308"/>
  <c r="H74" i="308"/>
  <c r="M63" i="308"/>
  <c r="L63" i="308"/>
  <c r="M62" i="308"/>
  <c r="L62" i="308"/>
  <c r="M61" i="308"/>
  <c r="L61" i="308"/>
  <c r="M60" i="308"/>
  <c r="L60" i="308"/>
  <c r="M59" i="308"/>
  <c r="L59" i="308"/>
  <c r="M58" i="308"/>
  <c r="L58" i="308"/>
  <c r="M57" i="308"/>
  <c r="L57" i="308"/>
  <c r="M56" i="308"/>
  <c r="L56" i="308"/>
  <c r="M55" i="308"/>
  <c r="L55" i="308"/>
  <c r="M53" i="308"/>
  <c r="L53" i="308"/>
  <c r="M51" i="308"/>
  <c r="L51" i="308"/>
  <c r="M49" i="308"/>
  <c r="L49" i="308"/>
  <c r="M47" i="308"/>
  <c r="L47" i="308"/>
  <c r="M46" i="308"/>
  <c r="L46" i="308"/>
  <c r="M45" i="308"/>
  <c r="L45" i="308"/>
  <c r="M43" i="308"/>
  <c r="L43" i="308"/>
  <c r="M41" i="308"/>
  <c r="L41" i="308"/>
  <c r="M39" i="308"/>
  <c r="L39" i="308"/>
  <c r="M37" i="308"/>
  <c r="L37" i="308"/>
  <c r="M36" i="308"/>
  <c r="L36" i="308"/>
  <c r="M33" i="308"/>
  <c r="L33" i="308"/>
  <c r="M31" i="308"/>
  <c r="L31" i="308"/>
  <c r="M30" i="308"/>
  <c r="L30" i="308"/>
  <c r="M29" i="308"/>
  <c r="L29" i="308"/>
  <c r="M27" i="308"/>
  <c r="L27" i="308"/>
  <c r="M25" i="308"/>
  <c r="L25" i="308"/>
  <c r="M17" i="308"/>
  <c r="L17" i="308"/>
  <c r="M16" i="308"/>
  <c r="L16" i="308"/>
  <c r="M15" i="308"/>
  <c r="L15" i="308"/>
  <c r="M14" i="308"/>
  <c r="L14" i="308"/>
  <c r="M13" i="308"/>
  <c r="L13" i="308"/>
  <c r="M12" i="308"/>
  <c r="L12" i="308"/>
  <c r="H63" i="308"/>
  <c r="H62" i="308"/>
  <c r="H61" i="308"/>
  <c r="H60" i="308"/>
  <c r="H59" i="308"/>
  <c r="H58" i="308"/>
  <c r="H57" i="308"/>
  <c r="H56" i="308"/>
  <c r="H55" i="308"/>
  <c r="H54" i="308"/>
  <c r="H53" i="308"/>
  <c r="H52" i="308"/>
  <c r="H51" i="308"/>
  <c r="H50" i="308"/>
  <c r="H49" i="308"/>
  <c r="H48" i="308"/>
  <c r="H47" i="308"/>
  <c r="H46" i="308"/>
  <c r="H45" i="308"/>
  <c r="H44" i="308"/>
  <c r="H43" i="308"/>
  <c r="H42" i="308"/>
  <c r="H41" i="308"/>
  <c r="H40" i="308"/>
  <c r="H39" i="308"/>
  <c r="H38" i="308"/>
  <c r="H37" i="308"/>
  <c r="H36" i="308"/>
  <c r="H33" i="308"/>
  <c r="H32" i="308"/>
  <c r="H31" i="308"/>
  <c r="H30" i="308"/>
  <c r="H29" i="308"/>
  <c r="H28" i="308"/>
  <c r="H27" i="308"/>
  <c r="H26" i="308"/>
  <c r="H25" i="308"/>
  <c r="H24" i="308"/>
  <c r="H17" i="308"/>
  <c r="H16" i="308"/>
  <c r="H15" i="308"/>
  <c r="H14" i="308"/>
  <c r="H13" i="308"/>
  <c r="H12" i="308"/>
  <c r="L32" i="308"/>
  <c r="L75" i="300"/>
  <c r="K75" i="300"/>
  <c r="L74" i="300"/>
  <c r="K74" i="300"/>
  <c r="L73" i="300"/>
  <c r="K73" i="300"/>
  <c r="L72" i="300"/>
  <c r="K72" i="300"/>
  <c r="L71" i="300"/>
  <c r="K71" i="300"/>
  <c r="L70" i="300"/>
  <c r="K70" i="300"/>
  <c r="L69" i="300"/>
  <c r="K69" i="300"/>
  <c r="L68" i="300"/>
  <c r="K68" i="300"/>
  <c r="L67" i="300"/>
  <c r="K67" i="300"/>
  <c r="L66" i="300"/>
  <c r="K66" i="300"/>
  <c r="L65" i="300"/>
  <c r="K65" i="300"/>
  <c r="L64" i="300"/>
  <c r="K64" i="300"/>
  <c r="L63" i="300"/>
  <c r="K63" i="300"/>
  <c r="L62" i="300"/>
  <c r="K62" i="300"/>
  <c r="L61" i="300"/>
  <c r="K61" i="300"/>
  <c r="L60" i="300"/>
  <c r="K60" i="300"/>
  <c r="L59" i="300"/>
  <c r="K59" i="300"/>
  <c r="L58" i="300"/>
  <c r="K58" i="300"/>
  <c r="L57" i="300"/>
  <c r="K57" i="300"/>
  <c r="L56" i="300"/>
  <c r="K56" i="300"/>
  <c r="L55" i="300"/>
  <c r="K55" i="300"/>
  <c r="L54" i="300"/>
  <c r="K54" i="300"/>
  <c r="L53" i="300"/>
  <c r="K53" i="300"/>
  <c r="L52" i="300"/>
  <c r="K52" i="300"/>
  <c r="L51" i="300"/>
  <c r="K51" i="300"/>
  <c r="L50" i="300"/>
  <c r="K50" i="300"/>
  <c r="L49" i="300"/>
  <c r="K49" i="300"/>
  <c r="L48" i="300"/>
  <c r="K48" i="300"/>
  <c r="L47" i="300"/>
  <c r="K47" i="300"/>
  <c r="L46" i="300"/>
  <c r="K46" i="300"/>
  <c r="L45" i="300"/>
  <c r="K45" i="300"/>
  <c r="L44" i="300"/>
  <c r="K44" i="300"/>
  <c r="L43" i="300"/>
  <c r="K43" i="300"/>
  <c r="L42" i="300"/>
  <c r="K42" i="300"/>
  <c r="L41" i="300"/>
  <c r="K41" i="300"/>
  <c r="L40" i="300"/>
  <c r="K40" i="300"/>
  <c r="L39" i="300"/>
  <c r="K39" i="300"/>
  <c r="L38" i="300"/>
  <c r="K38" i="300"/>
  <c r="L37" i="300"/>
  <c r="K37" i="300"/>
  <c r="L36" i="300"/>
  <c r="K36" i="300"/>
  <c r="L35" i="300"/>
  <c r="K35" i="300"/>
  <c r="L34" i="300"/>
  <c r="K34" i="300"/>
  <c r="L33" i="300"/>
  <c r="K33" i="300"/>
  <c r="L32" i="300"/>
  <c r="K32" i="300"/>
  <c r="L31" i="300"/>
  <c r="K31" i="300"/>
  <c r="L30" i="300"/>
  <c r="K30" i="300"/>
  <c r="L29" i="300"/>
  <c r="K29" i="300"/>
  <c r="L28" i="300"/>
  <c r="K28" i="300"/>
  <c r="L27" i="300"/>
  <c r="K27" i="300"/>
  <c r="L26" i="300"/>
  <c r="K26" i="300"/>
  <c r="L25" i="300"/>
  <c r="K25" i="300"/>
  <c r="L24" i="300"/>
  <c r="K24" i="300"/>
  <c r="L23" i="300"/>
  <c r="K23" i="300"/>
  <c r="L22" i="300"/>
  <c r="K22" i="300"/>
  <c r="L21" i="300"/>
  <c r="K21" i="300"/>
  <c r="L20" i="300"/>
  <c r="K20" i="300"/>
  <c r="L19" i="300"/>
  <c r="K19" i="300"/>
  <c r="L18" i="300"/>
  <c r="K18" i="300"/>
  <c r="L17" i="300"/>
  <c r="K17" i="300"/>
  <c r="L16" i="300"/>
  <c r="K16" i="300"/>
  <c r="L15" i="300"/>
  <c r="K15" i="300"/>
  <c r="L14" i="300"/>
  <c r="K14" i="300"/>
  <c r="L13" i="300"/>
  <c r="K13" i="300"/>
  <c r="L12" i="300"/>
  <c r="K12" i="300"/>
  <c r="G75" i="300"/>
  <c r="G74" i="300"/>
  <c r="G73" i="300"/>
  <c r="G72" i="300"/>
  <c r="G71" i="300"/>
  <c r="G70" i="300"/>
  <c r="G69" i="300"/>
  <c r="G68" i="300"/>
  <c r="G67" i="300"/>
  <c r="G66" i="300"/>
  <c r="G65" i="300"/>
  <c r="G64" i="300"/>
  <c r="G63" i="300"/>
  <c r="G62" i="300"/>
  <c r="G61" i="300"/>
  <c r="G60" i="300"/>
  <c r="G59" i="300"/>
  <c r="G58" i="300"/>
  <c r="G57" i="300"/>
  <c r="G56" i="300"/>
  <c r="G55" i="300"/>
  <c r="G54" i="300"/>
  <c r="G53" i="300"/>
  <c r="G52" i="300"/>
  <c r="G51" i="300"/>
  <c r="G50" i="300"/>
  <c r="G49" i="300"/>
  <c r="G48" i="300"/>
  <c r="G47" i="300"/>
  <c r="G46" i="300"/>
  <c r="G45" i="300"/>
  <c r="G44" i="300"/>
  <c r="G43" i="300"/>
  <c r="G42" i="300"/>
  <c r="G41" i="300"/>
  <c r="G40" i="300"/>
  <c r="G39" i="300"/>
  <c r="G38" i="300"/>
  <c r="G37" i="300"/>
  <c r="G36" i="300"/>
  <c r="G35" i="300"/>
  <c r="G34" i="300"/>
  <c r="G33" i="300"/>
  <c r="G32" i="300"/>
  <c r="G31" i="300"/>
  <c r="G30" i="300"/>
  <c r="G29" i="300"/>
  <c r="G28" i="300"/>
  <c r="G27" i="300"/>
  <c r="G26" i="300"/>
  <c r="G25" i="300"/>
  <c r="G24" i="300"/>
  <c r="G23" i="300"/>
  <c r="G22" i="300"/>
  <c r="G21" i="300"/>
  <c r="G20" i="300"/>
  <c r="G19" i="300"/>
  <c r="G18" i="300"/>
  <c r="G17" i="300"/>
  <c r="G16" i="300"/>
  <c r="G15" i="300"/>
  <c r="G14" i="300"/>
  <c r="G13" i="300"/>
  <c r="G12" i="300"/>
  <c r="L210" i="299"/>
  <c r="K210" i="299"/>
  <c r="G210" i="299"/>
  <c r="L209" i="299"/>
  <c r="K209" i="299"/>
  <c r="G209" i="299"/>
  <c r="L208" i="299"/>
  <c r="K208" i="299"/>
  <c r="G208" i="299"/>
  <c r="L207" i="299"/>
  <c r="K207" i="299"/>
  <c r="G207" i="299"/>
  <c r="L206" i="299"/>
  <c r="K206" i="299"/>
  <c r="G206" i="299"/>
  <c r="L205" i="299"/>
  <c r="K205" i="299"/>
  <c r="G205" i="299"/>
  <c r="L204" i="299"/>
  <c r="K204" i="299"/>
  <c r="G204" i="299"/>
  <c r="L203" i="299"/>
  <c r="K203" i="299"/>
  <c r="G203" i="299"/>
  <c r="L202" i="299"/>
  <c r="K202" i="299"/>
  <c r="G202" i="299"/>
  <c r="L201" i="299"/>
  <c r="K201" i="299"/>
  <c r="G201" i="299"/>
  <c r="L200" i="299"/>
  <c r="K200" i="299"/>
  <c r="G200" i="299"/>
  <c r="L199" i="299"/>
  <c r="K199" i="299"/>
  <c r="G199" i="299"/>
  <c r="L198" i="299"/>
  <c r="K198" i="299"/>
  <c r="G198" i="299"/>
  <c r="L197" i="299"/>
  <c r="K197" i="299"/>
  <c r="G197" i="299"/>
  <c r="L196" i="299"/>
  <c r="K196" i="299"/>
  <c r="G196" i="299"/>
  <c r="L195" i="299"/>
  <c r="K195" i="299"/>
  <c r="G195" i="299"/>
  <c r="L194" i="299"/>
  <c r="K194" i="299"/>
  <c r="G194" i="299"/>
  <c r="L193" i="299"/>
  <c r="K193" i="299"/>
  <c r="G193" i="299"/>
  <c r="L192" i="299"/>
  <c r="K192" i="299"/>
  <c r="G192" i="299"/>
  <c r="L191" i="299"/>
  <c r="K191" i="299"/>
  <c r="G191" i="299"/>
  <c r="L190" i="299"/>
  <c r="K190" i="299"/>
  <c r="G190" i="299"/>
  <c r="L189" i="299"/>
  <c r="K189" i="299"/>
  <c r="G189" i="299"/>
  <c r="L188" i="299"/>
  <c r="K188" i="299"/>
  <c r="G188" i="299"/>
  <c r="L187" i="299"/>
  <c r="K187" i="299"/>
  <c r="G187" i="299"/>
  <c r="L186" i="299"/>
  <c r="K186" i="299"/>
  <c r="G186" i="299"/>
  <c r="L185" i="299"/>
  <c r="K185" i="299"/>
  <c r="G185" i="299"/>
  <c r="L184" i="299"/>
  <c r="K184" i="299"/>
  <c r="G184" i="299"/>
  <c r="L183" i="299"/>
  <c r="K183" i="299"/>
  <c r="G183" i="299"/>
  <c r="L182" i="299"/>
  <c r="K182" i="299"/>
  <c r="G182" i="299"/>
  <c r="L181" i="299"/>
  <c r="K181" i="299"/>
  <c r="G181" i="299"/>
  <c r="L180" i="299"/>
  <c r="K180" i="299"/>
  <c r="G180" i="299"/>
  <c r="L179" i="299"/>
  <c r="K179" i="299"/>
  <c r="G179" i="299"/>
  <c r="L178" i="299"/>
  <c r="K178" i="299"/>
  <c r="G178" i="299"/>
  <c r="L177" i="299"/>
  <c r="K177" i="299"/>
  <c r="G177" i="299"/>
  <c r="L176" i="299"/>
  <c r="K176" i="299"/>
  <c r="G176" i="299"/>
  <c r="L175" i="299"/>
  <c r="K175" i="299"/>
  <c r="G175" i="299"/>
  <c r="L174" i="299"/>
  <c r="K174" i="299"/>
  <c r="G174" i="299"/>
  <c r="L173" i="299"/>
  <c r="K173" i="299"/>
  <c r="G173" i="299"/>
  <c r="L172" i="299"/>
  <c r="K172" i="299"/>
  <c r="G172" i="299"/>
  <c r="L171" i="299"/>
  <c r="K171" i="299"/>
  <c r="G171" i="299"/>
  <c r="L170" i="299"/>
  <c r="K170" i="299"/>
  <c r="G170" i="299"/>
  <c r="L169" i="299"/>
  <c r="K169" i="299"/>
  <c r="G169" i="299"/>
  <c r="L168" i="299"/>
  <c r="K168" i="299"/>
  <c r="G168" i="299"/>
  <c r="L167" i="299"/>
  <c r="K167" i="299"/>
  <c r="G167" i="299"/>
  <c r="L166" i="299"/>
  <c r="K166" i="299"/>
  <c r="G166" i="299"/>
  <c r="L165" i="299"/>
  <c r="K165" i="299"/>
  <c r="G165" i="299"/>
  <c r="L164" i="299"/>
  <c r="K164" i="299"/>
  <c r="G164" i="299"/>
  <c r="L163" i="299"/>
  <c r="K163" i="299"/>
  <c r="G163" i="299"/>
  <c r="L162" i="299"/>
  <c r="K162" i="299"/>
  <c r="G162" i="299"/>
  <c r="L161" i="299"/>
  <c r="K161" i="299"/>
  <c r="G161" i="299"/>
  <c r="L160" i="299"/>
  <c r="K160" i="299"/>
  <c r="G160" i="299"/>
  <c r="L159" i="299"/>
  <c r="K159" i="299"/>
  <c r="G159" i="299"/>
  <c r="L158" i="299"/>
  <c r="K158" i="299"/>
  <c r="G158" i="299"/>
  <c r="L157" i="299"/>
  <c r="K157" i="299"/>
  <c r="G157" i="299"/>
  <c r="L156" i="299"/>
  <c r="K156" i="299"/>
  <c r="G156" i="299"/>
  <c r="L154" i="299"/>
  <c r="K154" i="299"/>
  <c r="G154" i="299"/>
  <c r="L153" i="299"/>
  <c r="K153" i="299"/>
  <c r="G153" i="299"/>
  <c r="L142" i="299"/>
  <c r="K142" i="299"/>
  <c r="G142" i="299"/>
  <c r="L141" i="299"/>
  <c r="K141" i="299"/>
  <c r="G141" i="299"/>
  <c r="L140" i="299"/>
  <c r="K140" i="299"/>
  <c r="G140" i="299"/>
  <c r="L139" i="299"/>
  <c r="K139" i="299"/>
  <c r="G139" i="299"/>
  <c r="L138" i="299"/>
  <c r="K138" i="299"/>
  <c r="G138" i="299"/>
  <c r="L137" i="299"/>
  <c r="K137" i="299"/>
  <c r="G137" i="299"/>
  <c r="L136" i="299"/>
  <c r="K136" i="299"/>
  <c r="G136" i="299"/>
  <c r="L135" i="299"/>
  <c r="K135" i="299"/>
  <c r="G135" i="299"/>
  <c r="L134" i="299"/>
  <c r="K134" i="299"/>
  <c r="G134" i="299"/>
  <c r="L133" i="299"/>
  <c r="K133" i="299"/>
  <c r="G133" i="299"/>
  <c r="L132" i="299"/>
  <c r="K132" i="299"/>
  <c r="G132" i="299"/>
  <c r="L131" i="299"/>
  <c r="K131" i="299"/>
  <c r="G131" i="299"/>
  <c r="L130" i="299"/>
  <c r="K130" i="299"/>
  <c r="G130" i="299"/>
  <c r="L129" i="299"/>
  <c r="K129" i="299"/>
  <c r="G129" i="299"/>
  <c r="L128" i="299"/>
  <c r="K128" i="299"/>
  <c r="G128" i="299"/>
  <c r="L127" i="299"/>
  <c r="K127" i="299"/>
  <c r="G127" i="299"/>
  <c r="L126" i="299"/>
  <c r="K126" i="299"/>
  <c r="G126" i="299"/>
  <c r="L125" i="299"/>
  <c r="K125" i="299"/>
  <c r="G125" i="299"/>
  <c r="L124" i="299"/>
  <c r="K124" i="299"/>
  <c r="G124" i="299"/>
  <c r="L123" i="299"/>
  <c r="K123" i="299"/>
  <c r="G123" i="299"/>
  <c r="L122" i="299"/>
  <c r="K122" i="299"/>
  <c r="G122" i="299"/>
  <c r="L121" i="299"/>
  <c r="K121" i="299"/>
  <c r="G121" i="299"/>
  <c r="L120" i="299"/>
  <c r="K120" i="299"/>
  <c r="G120" i="299"/>
  <c r="L119" i="299"/>
  <c r="K119" i="299"/>
  <c r="G119" i="299"/>
  <c r="L118" i="299"/>
  <c r="K118" i="299"/>
  <c r="G118" i="299"/>
  <c r="L117" i="299"/>
  <c r="K117" i="299"/>
  <c r="G117" i="299"/>
  <c r="L116" i="299"/>
  <c r="K116" i="299"/>
  <c r="G116" i="299"/>
  <c r="L115" i="299"/>
  <c r="K115" i="299"/>
  <c r="G115" i="299"/>
  <c r="L114" i="299"/>
  <c r="K114" i="299"/>
  <c r="G114" i="299"/>
  <c r="L113" i="299"/>
  <c r="K113" i="299"/>
  <c r="G113" i="299"/>
  <c r="L112" i="299"/>
  <c r="K112" i="299"/>
  <c r="G112" i="299"/>
  <c r="L111" i="299"/>
  <c r="K111" i="299"/>
  <c r="G111" i="299"/>
  <c r="L110" i="299"/>
  <c r="K110" i="299"/>
  <c r="G110" i="299"/>
  <c r="L109" i="299"/>
  <c r="K109" i="299"/>
  <c r="G109" i="299"/>
  <c r="L108" i="299"/>
  <c r="K108" i="299"/>
  <c r="G108" i="299"/>
  <c r="L107" i="299"/>
  <c r="K107" i="299"/>
  <c r="G107" i="299"/>
  <c r="L106" i="299"/>
  <c r="K106" i="299"/>
  <c r="G106" i="299"/>
  <c r="L105" i="299"/>
  <c r="K105" i="299"/>
  <c r="G105" i="299"/>
  <c r="L104" i="299"/>
  <c r="K104" i="299"/>
  <c r="G104" i="299"/>
  <c r="L103" i="299"/>
  <c r="K103" i="299"/>
  <c r="G103" i="299"/>
  <c r="L102" i="299"/>
  <c r="K102" i="299"/>
  <c r="G102" i="299"/>
  <c r="L101" i="299"/>
  <c r="K101" i="299"/>
  <c r="G101" i="299"/>
  <c r="L100" i="299"/>
  <c r="K100" i="299"/>
  <c r="G100" i="299"/>
  <c r="L99" i="299"/>
  <c r="K99" i="299"/>
  <c r="G99" i="299"/>
  <c r="L98" i="299"/>
  <c r="K98" i="299"/>
  <c r="G98" i="299"/>
  <c r="L97" i="299"/>
  <c r="K97" i="299"/>
  <c r="G97" i="299"/>
  <c r="L96" i="299"/>
  <c r="K96" i="299"/>
  <c r="G96" i="299"/>
  <c r="L95" i="299"/>
  <c r="K95" i="299"/>
  <c r="G95" i="299"/>
  <c r="L94" i="299"/>
  <c r="K94" i="299"/>
  <c r="G94" i="299"/>
  <c r="L93" i="299"/>
  <c r="K93" i="299"/>
  <c r="G93" i="299"/>
  <c r="L92" i="299"/>
  <c r="K92" i="299"/>
  <c r="G92" i="299"/>
  <c r="L91" i="299"/>
  <c r="K91" i="299"/>
  <c r="G91" i="299"/>
  <c r="L90" i="299"/>
  <c r="K90" i="299"/>
  <c r="G90" i="299"/>
  <c r="L89" i="299"/>
  <c r="K89" i="299"/>
  <c r="G89" i="299"/>
  <c r="L88" i="299"/>
  <c r="K88" i="299"/>
  <c r="G88" i="299"/>
  <c r="L87" i="299"/>
  <c r="K87" i="299"/>
  <c r="G87" i="299"/>
  <c r="L86" i="299"/>
  <c r="K86" i="299"/>
  <c r="G86" i="299"/>
  <c r="L85" i="299"/>
  <c r="K85" i="299"/>
  <c r="G85" i="299"/>
  <c r="L84" i="299"/>
  <c r="K84" i="299"/>
  <c r="G84" i="299"/>
  <c r="L83" i="299"/>
  <c r="K83" i="299"/>
  <c r="G83" i="299"/>
  <c r="L71" i="299"/>
  <c r="K71" i="299"/>
  <c r="L70" i="299"/>
  <c r="K70" i="299"/>
  <c r="L69" i="299"/>
  <c r="K69" i="299"/>
  <c r="L68" i="299"/>
  <c r="K68" i="299"/>
  <c r="L67" i="299"/>
  <c r="K67" i="299"/>
  <c r="L66" i="299"/>
  <c r="K66" i="299"/>
  <c r="L65" i="299"/>
  <c r="K65" i="299"/>
  <c r="L64" i="299"/>
  <c r="K64" i="299"/>
  <c r="L63" i="299"/>
  <c r="K63" i="299"/>
  <c r="L62" i="299"/>
  <c r="K62" i="299"/>
  <c r="L61" i="299"/>
  <c r="K61" i="299"/>
  <c r="L60" i="299"/>
  <c r="K60" i="299"/>
  <c r="L59" i="299"/>
  <c r="K59" i="299"/>
  <c r="L58" i="299"/>
  <c r="K58" i="299"/>
  <c r="L57" i="299"/>
  <c r="K57" i="299"/>
  <c r="L56" i="299"/>
  <c r="K56" i="299"/>
  <c r="L55" i="299"/>
  <c r="K55" i="299"/>
  <c r="L54" i="299"/>
  <c r="K54" i="299"/>
  <c r="L53" i="299"/>
  <c r="K53" i="299"/>
  <c r="L52" i="299"/>
  <c r="K52" i="299"/>
  <c r="L51" i="299"/>
  <c r="K51" i="299"/>
  <c r="L50" i="299"/>
  <c r="K50" i="299"/>
  <c r="L49" i="299"/>
  <c r="K49" i="299"/>
  <c r="L48" i="299"/>
  <c r="K48" i="299"/>
  <c r="L47" i="299"/>
  <c r="K47" i="299"/>
  <c r="L46" i="299"/>
  <c r="K46" i="299"/>
  <c r="L45" i="299"/>
  <c r="K45" i="299"/>
  <c r="L44" i="299"/>
  <c r="K44" i="299"/>
  <c r="L43" i="299"/>
  <c r="K43" i="299"/>
  <c r="L42" i="299"/>
  <c r="K42" i="299"/>
  <c r="L41" i="299"/>
  <c r="K41" i="299"/>
  <c r="L40" i="299"/>
  <c r="K40" i="299"/>
  <c r="L39" i="299"/>
  <c r="K39" i="299"/>
  <c r="L38" i="299"/>
  <c r="K38" i="299"/>
  <c r="L37" i="299"/>
  <c r="K37" i="299"/>
  <c r="L36" i="299"/>
  <c r="K36" i="299"/>
  <c r="L35" i="299"/>
  <c r="K35" i="299"/>
  <c r="L34" i="299"/>
  <c r="K34" i="299"/>
  <c r="L33" i="299"/>
  <c r="K33" i="299"/>
  <c r="K32" i="299"/>
  <c r="L31" i="299"/>
  <c r="K31" i="299"/>
  <c r="L30" i="299"/>
  <c r="K30" i="299"/>
  <c r="L29" i="299"/>
  <c r="K29" i="299"/>
  <c r="L28" i="299"/>
  <c r="K28" i="299"/>
  <c r="L27" i="299"/>
  <c r="K27" i="299"/>
  <c r="L26" i="299"/>
  <c r="K26" i="299"/>
  <c r="L25" i="299"/>
  <c r="K25" i="299"/>
  <c r="L24" i="299"/>
  <c r="K24" i="299"/>
  <c r="L23" i="299"/>
  <c r="K23" i="299"/>
  <c r="L22" i="299"/>
  <c r="K22" i="299"/>
  <c r="L21" i="299"/>
  <c r="K21" i="299"/>
  <c r="L20" i="299"/>
  <c r="K20" i="299"/>
  <c r="L19" i="299"/>
  <c r="K19" i="299"/>
  <c r="L18" i="299"/>
  <c r="K18" i="299"/>
  <c r="L17" i="299"/>
  <c r="K17" i="299"/>
  <c r="L16" i="299"/>
  <c r="K16" i="299"/>
  <c r="L15" i="299"/>
  <c r="K15" i="299"/>
  <c r="L14" i="299"/>
  <c r="K14" i="299"/>
  <c r="L13" i="299"/>
  <c r="K13" i="299"/>
  <c r="L12" i="299"/>
  <c r="K12" i="299"/>
  <c r="G71" i="299"/>
  <c r="G70" i="299"/>
  <c r="G69" i="299"/>
  <c r="G68" i="299"/>
  <c r="G67" i="299"/>
  <c r="G66" i="299"/>
  <c r="G65" i="299"/>
  <c r="G64" i="299"/>
  <c r="G63" i="299"/>
  <c r="G62" i="299"/>
  <c r="G61" i="299"/>
  <c r="G60" i="299"/>
  <c r="G59" i="299"/>
  <c r="G58" i="299"/>
  <c r="G57" i="299"/>
  <c r="G56" i="299"/>
  <c r="G55" i="299"/>
  <c r="G54" i="299"/>
  <c r="G53" i="299"/>
  <c r="G52" i="299"/>
  <c r="G51" i="299"/>
  <c r="G50" i="299"/>
  <c r="G49" i="299"/>
  <c r="G48" i="299"/>
  <c r="G47" i="299"/>
  <c r="G46" i="299"/>
  <c r="G45" i="299"/>
  <c r="G44" i="299"/>
  <c r="G43" i="299"/>
  <c r="G42" i="299"/>
  <c r="G41" i="299"/>
  <c r="G40" i="299"/>
  <c r="G39" i="299"/>
  <c r="G38" i="299"/>
  <c r="G37" i="299"/>
  <c r="G36" i="299"/>
  <c r="G35" i="299"/>
  <c r="G34" i="299"/>
  <c r="G33" i="299"/>
  <c r="G32" i="299"/>
  <c r="G31" i="299"/>
  <c r="G30" i="299"/>
  <c r="G29" i="299"/>
  <c r="G28" i="299"/>
  <c r="G27" i="299"/>
  <c r="G26" i="299"/>
  <c r="G25" i="299"/>
  <c r="G23" i="299"/>
  <c r="G22" i="299"/>
  <c r="G21" i="299"/>
  <c r="G20" i="299"/>
  <c r="G19" i="299"/>
  <c r="G17" i="299"/>
  <c r="G15" i="299"/>
  <c r="G14" i="299"/>
  <c r="G13" i="299"/>
  <c r="G12" i="299"/>
  <c r="M136" i="296"/>
  <c r="L136" i="296"/>
  <c r="H136" i="296"/>
  <c r="M135" i="296"/>
  <c r="L135" i="296"/>
  <c r="H135" i="296"/>
  <c r="M134" i="296"/>
  <c r="L134" i="296"/>
  <c r="H134" i="296"/>
  <c r="M133" i="296"/>
  <c r="L133" i="296"/>
  <c r="H133" i="296"/>
  <c r="M132" i="296"/>
  <c r="L132" i="296"/>
  <c r="H132" i="296"/>
  <c r="M131" i="296"/>
  <c r="L131" i="296"/>
  <c r="H131" i="296"/>
  <c r="M130" i="296"/>
  <c r="L130" i="296"/>
  <c r="H130" i="296"/>
  <c r="M129" i="296"/>
  <c r="L129" i="296"/>
  <c r="H129" i="296"/>
  <c r="M128" i="296"/>
  <c r="L128" i="296"/>
  <c r="H128" i="296"/>
  <c r="M127" i="296"/>
  <c r="L127" i="296"/>
  <c r="H127" i="296"/>
  <c r="M126" i="296"/>
  <c r="L126" i="296"/>
  <c r="H126" i="296"/>
  <c r="M125" i="296"/>
  <c r="L125" i="296"/>
  <c r="H125" i="296"/>
  <c r="M124" i="296"/>
  <c r="L124" i="296"/>
  <c r="H124" i="296"/>
  <c r="M123" i="296"/>
  <c r="L123" i="296"/>
  <c r="H123" i="296"/>
  <c r="M122" i="296"/>
  <c r="L122" i="296"/>
  <c r="H122" i="296"/>
  <c r="M121" i="296"/>
  <c r="L121" i="296"/>
  <c r="H121" i="296"/>
  <c r="M120" i="296"/>
  <c r="L120" i="296"/>
  <c r="H120" i="296"/>
  <c r="M119" i="296"/>
  <c r="L119" i="296"/>
  <c r="H119" i="296"/>
  <c r="M118" i="296"/>
  <c r="L118" i="296"/>
  <c r="H118" i="296"/>
  <c r="M117" i="296"/>
  <c r="L117" i="296"/>
  <c r="H117" i="296"/>
  <c r="M116" i="296"/>
  <c r="L116" i="296"/>
  <c r="H116" i="296"/>
  <c r="M115" i="296"/>
  <c r="L115" i="296"/>
  <c r="H115" i="296"/>
  <c r="M114" i="296"/>
  <c r="L114" i="296"/>
  <c r="H114" i="296"/>
  <c r="M113" i="296"/>
  <c r="L113" i="296"/>
  <c r="H113" i="296"/>
  <c r="M112" i="296"/>
  <c r="L112" i="296"/>
  <c r="H112" i="296"/>
  <c r="M111" i="296"/>
  <c r="L111" i="296"/>
  <c r="H111" i="296"/>
  <c r="M110" i="296"/>
  <c r="L110" i="296"/>
  <c r="H110" i="296"/>
  <c r="M109" i="296"/>
  <c r="L109" i="296"/>
  <c r="H109" i="296"/>
  <c r="M108" i="296"/>
  <c r="L108" i="296"/>
  <c r="H108" i="296"/>
  <c r="M107" i="296"/>
  <c r="L107" i="296"/>
  <c r="H107" i="296"/>
  <c r="M106" i="296"/>
  <c r="L106" i="296"/>
  <c r="H106" i="296"/>
  <c r="M105" i="296"/>
  <c r="L105" i="296"/>
  <c r="H105" i="296"/>
  <c r="M104" i="296"/>
  <c r="L104" i="296"/>
  <c r="H104" i="296"/>
  <c r="M103" i="296"/>
  <c r="L103" i="296"/>
  <c r="H103" i="296"/>
  <c r="M102" i="296"/>
  <c r="L102" i="296"/>
  <c r="H102" i="296"/>
  <c r="M101" i="296"/>
  <c r="L101" i="296"/>
  <c r="H101" i="296"/>
  <c r="M100" i="296"/>
  <c r="L100" i="296"/>
  <c r="H100" i="296"/>
  <c r="M99" i="296"/>
  <c r="L99" i="296"/>
  <c r="H99" i="296"/>
  <c r="M98" i="296"/>
  <c r="L98" i="296"/>
  <c r="H98" i="296"/>
  <c r="M97" i="296"/>
  <c r="L97" i="296"/>
  <c r="H97" i="296"/>
  <c r="M96" i="296"/>
  <c r="L96" i="296"/>
  <c r="H96" i="296"/>
  <c r="M95" i="296"/>
  <c r="L95" i="296"/>
  <c r="H95" i="296"/>
  <c r="M94" i="296"/>
  <c r="L94" i="296"/>
  <c r="H94" i="296"/>
  <c r="M93" i="296"/>
  <c r="L93" i="296"/>
  <c r="H93" i="296"/>
  <c r="M92" i="296"/>
  <c r="L92" i="296"/>
  <c r="H92" i="296"/>
  <c r="M91" i="296"/>
  <c r="L91" i="296"/>
  <c r="H91" i="296"/>
  <c r="M90" i="296"/>
  <c r="L90" i="296"/>
  <c r="H90" i="296"/>
  <c r="M89" i="296"/>
  <c r="L89" i="296"/>
  <c r="H89" i="296"/>
  <c r="M88" i="296"/>
  <c r="L88" i="296"/>
  <c r="H88" i="296"/>
  <c r="M87" i="296"/>
  <c r="L87" i="296"/>
  <c r="H87" i="296"/>
  <c r="M86" i="296"/>
  <c r="L86" i="296"/>
  <c r="H86" i="296"/>
  <c r="M85" i="296"/>
  <c r="L85" i="296"/>
  <c r="H85" i="296"/>
  <c r="M84" i="296"/>
  <c r="L84" i="296"/>
  <c r="H84" i="296"/>
  <c r="M83" i="296"/>
  <c r="L83" i="296"/>
  <c r="H83" i="296"/>
  <c r="M82" i="296"/>
  <c r="L82" i="296"/>
  <c r="H82" i="296"/>
  <c r="M81" i="296"/>
  <c r="L81" i="296"/>
  <c r="H81" i="296"/>
  <c r="M80" i="296"/>
  <c r="L80" i="296"/>
  <c r="H80" i="296"/>
  <c r="M79" i="296"/>
  <c r="L79" i="296"/>
  <c r="H79" i="296"/>
  <c r="M78" i="296"/>
  <c r="L78" i="296"/>
  <c r="H78" i="296"/>
  <c r="M77" i="296"/>
  <c r="L77" i="296"/>
  <c r="H77" i="296"/>
  <c r="M76" i="296"/>
  <c r="L76" i="296"/>
  <c r="H76" i="296"/>
  <c r="M75" i="296"/>
  <c r="L75" i="296"/>
  <c r="H75" i="296"/>
  <c r="M74" i="296"/>
  <c r="L74" i="296"/>
  <c r="H74" i="296"/>
  <c r="M72" i="296"/>
  <c r="L72" i="296"/>
  <c r="H72" i="296"/>
  <c r="M61" i="296"/>
  <c r="L61" i="296"/>
  <c r="M60" i="296"/>
  <c r="L60" i="296"/>
  <c r="M59" i="296"/>
  <c r="L59" i="296"/>
  <c r="M58" i="296"/>
  <c r="L58" i="296"/>
  <c r="M57" i="296"/>
  <c r="L57" i="296"/>
  <c r="M56" i="296"/>
  <c r="L56" i="296"/>
  <c r="M55" i="296"/>
  <c r="L55" i="296"/>
  <c r="M54" i="296"/>
  <c r="L54" i="296"/>
  <c r="M53" i="296"/>
  <c r="L53" i="296"/>
  <c r="M52" i="296"/>
  <c r="L52" i="296"/>
  <c r="M51" i="296"/>
  <c r="L51" i="296"/>
  <c r="M50" i="296"/>
  <c r="L50" i="296"/>
  <c r="M49" i="296"/>
  <c r="L49" i="296"/>
  <c r="M48" i="296"/>
  <c r="L48" i="296"/>
  <c r="M47" i="296"/>
  <c r="L47" i="296"/>
  <c r="M37" i="296"/>
  <c r="L37" i="296"/>
  <c r="M36" i="296"/>
  <c r="L36" i="296"/>
  <c r="M35" i="296"/>
  <c r="L35" i="296"/>
  <c r="M33" i="296"/>
  <c r="L33" i="296"/>
  <c r="M31" i="296"/>
  <c r="L31" i="296"/>
  <c r="M30" i="296"/>
  <c r="L30" i="296"/>
  <c r="M29" i="296"/>
  <c r="L29" i="296"/>
  <c r="M27" i="296"/>
  <c r="L27" i="296"/>
  <c r="M26" i="296"/>
  <c r="L26" i="296"/>
  <c r="M25" i="296"/>
  <c r="L25" i="296"/>
  <c r="M23" i="296"/>
  <c r="L23" i="296"/>
  <c r="M21" i="296"/>
  <c r="L21" i="296"/>
  <c r="M20" i="296"/>
  <c r="L20" i="296"/>
  <c r="M19" i="296"/>
  <c r="L19" i="296"/>
  <c r="M18" i="296"/>
  <c r="L18" i="296"/>
  <c r="M17" i="296"/>
  <c r="L17" i="296"/>
  <c r="M15" i="296"/>
  <c r="L15" i="296"/>
  <c r="M14" i="296"/>
  <c r="L14" i="296"/>
  <c r="M13" i="296"/>
  <c r="L13" i="296"/>
  <c r="M12" i="296"/>
  <c r="L12" i="296"/>
  <c r="H61" i="296"/>
  <c r="H60" i="296"/>
  <c r="H59" i="296"/>
  <c r="H58" i="296"/>
  <c r="H57" i="296"/>
  <c r="H56" i="296"/>
  <c r="H55" i="296"/>
  <c r="H54" i="296"/>
  <c r="H53" i="296"/>
  <c r="H52" i="296"/>
  <c r="H51" i="296"/>
  <c r="H50" i="296"/>
  <c r="H49" i="296"/>
  <c r="H48" i="296"/>
  <c r="H47" i="296"/>
  <c r="H46" i="296"/>
  <c r="H38" i="296"/>
  <c r="H37" i="296"/>
  <c r="H36" i="296"/>
  <c r="H35" i="296"/>
  <c r="H34" i="296"/>
  <c r="H33" i="296"/>
  <c r="H32" i="296"/>
  <c r="H31" i="296"/>
  <c r="H30" i="296"/>
  <c r="H29" i="296"/>
  <c r="H28" i="296"/>
  <c r="H27" i="296"/>
  <c r="H26" i="296"/>
  <c r="H25" i="296"/>
  <c r="H24" i="296"/>
  <c r="H23" i="296"/>
  <c r="H22" i="296"/>
  <c r="H21" i="296"/>
  <c r="H20" i="296"/>
  <c r="H19" i="296"/>
  <c r="H18" i="296"/>
  <c r="H17" i="296"/>
  <c r="H16" i="296"/>
  <c r="H15" i="296"/>
  <c r="H14" i="296"/>
  <c r="H13" i="296"/>
  <c r="H12" i="296"/>
  <c r="M144" i="295"/>
  <c r="M143" i="295"/>
  <c r="L143" i="295"/>
  <c r="M142" i="295"/>
  <c r="L142" i="295"/>
  <c r="M141" i="295"/>
  <c r="L141" i="295"/>
  <c r="M140" i="295"/>
  <c r="L140" i="295"/>
  <c r="M139" i="295"/>
  <c r="L139" i="295"/>
  <c r="M138" i="295"/>
  <c r="L138" i="295"/>
  <c r="M137" i="295"/>
  <c r="L137" i="295"/>
  <c r="M136" i="295"/>
  <c r="L136" i="295"/>
  <c r="M135" i="295"/>
  <c r="L135" i="295"/>
  <c r="M134" i="295"/>
  <c r="L134" i="295"/>
  <c r="M133" i="295"/>
  <c r="L133" i="295"/>
  <c r="M132" i="295"/>
  <c r="L132" i="295"/>
  <c r="M131" i="295"/>
  <c r="L131" i="295"/>
  <c r="M130" i="295"/>
  <c r="L130" i="295"/>
  <c r="M129" i="295"/>
  <c r="L129" i="295"/>
  <c r="M128" i="295"/>
  <c r="L128" i="295"/>
  <c r="M127" i="295"/>
  <c r="L127" i="295"/>
  <c r="M126" i="295"/>
  <c r="L126" i="295"/>
  <c r="M125" i="295"/>
  <c r="L125" i="295"/>
  <c r="M124" i="295"/>
  <c r="L124" i="295"/>
  <c r="M123" i="295"/>
  <c r="L123" i="295"/>
  <c r="M122" i="295"/>
  <c r="L122" i="295"/>
  <c r="M121" i="295"/>
  <c r="L121" i="295"/>
  <c r="M120" i="295"/>
  <c r="L120" i="295"/>
  <c r="M119" i="295"/>
  <c r="L119" i="295"/>
  <c r="M118" i="295"/>
  <c r="L118" i="295"/>
  <c r="M117" i="295"/>
  <c r="L117" i="295"/>
  <c r="M116" i="295"/>
  <c r="L116" i="295"/>
  <c r="M115" i="295"/>
  <c r="L115" i="295"/>
  <c r="M114" i="295"/>
  <c r="L114" i="295"/>
  <c r="M113" i="295"/>
  <c r="L113" i="295"/>
  <c r="M112" i="295"/>
  <c r="L112" i="295"/>
  <c r="M111" i="295"/>
  <c r="L111" i="295"/>
  <c r="M110" i="295"/>
  <c r="L110" i="295"/>
  <c r="M109" i="295"/>
  <c r="L109" i="295"/>
  <c r="M108" i="295"/>
  <c r="L108" i="295"/>
  <c r="M107" i="295"/>
  <c r="L107" i="295"/>
  <c r="M106" i="295"/>
  <c r="L106" i="295"/>
  <c r="M105" i="295"/>
  <c r="L105" i="295"/>
  <c r="M104" i="295"/>
  <c r="L104" i="295"/>
  <c r="M103" i="295"/>
  <c r="L103" i="295"/>
  <c r="M102" i="295"/>
  <c r="L102" i="295"/>
  <c r="M101" i="295"/>
  <c r="L101" i="295"/>
  <c r="M100" i="295"/>
  <c r="L100" i="295"/>
  <c r="M99" i="295"/>
  <c r="L99" i="295"/>
  <c r="M98" i="295"/>
  <c r="L98" i="295"/>
  <c r="M97" i="295"/>
  <c r="L97" i="295"/>
  <c r="M96" i="295"/>
  <c r="L96" i="295"/>
  <c r="M95" i="295"/>
  <c r="L95" i="295"/>
  <c r="M94" i="295"/>
  <c r="L94" i="295"/>
  <c r="M93" i="295"/>
  <c r="L93" i="295"/>
  <c r="M92" i="295"/>
  <c r="L92" i="295"/>
  <c r="M91" i="295"/>
  <c r="L91" i="295"/>
  <c r="M90" i="295"/>
  <c r="L90" i="295"/>
  <c r="M89" i="295"/>
  <c r="L89" i="295"/>
  <c r="M88" i="295"/>
  <c r="L88" i="295"/>
  <c r="M87" i="295"/>
  <c r="L87" i="295"/>
  <c r="M86" i="295"/>
  <c r="L86" i="295"/>
  <c r="M85" i="295"/>
  <c r="L85" i="295"/>
  <c r="M84" i="295"/>
  <c r="L84" i="295"/>
  <c r="M83" i="295"/>
  <c r="L83" i="295"/>
  <c r="M82" i="295"/>
  <c r="L82" i="295"/>
  <c r="M81" i="295"/>
  <c r="L81" i="295"/>
  <c r="M80" i="295"/>
  <c r="L80" i="295"/>
  <c r="M68" i="295"/>
  <c r="L68" i="295"/>
  <c r="M67" i="295"/>
  <c r="L67" i="295"/>
  <c r="M66" i="295"/>
  <c r="L66" i="295"/>
  <c r="M65" i="295"/>
  <c r="L65" i="295"/>
  <c r="M64" i="295"/>
  <c r="L64" i="295"/>
  <c r="M63" i="295"/>
  <c r="L63" i="295"/>
  <c r="M62" i="295"/>
  <c r="L62" i="295"/>
  <c r="M61" i="295"/>
  <c r="L61" i="295"/>
  <c r="M60" i="295"/>
  <c r="L60" i="295"/>
  <c r="M59" i="295"/>
  <c r="L59" i="295"/>
  <c r="M58" i="295"/>
  <c r="L58" i="295"/>
  <c r="M57" i="295"/>
  <c r="L57" i="295"/>
  <c r="M56" i="295"/>
  <c r="L56" i="295"/>
  <c r="M55" i="295"/>
  <c r="L55" i="295"/>
  <c r="M54" i="295"/>
  <c r="L54" i="295"/>
  <c r="M53" i="295"/>
  <c r="L53" i="295"/>
  <c r="M52" i="295"/>
  <c r="L52" i="295"/>
  <c r="M51" i="295"/>
  <c r="L51" i="295"/>
  <c r="M50" i="295"/>
  <c r="L50" i="295"/>
  <c r="M49" i="295"/>
  <c r="L49" i="295"/>
  <c r="M48" i="295"/>
  <c r="L48" i="295"/>
  <c r="M47" i="295"/>
  <c r="L47" i="295"/>
  <c r="M46" i="295"/>
  <c r="L46" i="295"/>
  <c r="M45" i="295"/>
  <c r="L45" i="295"/>
  <c r="M44" i="295"/>
  <c r="L44" i="295"/>
  <c r="M43" i="295"/>
  <c r="L43" i="295"/>
  <c r="M42" i="295"/>
  <c r="L42" i="295"/>
  <c r="M41" i="295"/>
  <c r="L41" i="295"/>
  <c r="M40" i="295"/>
  <c r="L40" i="295"/>
  <c r="M39" i="295"/>
  <c r="L39" i="295"/>
  <c r="M38" i="295"/>
  <c r="L38" i="295"/>
  <c r="M37" i="295"/>
  <c r="L37" i="295"/>
  <c r="M35" i="295"/>
  <c r="L35" i="295"/>
  <c r="M33" i="295"/>
  <c r="L33" i="295"/>
  <c r="M32" i="295"/>
  <c r="L32" i="295"/>
  <c r="M31" i="295"/>
  <c r="L31" i="295"/>
  <c r="M30" i="295"/>
  <c r="L30" i="295"/>
  <c r="M29" i="295"/>
  <c r="L29" i="295"/>
  <c r="M27" i="295"/>
  <c r="L27" i="295"/>
  <c r="M26" i="295"/>
  <c r="L26" i="295"/>
  <c r="M25" i="295"/>
  <c r="L25" i="295"/>
  <c r="M23" i="295"/>
  <c r="L23" i="295"/>
  <c r="M21" i="295"/>
  <c r="L21" i="295"/>
  <c r="M20" i="295"/>
  <c r="L20" i="295"/>
  <c r="M19" i="295"/>
  <c r="L19" i="295"/>
  <c r="M18" i="295"/>
  <c r="L18" i="295"/>
  <c r="M17" i="295"/>
  <c r="L17" i="295"/>
  <c r="M15" i="295"/>
  <c r="L15" i="295"/>
  <c r="M14" i="295"/>
  <c r="L14" i="295"/>
  <c r="M13" i="295"/>
  <c r="L13" i="295"/>
  <c r="M12" i="295"/>
  <c r="L12" i="295"/>
  <c r="H68" i="295"/>
  <c r="H67" i="295"/>
  <c r="H66" i="295"/>
  <c r="H65" i="295"/>
  <c r="H64" i="295"/>
  <c r="H63" i="295"/>
  <c r="H62" i="295"/>
  <c r="H61" i="295"/>
  <c r="H60" i="295"/>
  <c r="H59" i="295"/>
  <c r="H58" i="295"/>
  <c r="H57" i="295"/>
  <c r="H56" i="295"/>
  <c r="H55" i="295"/>
  <c r="H54" i="295"/>
  <c r="H53" i="295"/>
  <c r="H52" i="295"/>
  <c r="H51" i="295"/>
  <c r="H50" i="295"/>
  <c r="H49" i="295"/>
  <c r="H48" i="295"/>
  <c r="H47" i="295"/>
  <c r="H46" i="295"/>
  <c r="H45" i="295"/>
  <c r="H44" i="295"/>
  <c r="H43" i="295"/>
  <c r="H42" i="295"/>
  <c r="H41" i="295"/>
  <c r="H40" i="295"/>
  <c r="H39" i="295"/>
  <c r="H38" i="295"/>
  <c r="H37" i="295"/>
  <c r="H36" i="295"/>
  <c r="H35" i="295"/>
  <c r="H34" i="295"/>
  <c r="H33" i="295"/>
  <c r="H32" i="295"/>
  <c r="H31" i="295"/>
  <c r="H30" i="295"/>
  <c r="H29" i="295"/>
  <c r="H28" i="295"/>
  <c r="H27" i="295"/>
  <c r="H26" i="295"/>
  <c r="H25" i="295"/>
  <c r="H24" i="295"/>
  <c r="H23" i="295"/>
  <c r="H22" i="295"/>
  <c r="H21" i="295"/>
  <c r="H20" i="295"/>
  <c r="H19" i="295"/>
  <c r="H18" i="295"/>
  <c r="H17" i="295"/>
  <c r="H16" i="295"/>
  <c r="H15" i="295"/>
  <c r="H14" i="295"/>
  <c r="H13" i="295"/>
  <c r="H12" i="295"/>
  <c r="L15" i="294"/>
  <c r="L14" i="294"/>
  <c r="L13" i="294"/>
  <c r="M74" i="294"/>
  <c r="L74" i="294"/>
  <c r="M73" i="294"/>
  <c r="L73" i="294"/>
  <c r="M72" i="294"/>
  <c r="L72" i="294"/>
  <c r="M71" i="294"/>
  <c r="L71" i="294"/>
  <c r="M70" i="294"/>
  <c r="L70" i="294"/>
  <c r="M69" i="294"/>
  <c r="L69" i="294"/>
  <c r="M68" i="294"/>
  <c r="L68" i="294"/>
  <c r="M67" i="294"/>
  <c r="L67" i="294"/>
  <c r="M66" i="294"/>
  <c r="L66" i="294"/>
  <c r="M65" i="294"/>
  <c r="L65" i="294"/>
  <c r="M64" i="294"/>
  <c r="L64" i="294"/>
  <c r="M63" i="294"/>
  <c r="L63" i="294"/>
  <c r="M62" i="294"/>
  <c r="L62" i="294"/>
  <c r="M61" i="294"/>
  <c r="L61" i="294"/>
  <c r="M60" i="294"/>
  <c r="L60" i="294"/>
  <c r="M59" i="294"/>
  <c r="L59" i="294"/>
  <c r="M58" i="294"/>
  <c r="L58" i="294"/>
  <c r="M57" i="294"/>
  <c r="L57" i="294"/>
  <c r="M56" i="294"/>
  <c r="L56" i="294"/>
  <c r="M55" i="294"/>
  <c r="L55" i="294"/>
  <c r="M54" i="294"/>
  <c r="L54" i="294"/>
  <c r="M53" i="294"/>
  <c r="L53" i="294"/>
  <c r="M52" i="294"/>
  <c r="L52" i="294"/>
  <c r="M51" i="294"/>
  <c r="L51" i="294"/>
  <c r="M50" i="294"/>
  <c r="L50" i="294"/>
  <c r="M49" i="294"/>
  <c r="L49" i="294"/>
  <c r="M48" i="294"/>
  <c r="L48" i="294"/>
  <c r="M47" i="294"/>
  <c r="L47" i="294"/>
  <c r="M46" i="294"/>
  <c r="L46" i="294"/>
  <c r="M45" i="294"/>
  <c r="L45" i="294"/>
  <c r="M44" i="294"/>
  <c r="L44" i="294"/>
  <c r="M43" i="294"/>
  <c r="L43" i="294"/>
  <c r="M42" i="294"/>
  <c r="L42" i="294"/>
  <c r="M41" i="294"/>
  <c r="L41" i="294"/>
  <c r="M40" i="294"/>
  <c r="L40" i="294"/>
  <c r="M39" i="294"/>
  <c r="L39" i="294"/>
  <c r="M38" i="294"/>
  <c r="L38" i="294"/>
  <c r="M37" i="294"/>
  <c r="L37" i="294"/>
  <c r="M36" i="294"/>
  <c r="L36" i="294"/>
  <c r="M35" i="294"/>
  <c r="L35" i="294"/>
  <c r="M34" i="294"/>
  <c r="L34" i="294"/>
  <c r="M33" i="294"/>
  <c r="L33" i="294"/>
  <c r="M32" i="294"/>
  <c r="L32" i="294"/>
  <c r="M31" i="294"/>
  <c r="L31" i="294"/>
  <c r="M30" i="294"/>
  <c r="L30" i="294"/>
  <c r="M29" i="294"/>
  <c r="L29" i="294"/>
  <c r="M28" i="294"/>
  <c r="L28" i="294"/>
  <c r="M27" i="294"/>
  <c r="L27" i="294"/>
  <c r="M26" i="294"/>
  <c r="L26" i="294"/>
  <c r="M25" i="294"/>
  <c r="L25" i="294"/>
  <c r="M24" i="294"/>
  <c r="L24" i="294"/>
  <c r="M23" i="294"/>
  <c r="L23" i="294"/>
  <c r="M22" i="294"/>
  <c r="L22" i="294"/>
  <c r="M21" i="294"/>
  <c r="L21" i="294"/>
  <c r="M20" i="294"/>
  <c r="L20" i="294"/>
  <c r="M19" i="294"/>
  <c r="L19" i="294"/>
  <c r="M18" i="294"/>
  <c r="L18" i="294"/>
  <c r="M17" i="294"/>
  <c r="L17" i="294"/>
  <c r="M15" i="294"/>
  <c r="M14" i="294"/>
  <c r="M13" i="294"/>
  <c r="M12" i="294"/>
  <c r="L12" i="294"/>
  <c r="H74" i="294"/>
  <c r="H73" i="294"/>
  <c r="H72" i="294"/>
  <c r="H71" i="294"/>
  <c r="H70" i="294"/>
  <c r="H69" i="294"/>
  <c r="H68" i="294"/>
  <c r="H67" i="294"/>
  <c r="H66" i="294"/>
  <c r="H65" i="294"/>
  <c r="H64" i="294"/>
  <c r="H63" i="294"/>
  <c r="H62" i="294"/>
  <c r="H61" i="294"/>
  <c r="H60" i="294"/>
  <c r="H59" i="294"/>
  <c r="H58" i="294"/>
  <c r="H57" i="294"/>
  <c r="H56" i="294"/>
  <c r="H55" i="294"/>
  <c r="H54" i="294"/>
  <c r="H53" i="294"/>
  <c r="H52" i="294"/>
  <c r="H51" i="294"/>
  <c r="H50" i="294"/>
  <c r="H49" i="294"/>
  <c r="H48" i="294"/>
  <c r="H47" i="294"/>
  <c r="H46" i="294"/>
  <c r="H45" i="294"/>
  <c r="H44" i="294"/>
  <c r="H43" i="294"/>
  <c r="H42" i="294"/>
  <c r="H41" i="294"/>
  <c r="H40" i="294"/>
  <c r="H39" i="294"/>
  <c r="H38" i="294"/>
  <c r="H37" i="294"/>
  <c r="H36" i="294"/>
  <c r="H35" i="294"/>
  <c r="H34" i="294"/>
  <c r="H33" i="294"/>
  <c r="H32" i="294"/>
  <c r="H31" i="294"/>
  <c r="H30" i="294"/>
  <c r="H29" i="294"/>
  <c r="H28" i="294"/>
  <c r="H27" i="294"/>
  <c r="H26" i="294"/>
  <c r="H25" i="294"/>
  <c r="H24" i="294"/>
  <c r="H23" i="294"/>
  <c r="H22" i="294"/>
  <c r="H21" i="294"/>
  <c r="H20" i="294"/>
  <c r="H19" i="294"/>
  <c r="H18" i="294"/>
  <c r="H17" i="294"/>
  <c r="H16" i="294"/>
  <c r="H15" i="294"/>
  <c r="H14" i="294"/>
  <c r="H13" i="294"/>
  <c r="H12" i="294"/>
  <c r="M185" i="293"/>
  <c r="M184" i="293"/>
  <c r="M183" i="293"/>
  <c r="M182" i="293"/>
  <c r="M181" i="293"/>
  <c r="M180" i="293"/>
  <c r="M179" i="293"/>
  <c r="M178" i="293"/>
  <c r="M177" i="293"/>
  <c r="M176" i="293"/>
  <c r="M175" i="293"/>
  <c r="M174" i="293"/>
  <c r="M173" i="293"/>
  <c r="M172" i="293"/>
  <c r="M171" i="293"/>
  <c r="M170" i="293"/>
  <c r="M169" i="293"/>
  <c r="M168" i="293"/>
  <c r="M167" i="293"/>
  <c r="M166" i="293"/>
  <c r="M165" i="293"/>
  <c r="M164" i="293"/>
  <c r="M163" i="293"/>
  <c r="M162" i="293"/>
  <c r="M161" i="293"/>
  <c r="M160" i="293"/>
  <c r="M159" i="293"/>
  <c r="M158" i="293"/>
  <c r="M157" i="293"/>
  <c r="M156" i="293"/>
  <c r="M155" i="293"/>
  <c r="M154" i="293"/>
  <c r="M153" i="293"/>
  <c r="M152" i="293"/>
  <c r="M151" i="293"/>
  <c r="M150" i="293"/>
  <c r="M149" i="293"/>
  <c r="M148" i="293"/>
  <c r="M147" i="293"/>
  <c r="M146" i="293"/>
  <c r="M145" i="293"/>
  <c r="M144" i="293"/>
  <c r="M143" i="293"/>
  <c r="M142" i="293"/>
  <c r="M141" i="293"/>
  <c r="M140" i="293"/>
  <c r="M139" i="293"/>
  <c r="M138" i="293"/>
  <c r="M137" i="293"/>
  <c r="M136" i="293"/>
  <c r="M135" i="293"/>
  <c r="M134" i="293"/>
  <c r="M124" i="293"/>
  <c r="M123" i="293"/>
  <c r="M122" i="293"/>
  <c r="M121" i="293"/>
  <c r="M120" i="293"/>
  <c r="M119" i="293"/>
  <c r="M118" i="293"/>
  <c r="M117" i="293"/>
  <c r="M116" i="293"/>
  <c r="M115" i="293"/>
  <c r="M114" i="293"/>
  <c r="M113" i="293"/>
  <c r="M112" i="293"/>
  <c r="M111" i="293"/>
  <c r="M110" i="293"/>
  <c r="M109" i="293"/>
  <c r="M108" i="293"/>
  <c r="M107" i="293"/>
  <c r="M106" i="293"/>
  <c r="M105" i="293"/>
  <c r="M104" i="293"/>
  <c r="M103" i="293"/>
  <c r="M102" i="293"/>
  <c r="M101" i="293"/>
  <c r="M100" i="293"/>
  <c r="M99" i="293"/>
  <c r="M98" i="293"/>
  <c r="M97" i="293"/>
  <c r="M96" i="293"/>
  <c r="M95" i="293"/>
  <c r="M94" i="293"/>
  <c r="M93" i="293"/>
  <c r="M92" i="293"/>
  <c r="M91" i="293"/>
  <c r="M90" i="293"/>
  <c r="M89" i="293"/>
  <c r="M88" i="293"/>
  <c r="M87" i="293"/>
  <c r="M86" i="293"/>
  <c r="M85" i="293"/>
  <c r="M84" i="293"/>
  <c r="M83" i="293"/>
  <c r="M82" i="293"/>
  <c r="M81" i="293"/>
  <c r="M80" i="293"/>
  <c r="M79" i="293"/>
  <c r="M78" i="293"/>
  <c r="M77" i="293"/>
  <c r="M76" i="293"/>
  <c r="M75" i="293"/>
  <c r="M65" i="293"/>
  <c r="M49" i="293"/>
  <c r="M48" i="293"/>
  <c r="M47" i="293"/>
  <c r="M46" i="293"/>
  <c r="M37" i="293"/>
  <c r="M36" i="293"/>
  <c r="M35" i="293"/>
  <c r="M33" i="293"/>
  <c r="M31" i="293"/>
  <c r="M29" i="293"/>
  <c r="M27" i="293"/>
  <c r="M25" i="293"/>
  <c r="M23" i="293"/>
  <c r="M21" i="293"/>
  <c r="M19" i="293"/>
  <c r="M17" i="293"/>
  <c r="M16" i="293"/>
  <c r="M15" i="293"/>
  <c r="M14" i="293"/>
  <c r="M13" i="293"/>
  <c r="M12" i="293"/>
  <c r="M11" i="293"/>
  <c r="L184" i="293"/>
  <c r="L183" i="293"/>
  <c r="L182" i="293"/>
  <c r="L181" i="293"/>
  <c r="L180" i="293"/>
  <c r="L179" i="293"/>
  <c r="L178" i="293"/>
  <c r="L177" i="293"/>
  <c r="L176" i="293"/>
  <c r="L175" i="293"/>
  <c r="L174" i="293"/>
  <c r="L173" i="293"/>
  <c r="L172" i="293"/>
  <c r="L171" i="293"/>
  <c r="L170" i="293"/>
  <c r="L169" i="293"/>
  <c r="L168" i="293"/>
  <c r="L167" i="293"/>
  <c r="L166" i="293"/>
  <c r="L165" i="293"/>
  <c r="L164" i="293"/>
  <c r="L163" i="293"/>
  <c r="L162" i="293"/>
  <c r="L161" i="293"/>
  <c r="L160" i="293"/>
  <c r="L159" i="293"/>
  <c r="L158" i="293"/>
  <c r="L157" i="293"/>
  <c r="L156" i="293"/>
  <c r="L155" i="293"/>
  <c r="L154" i="293"/>
  <c r="L153" i="293"/>
  <c r="L152" i="293"/>
  <c r="L151" i="293"/>
  <c r="L150" i="293"/>
  <c r="L149" i="293"/>
  <c r="L148" i="293"/>
  <c r="L147" i="293"/>
  <c r="L146" i="293"/>
  <c r="L145" i="293"/>
  <c r="L144" i="293"/>
  <c r="L143" i="293"/>
  <c r="L142" i="293"/>
  <c r="L141" i="293"/>
  <c r="L140" i="293"/>
  <c r="L139" i="293"/>
  <c r="L138" i="293"/>
  <c r="L137" i="293"/>
  <c r="L136" i="293"/>
  <c r="L135" i="293"/>
  <c r="L134" i="293"/>
  <c r="L123" i="293"/>
  <c r="L122" i="293"/>
  <c r="L121" i="293"/>
  <c r="L120" i="293"/>
  <c r="L119" i="293"/>
  <c r="L118" i="293"/>
  <c r="L117" i="293"/>
  <c r="L116" i="293"/>
  <c r="L115" i="293"/>
  <c r="L114" i="293"/>
  <c r="L113" i="293"/>
  <c r="L112" i="293"/>
  <c r="L111" i="293"/>
  <c r="L110" i="293"/>
  <c r="L109" i="293"/>
  <c r="L108" i="293"/>
  <c r="L107" i="293"/>
  <c r="L106" i="293"/>
  <c r="L105" i="293"/>
  <c r="L104" i="293"/>
  <c r="L103" i="293"/>
  <c r="L102" i="293"/>
  <c r="L101" i="293"/>
  <c r="L100" i="293"/>
  <c r="L99" i="293"/>
  <c r="L98" i="293"/>
  <c r="L97" i="293"/>
  <c r="L96" i="293"/>
  <c r="L95" i="293"/>
  <c r="L94" i="293"/>
  <c r="L93" i="293"/>
  <c r="L92" i="293"/>
  <c r="L91" i="293"/>
  <c r="L90" i="293"/>
  <c r="L89" i="293"/>
  <c r="L88" i="293"/>
  <c r="L87" i="293"/>
  <c r="L86" i="293"/>
  <c r="L85" i="293"/>
  <c r="L84" i="293"/>
  <c r="L83" i="293"/>
  <c r="L82" i="293"/>
  <c r="L81" i="293"/>
  <c r="L80" i="293"/>
  <c r="L79" i="293"/>
  <c r="L78" i="293"/>
  <c r="L77" i="293"/>
  <c r="L76" i="293"/>
  <c r="L75" i="293"/>
  <c r="L49" i="293"/>
  <c r="L47" i="293"/>
  <c r="L46" i="293"/>
  <c r="L37" i="293"/>
  <c r="L36" i="293"/>
  <c r="L35" i="293"/>
  <c r="L33" i="293"/>
  <c r="L31" i="293"/>
  <c r="L29" i="293"/>
  <c r="L27" i="293"/>
  <c r="L25" i="293"/>
  <c r="L23" i="293"/>
  <c r="L21" i="293"/>
  <c r="L19" i="293"/>
  <c r="L17" i="293"/>
  <c r="L16" i="293"/>
  <c r="L15" i="293"/>
  <c r="L14" i="293"/>
  <c r="L13" i="293"/>
  <c r="L12" i="293"/>
  <c r="L11" i="293"/>
  <c r="H49" i="293"/>
  <c r="H48" i="293"/>
  <c r="H47" i="293"/>
  <c r="H46" i="293"/>
  <c r="H38" i="293"/>
  <c r="H37" i="293"/>
  <c r="H36" i="293"/>
  <c r="H35" i="293"/>
  <c r="H34" i="293"/>
  <c r="H33" i="293"/>
  <c r="H32" i="293"/>
  <c r="H31" i="293"/>
  <c r="H30" i="293"/>
  <c r="H29" i="293"/>
  <c r="H28" i="293"/>
  <c r="H27" i="293"/>
  <c r="H26" i="293"/>
  <c r="H25" i="293"/>
  <c r="H24" i="293"/>
  <c r="H23" i="293"/>
  <c r="H22" i="293"/>
  <c r="H21" i="293"/>
  <c r="H20" i="293"/>
  <c r="H19" i="293"/>
  <c r="H18" i="293"/>
  <c r="H17" i="293"/>
  <c r="H16" i="293"/>
  <c r="H15" i="293"/>
  <c r="H14" i="293"/>
  <c r="H13" i="293"/>
  <c r="H12" i="293"/>
  <c r="M71" i="292"/>
  <c r="L71" i="292"/>
  <c r="M70" i="292"/>
  <c r="L70" i="292"/>
  <c r="M62" i="292"/>
  <c r="L62" i="292"/>
  <c r="M61" i="292"/>
  <c r="L61" i="292"/>
  <c r="M60" i="292"/>
  <c r="L60" i="292"/>
  <c r="M59" i="292"/>
  <c r="L59" i="292"/>
  <c r="M58" i="292"/>
  <c r="L58" i="292"/>
  <c r="M57" i="292"/>
  <c r="L57" i="292"/>
  <c r="M55" i="292"/>
  <c r="L55" i="292"/>
  <c r="M53" i="292"/>
  <c r="L53" i="292"/>
  <c r="M52" i="292"/>
  <c r="L52" i="292"/>
  <c r="M51" i="292"/>
  <c r="L51" i="292"/>
  <c r="M50" i="292"/>
  <c r="L50" i="292"/>
  <c r="M49" i="292"/>
  <c r="L49" i="292"/>
  <c r="M47" i="292"/>
  <c r="L47" i="292"/>
  <c r="M45" i="292"/>
  <c r="L45" i="292"/>
  <c r="M44" i="292"/>
  <c r="L44" i="292"/>
  <c r="M43" i="292"/>
  <c r="L43" i="292"/>
  <c r="M41" i="292"/>
  <c r="L41" i="292"/>
  <c r="M40" i="292"/>
  <c r="L40" i="292"/>
  <c r="M39" i="292"/>
  <c r="L39" i="292"/>
  <c r="M37" i="292"/>
  <c r="L37" i="292"/>
  <c r="M35" i="292"/>
  <c r="L35" i="292"/>
  <c r="M34" i="292"/>
  <c r="L34" i="292"/>
  <c r="M33" i="292"/>
  <c r="L33" i="292"/>
  <c r="M31" i="292"/>
  <c r="L31" i="292"/>
  <c r="M29" i="292"/>
  <c r="L29" i="292"/>
  <c r="M28" i="292"/>
  <c r="L28" i="292"/>
  <c r="M27" i="292"/>
  <c r="L27" i="292"/>
  <c r="M25" i="292"/>
  <c r="L25" i="292"/>
  <c r="M23" i="292"/>
  <c r="L23" i="292"/>
  <c r="M22" i="292"/>
  <c r="L22" i="292"/>
  <c r="M21" i="292"/>
  <c r="L21" i="292"/>
  <c r="M19" i="292"/>
  <c r="L19" i="292"/>
  <c r="M17" i="292"/>
  <c r="L17" i="292"/>
  <c r="M16" i="292"/>
  <c r="L16" i="292"/>
  <c r="M15" i="292"/>
  <c r="L15" i="292"/>
  <c r="M14" i="292"/>
  <c r="L14" i="292"/>
  <c r="M13" i="292"/>
  <c r="L13" i="292"/>
  <c r="M12" i="292"/>
  <c r="L12" i="292"/>
  <c r="H71" i="292"/>
  <c r="H70" i="292"/>
  <c r="H62" i="292"/>
  <c r="H61" i="292"/>
  <c r="H60" i="292"/>
  <c r="H59" i="292"/>
  <c r="H58" i="292"/>
  <c r="H57" i="292"/>
  <c r="H56" i="292"/>
  <c r="H55" i="292"/>
  <c r="H54" i="292"/>
  <c r="H53" i="292"/>
  <c r="H52" i="292"/>
  <c r="H51" i="292"/>
  <c r="H50" i="292"/>
  <c r="H49" i="292"/>
  <c r="H48" i="292"/>
  <c r="H47" i="292"/>
  <c r="H46" i="292"/>
  <c r="H45" i="292"/>
  <c r="H44" i="292"/>
  <c r="H43" i="292"/>
  <c r="H42" i="292"/>
  <c r="H41" i="292"/>
  <c r="H40" i="292"/>
  <c r="H39" i="292"/>
  <c r="H38" i="292"/>
  <c r="H37" i="292"/>
  <c r="H36" i="292"/>
  <c r="H35" i="292"/>
  <c r="H34" i="292"/>
  <c r="H33" i="292"/>
  <c r="H32" i="292"/>
  <c r="H31" i="292"/>
  <c r="H30" i="292"/>
  <c r="H29" i="292"/>
  <c r="H28" i="292"/>
  <c r="H27" i="292"/>
  <c r="H26" i="292"/>
  <c r="H25" i="292"/>
  <c r="H24" i="292"/>
  <c r="H23" i="292"/>
  <c r="H22" i="292"/>
  <c r="H21" i="292"/>
  <c r="H20" i="292"/>
  <c r="H19" i="292"/>
  <c r="H18" i="292"/>
  <c r="H17" i="292"/>
  <c r="H16" i="292"/>
  <c r="H15" i="292"/>
  <c r="H14" i="292"/>
  <c r="H13" i="292"/>
  <c r="H12" i="292"/>
  <c r="M72" i="291"/>
  <c r="L72" i="291"/>
  <c r="M49" i="291"/>
  <c r="L49" i="291"/>
  <c r="M48" i="291"/>
  <c r="L48" i="291"/>
  <c r="M47" i="291"/>
  <c r="L47" i="291"/>
  <c r="M46" i="291"/>
  <c r="L46" i="291"/>
  <c r="M45" i="291"/>
  <c r="L45" i="291"/>
  <c r="M44" i="291"/>
  <c r="L44" i="291"/>
  <c r="M43" i="291"/>
  <c r="L43" i="291"/>
  <c r="M42" i="291"/>
  <c r="L42" i="291"/>
  <c r="M41" i="291"/>
  <c r="L41" i="291"/>
  <c r="M40" i="291"/>
  <c r="L40" i="291"/>
  <c r="M39" i="291"/>
  <c r="L39" i="291"/>
  <c r="M37" i="291"/>
  <c r="L37" i="291"/>
  <c r="M36" i="291"/>
  <c r="L36" i="291"/>
  <c r="M35" i="291"/>
  <c r="L35" i="291"/>
  <c r="M34" i="291"/>
  <c r="L34" i="291"/>
  <c r="M33" i="291"/>
  <c r="L33" i="291"/>
  <c r="M31" i="291"/>
  <c r="L31" i="291"/>
  <c r="M29" i="291"/>
  <c r="L29" i="291"/>
  <c r="M27" i="291"/>
  <c r="L27" i="291"/>
  <c r="M25" i="291"/>
  <c r="L25" i="291"/>
  <c r="M24" i="291"/>
  <c r="L24" i="291"/>
  <c r="M23" i="291"/>
  <c r="L23" i="291"/>
  <c r="M21" i="291"/>
  <c r="L21" i="291"/>
  <c r="M19" i="291"/>
  <c r="L19" i="291"/>
  <c r="M17" i="291"/>
  <c r="L17" i="291"/>
  <c r="M16" i="291"/>
  <c r="L16" i="291"/>
  <c r="M15" i="291"/>
  <c r="L15" i="291"/>
  <c r="M14" i="291"/>
  <c r="L14" i="291"/>
  <c r="M13" i="291"/>
  <c r="L13" i="291"/>
  <c r="M12" i="291"/>
  <c r="L12" i="291"/>
  <c r="H72" i="291"/>
  <c r="H49" i="291"/>
  <c r="H48" i="291"/>
  <c r="H47" i="291"/>
  <c r="H46" i="291"/>
  <c r="H45" i="291"/>
  <c r="H44" i="291"/>
  <c r="H43" i="291"/>
  <c r="H42" i="291"/>
  <c r="H41" i="291"/>
  <c r="H40" i="291"/>
  <c r="H39" i="291"/>
  <c r="H38" i="291"/>
  <c r="H37" i="291"/>
  <c r="H36" i="291"/>
  <c r="H35" i="291"/>
  <c r="H34" i="291"/>
  <c r="H33" i="291"/>
  <c r="H32" i="291"/>
  <c r="H31" i="291"/>
  <c r="H30" i="291"/>
  <c r="H29" i="291"/>
  <c r="H28" i="291"/>
  <c r="H27" i="291"/>
  <c r="H26" i="291"/>
  <c r="H25" i="291"/>
  <c r="H24" i="291"/>
  <c r="H23" i="291"/>
  <c r="H22" i="291"/>
  <c r="H21" i="291"/>
  <c r="H20" i="291"/>
  <c r="H19" i="291"/>
  <c r="H18" i="291"/>
  <c r="H17" i="291"/>
  <c r="H16" i="291"/>
  <c r="H15" i="291"/>
  <c r="H14" i="291"/>
  <c r="H13" i="291"/>
  <c r="H12" i="291"/>
  <c r="M35" i="290"/>
  <c r="L35" i="290"/>
  <c r="H35" i="290"/>
  <c r="M34" i="290"/>
  <c r="L34" i="290"/>
  <c r="H34" i="290"/>
  <c r="M33" i="290"/>
  <c r="L33" i="290"/>
  <c r="H33" i="290"/>
  <c r="M32" i="290"/>
  <c r="L32" i="290"/>
  <c r="H32" i="290"/>
  <c r="M31" i="290"/>
  <c r="L31" i="290"/>
  <c r="H31" i="290"/>
  <c r="M208" i="290"/>
  <c r="L208" i="290"/>
  <c r="H208" i="290"/>
  <c r="M207" i="290"/>
  <c r="L207" i="290"/>
  <c r="H207" i="290"/>
  <c r="M206" i="290"/>
  <c r="L206" i="290"/>
  <c r="H206" i="290"/>
  <c r="M205" i="290"/>
  <c r="L205" i="290"/>
  <c r="H205" i="290"/>
  <c r="M204" i="290"/>
  <c r="L204" i="290"/>
  <c r="H204" i="290"/>
  <c r="M203" i="290"/>
  <c r="L203" i="290"/>
  <c r="H203" i="290"/>
  <c r="M202" i="290"/>
  <c r="L202" i="290"/>
  <c r="H202" i="290"/>
  <c r="M201" i="290"/>
  <c r="L201" i="290"/>
  <c r="H201" i="290"/>
  <c r="M200" i="290"/>
  <c r="L200" i="290"/>
  <c r="H200" i="290"/>
  <c r="M199" i="290"/>
  <c r="L199" i="290"/>
  <c r="H199" i="290"/>
  <c r="M198" i="290"/>
  <c r="L198" i="290"/>
  <c r="H198" i="290"/>
  <c r="M197" i="290"/>
  <c r="L197" i="290"/>
  <c r="H197" i="290"/>
  <c r="M196" i="290"/>
  <c r="L196" i="290"/>
  <c r="H196" i="290"/>
  <c r="M195" i="290"/>
  <c r="L195" i="290"/>
  <c r="H195" i="290"/>
  <c r="M194" i="290"/>
  <c r="L194" i="290"/>
  <c r="H194" i="290"/>
  <c r="M193" i="290"/>
  <c r="L193" i="290"/>
  <c r="H193" i="290"/>
  <c r="M192" i="290"/>
  <c r="L192" i="290"/>
  <c r="H192" i="290"/>
  <c r="M191" i="290"/>
  <c r="L191" i="290"/>
  <c r="H191" i="290"/>
  <c r="M190" i="290"/>
  <c r="L190" i="290"/>
  <c r="H190" i="290"/>
  <c r="M189" i="290"/>
  <c r="L189" i="290"/>
  <c r="H189" i="290"/>
  <c r="M188" i="290"/>
  <c r="L188" i="290"/>
  <c r="H188" i="290"/>
  <c r="M187" i="290"/>
  <c r="L187" i="290"/>
  <c r="H187" i="290"/>
  <c r="M186" i="290"/>
  <c r="L186" i="290"/>
  <c r="H186" i="290"/>
  <c r="M185" i="290"/>
  <c r="L185" i="290"/>
  <c r="H185" i="290"/>
  <c r="M184" i="290"/>
  <c r="L184" i="290"/>
  <c r="H184" i="290"/>
  <c r="M183" i="290"/>
  <c r="L183" i="290"/>
  <c r="H183" i="290"/>
  <c r="M182" i="290"/>
  <c r="L182" i="290"/>
  <c r="H182" i="290"/>
  <c r="M181" i="290"/>
  <c r="L181" i="290"/>
  <c r="H181" i="290"/>
  <c r="M180" i="290"/>
  <c r="L180" i="290"/>
  <c r="H180" i="290"/>
  <c r="M179" i="290"/>
  <c r="L179" i="290"/>
  <c r="H179" i="290"/>
  <c r="M178" i="290"/>
  <c r="L178" i="290"/>
  <c r="H178" i="290"/>
  <c r="M177" i="290"/>
  <c r="L177" i="290"/>
  <c r="H177" i="290"/>
  <c r="M176" i="290"/>
  <c r="L176" i="290"/>
  <c r="H176" i="290"/>
  <c r="M175" i="290"/>
  <c r="L175" i="290"/>
  <c r="H175" i="290"/>
  <c r="M174" i="290"/>
  <c r="L174" i="290"/>
  <c r="H174" i="290"/>
  <c r="M173" i="290"/>
  <c r="L173" i="290"/>
  <c r="H173" i="290"/>
  <c r="M172" i="290"/>
  <c r="L172" i="290"/>
  <c r="H172" i="290"/>
  <c r="M171" i="290"/>
  <c r="L171" i="290"/>
  <c r="H171" i="290"/>
  <c r="M170" i="290"/>
  <c r="L170" i="290"/>
  <c r="H170" i="290"/>
  <c r="M169" i="290"/>
  <c r="L169" i="290"/>
  <c r="H169" i="290"/>
  <c r="M168" i="290"/>
  <c r="L168" i="290"/>
  <c r="H168" i="290"/>
  <c r="M167" i="290"/>
  <c r="L167" i="290"/>
  <c r="H167" i="290"/>
  <c r="M166" i="290"/>
  <c r="L166" i="290"/>
  <c r="H166" i="290"/>
  <c r="M165" i="290"/>
  <c r="L165" i="290"/>
  <c r="H165" i="290"/>
  <c r="M164" i="290"/>
  <c r="L164" i="290"/>
  <c r="H164" i="290"/>
  <c r="M163" i="290"/>
  <c r="L163" i="290"/>
  <c r="H163" i="290"/>
  <c r="M162" i="290"/>
  <c r="L162" i="290"/>
  <c r="H162" i="290"/>
  <c r="M161" i="290"/>
  <c r="L161" i="290"/>
  <c r="H161" i="290"/>
  <c r="M160" i="290"/>
  <c r="L160" i="290"/>
  <c r="H160" i="290"/>
  <c r="M159" i="290"/>
  <c r="L159" i="290"/>
  <c r="H159" i="290"/>
  <c r="M158" i="290"/>
  <c r="L158" i="290"/>
  <c r="H158" i="290"/>
  <c r="M157" i="290"/>
  <c r="L157" i="290"/>
  <c r="H157" i="290"/>
  <c r="M156" i="290"/>
  <c r="L156" i="290"/>
  <c r="H156" i="290"/>
  <c r="M155" i="290"/>
  <c r="L155" i="290"/>
  <c r="H155" i="290"/>
  <c r="M154" i="290"/>
  <c r="L154" i="290"/>
  <c r="H154" i="290"/>
  <c r="M152" i="290"/>
  <c r="L152" i="290"/>
  <c r="H152" i="290"/>
  <c r="M151" i="290"/>
  <c r="L151" i="290"/>
  <c r="H151" i="290"/>
  <c r="M150" i="290"/>
  <c r="L150" i="290"/>
  <c r="H150" i="290"/>
  <c r="M139" i="290"/>
  <c r="L139" i="290"/>
  <c r="H139" i="290"/>
  <c r="M138" i="290"/>
  <c r="L138" i="290"/>
  <c r="H138" i="290"/>
  <c r="M137" i="290"/>
  <c r="L137" i="290"/>
  <c r="H137" i="290"/>
  <c r="M136" i="290"/>
  <c r="L136" i="290"/>
  <c r="H136" i="290"/>
  <c r="M135" i="290"/>
  <c r="L135" i="290"/>
  <c r="H135" i="290"/>
  <c r="M134" i="290"/>
  <c r="L134" i="290"/>
  <c r="H134" i="290"/>
  <c r="M133" i="290"/>
  <c r="L133" i="290"/>
  <c r="H133" i="290"/>
  <c r="M132" i="290"/>
  <c r="L132" i="290"/>
  <c r="H132" i="290"/>
  <c r="M131" i="290"/>
  <c r="L131" i="290"/>
  <c r="H131" i="290"/>
  <c r="M130" i="290"/>
  <c r="L130" i="290"/>
  <c r="H130" i="290"/>
  <c r="M129" i="290"/>
  <c r="L129" i="290"/>
  <c r="H129" i="290"/>
  <c r="M128" i="290"/>
  <c r="L128" i="290"/>
  <c r="H128" i="290"/>
  <c r="M127" i="290"/>
  <c r="L127" i="290"/>
  <c r="H127" i="290"/>
  <c r="M126" i="290"/>
  <c r="L126" i="290"/>
  <c r="H126" i="290"/>
  <c r="M125" i="290"/>
  <c r="L125" i="290"/>
  <c r="H125" i="290"/>
  <c r="M124" i="290"/>
  <c r="L124" i="290"/>
  <c r="H124" i="290"/>
  <c r="M123" i="290"/>
  <c r="L123" i="290"/>
  <c r="H123" i="290"/>
  <c r="M122" i="290"/>
  <c r="L122" i="290"/>
  <c r="H122" i="290"/>
  <c r="M121" i="290"/>
  <c r="L121" i="290"/>
  <c r="H121" i="290"/>
  <c r="M120" i="290"/>
  <c r="L120" i="290"/>
  <c r="H120" i="290"/>
  <c r="M119" i="290"/>
  <c r="L119" i="290"/>
  <c r="H119" i="290"/>
  <c r="M118" i="290"/>
  <c r="L118" i="290"/>
  <c r="H118" i="290"/>
  <c r="M117" i="290"/>
  <c r="L117" i="290"/>
  <c r="H117" i="290"/>
  <c r="M116" i="290"/>
  <c r="L116" i="290"/>
  <c r="H116" i="290"/>
  <c r="M115" i="290"/>
  <c r="L115" i="290"/>
  <c r="H115" i="290"/>
  <c r="M114" i="290"/>
  <c r="L114" i="290"/>
  <c r="H114" i="290"/>
  <c r="M113" i="290"/>
  <c r="L113" i="290"/>
  <c r="H113" i="290"/>
  <c r="M112" i="290"/>
  <c r="L112" i="290"/>
  <c r="H112" i="290"/>
  <c r="M111" i="290"/>
  <c r="L111" i="290"/>
  <c r="H111" i="290"/>
  <c r="M110" i="290"/>
  <c r="L110" i="290"/>
  <c r="H110" i="290"/>
  <c r="M109" i="290"/>
  <c r="L109" i="290"/>
  <c r="H109" i="290"/>
  <c r="M108" i="290"/>
  <c r="L108" i="290"/>
  <c r="H108" i="290"/>
  <c r="M107" i="290"/>
  <c r="L107" i="290"/>
  <c r="H107" i="290"/>
  <c r="M106" i="290"/>
  <c r="L106" i="290"/>
  <c r="H106" i="290"/>
  <c r="M105" i="290"/>
  <c r="L105" i="290"/>
  <c r="H105" i="290"/>
  <c r="M104" i="290"/>
  <c r="L104" i="290"/>
  <c r="H104" i="290"/>
  <c r="M103" i="290"/>
  <c r="L103" i="290"/>
  <c r="H103" i="290"/>
  <c r="M102" i="290"/>
  <c r="L102" i="290"/>
  <c r="H102" i="290"/>
  <c r="M101" i="290"/>
  <c r="L101" i="290"/>
  <c r="H101" i="290"/>
  <c r="M100" i="290"/>
  <c r="L100" i="290"/>
  <c r="H100" i="290"/>
  <c r="M99" i="290"/>
  <c r="L99" i="290"/>
  <c r="H99" i="290"/>
  <c r="M98" i="290"/>
  <c r="L98" i="290"/>
  <c r="H98" i="290"/>
  <c r="M97" i="290"/>
  <c r="L97" i="290"/>
  <c r="H97" i="290"/>
  <c r="M96" i="290"/>
  <c r="L96" i="290"/>
  <c r="H96" i="290"/>
  <c r="M95" i="290"/>
  <c r="L95" i="290"/>
  <c r="H95" i="290"/>
  <c r="M94" i="290"/>
  <c r="L94" i="290"/>
  <c r="H94" i="290"/>
  <c r="M93" i="290"/>
  <c r="L93" i="290"/>
  <c r="H93" i="290"/>
  <c r="M92" i="290"/>
  <c r="L92" i="290"/>
  <c r="H92" i="290"/>
  <c r="M91" i="290"/>
  <c r="L91" i="290"/>
  <c r="H91" i="290"/>
  <c r="M90" i="290"/>
  <c r="L90" i="290"/>
  <c r="H90" i="290"/>
  <c r="M89" i="290"/>
  <c r="L89" i="290"/>
  <c r="H89" i="290"/>
  <c r="M88" i="290"/>
  <c r="L88" i="290"/>
  <c r="H88" i="290"/>
  <c r="M86" i="290"/>
  <c r="L86" i="290"/>
  <c r="H86" i="290"/>
  <c r="M85" i="290"/>
  <c r="L85" i="290"/>
  <c r="H85" i="290"/>
  <c r="M74" i="290"/>
  <c r="L74" i="290"/>
  <c r="M73" i="290"/>
  <c r="L73" i="290"/>
  <c r="M72" i="290"/>
  <c r="L72" i="290"/>
  <c r="M71" i="290"/>
  <c r="L71" i="290"/>
  <c r="M70" i="290"/>
  <c r="L70" i="290"/>
  <c r="M69" i="290"/>
  <c r="L69" i="290"/>
  <c r="M68" i="290"/>
  <c r="L68" i="290"/>
  <c r="M67" i="290"/>
  <c r="L67" i="290"/>
  <c r="M66" i="290"/>
  <c r="L66" i="290"/>
  <c r="M65" i="290"/>
  <c r="L65" i="290"/>
  <c r="M64" i="290"/>
  <c r="L64" i="290"/>
  <c r="M63" i="290"/>
  <c r="L63" i="290"/>
  <c r="M62" i="290"/>
  <c r="L62" i="290"/>
  <c r="M61" i="290"/>
  <c r="L61" i="290"/>
  <c r="M60" i="290"/>
  <c r="L60" i="290"/>
  <c r="M59" i="290"/>
  <c r="L59" i="290"/>
  <c r="M58" i="290"/>
  <c r="L58" i="290"/>
  <c r="M57" i="290"/>
  <c r="L57" i="290"/>
  <c r="M56" i="290"/>
  <c r="L56" i="290"/>
  <c r="M55" i="290"/>
  <c r="L55" i="290"/>
  <c r="M54" i="290"/>
  <c r="L54" i="290"/>
  <c r="M53" i="290"/>
  <c r="L53" i="290"/>
  <c r="M52" i="290"/>
  <c r="L52" i="290"/>
  <c r="M51" i="290"/>
  <c r="L51" i="290"/>
  <c r="M50" i="290"/>
  <c r="L50" i="290"/>
  <c r="M49" i="290"/>
  <c r="L49" i="290"/>
  <c r="M48" i="290"/>
  <c r="L48" i="290"/>
  <c r="M47" i="290"/>
  <c r="L47" i="290"/>
  <c r="M46" i="290"/>
  <c r="L46" i="290"/>
  <c r="M45" i="290"/>
  <c r="L45" i="290"/>
  <c r="M44" i="290"/>
  <c r="L44" i="290"/>
  <c r="M43" i="290"/>
  <c r="L43" i="290"/>
  <c r="M42" i="290"/>
  <c r="L42" i="290"/>
  <c r="M41" i="290"/>
  <c r="L41" i="290"/>
  <c r="M40" i="290"/>
  <c r="L40" i="290"/>
  <c r="M39" i="290"/>
  <c r="L39" i="290"/>
  <c r="M38" i="290"/>
  <c r="L38" i="290"/>
  <c r="M37" i="290"/>
  <c r="L37" i="290"/>
  <c r="M36" i="290"/>
  <c r="L36" i="290"/>
  <c r="M30" i="290"/>
  <c r="L30" i="290"/>
  <c r="M29" i="290"/>
  <c r="L29" i="290"/>
  <c r="M27" i="290"/>
  <c r="L27" i="290"/>
  <c r="M25" i="290"/>
  <c r="L25" i="290"/>
  <c r="M24" i="290"/>
  <c r="L24" i="290"/>
  <c r="M23" i="290"/>
  <c r="L23" i="290"/>
  <c r="M21" i="290"/>
  <c r="L21" i="290"/>
  <c r="M19" i="290"/>
  <c r="L19" i="290"/>
  <c r="M17" i="290"/>
  <c r="L17" i="290"/>
  <c r="M16" i="290"/>
  <c r="L16" i="290"/>
  <c r="M15" i="290"/>
  <c r="L15" i="290"/>
  <c r="M14" i="290"/>
  <c r="L14" i="290"/>
  <c r="M13" i="290"/>
  <c r="L13" i="290"/>
  <c r="M12" i="290"/>
  <c r="L12" i="290"/>
  <c r="H74" i="290"/>
  <c r="H73" i="290"/>
  <c r="H72" i="290"/>
  <c r="H71" i="290"/>
  <c r="H70" i="290"/>
  <c r="H69" i="290"/>
  <c r="H68" i="290"/>
  <c r="H67" i="290"/>
  <c r="H66" i="290"/>
  <c r="H65" i="290"/>
  <c r="H64" i="290"/>
  <c r="H63" i="290"/>
  <c r="H62" i="290"/>
  <c r="H61" i="290"/>
  <c r="H60" i="290"/>
  <c r="H59" i="290"/>
  <c r="H58" i="290"/>
  <c r="H57" i="290"/>
  <c r="H56" i="290"/>
  <c r="H55" i="290"/>
  <c r="H54" i="290"/>
  <c r="H53" i="290"/>
  <c r="H52" i="290"/>
  <c r="H51" i="290"/>
  <c r="H50" i="290"/>
  <c r="H49" i="290"/>
  <c r="H48" i="290"/>
  <c r="H47" i="290"/>
  <c r="H46" i="290"/>
  <c r="H45" i="290"/>
  <c r="H44" i="290"/>
  <c r="H43" i="290"/>
  <c r="H42" i="290"/>
  <c r="H41" i="290"/>
  <c r="H40" i="290"/>
  <c r="H39" i="290"/>
  <c r="H38" i="290"/>
  <c r="H37" i="290"/>
  <c r="H36" i="290"/>
  <c r="H30" i="290"/>
  <c r="H29" i="290"/>
  <c r="H28" i="290"/>
  <c r="H27" i="290"/>
  <c r="H26" i="290"/>
  <c r="H25" i="290"/>
  <c r="H24" i="290"/>
  <c r="H23" i="290"/>
  <c r="H22" i="290"/>
  <c r="H21" i="290"/>
  <c r="H20" i="290"/>
  <c r="H19" i="290"/>
  <c r="H18" i="290"/>
  <c r="H17" i="290"/>
  <c r="H16" i="290"/>
  <c r="H15" i="290"/>
  <c r="H14" i="290"/>
  <c r="H13" i="290"/>
  <c r="H12" i="290"/>
  <c r="M73" i="289"/>
  <c r="L73" i="289"/>
  <c r="H73" i="289"/>
  <c r="M72" i="289"/>
  <c r="L72" i="289"/>
  <c r="H72" i="289"/>
  <c r="M71" i="289"/>
  <c r="L71" i="289"/>
  <c r="H71" i="289"/>
  <c r="M70" i="289"/>
  <c r="L70" i="289"/>
  <c r="H70" i="289"/>
  <c r="M69" i="289"/>
  <c r="L69" i="289"/>
  <c r="H69" i="289"/>
  <c r="M68" i="289"/>
  <c r="L68" i="289"/>
  <c r="H68" i="289"/>
  <c r="M67" i="289"/>
  <c r="L67" i="289"/>
  <c r="H67" i="289"/>
  <c r="M66" i="289"/>
  <c r="L66" i="289"/>
  <c r="H66" i="289"/>
  <c r="M65" i="289"/>
  <c r="L65" i="289"/>
  <c r="H65" i="289"/>
  <c r="M64" i="289"/>
  <c r="L64" i="289"/>
  <c r="H64" i="289"/>
  <c r="M63" i="289"/>
  <c r="L63" i="289"/>
  <c r="H63" i="289"/>
  <c r="M62" i="289"/>
  <c r="L62" i="289"/>
  <c r="H62" i="289"/>
  <c r="M61" i="289"/>
  <c r="L61" i="289"/>
  <c r="H61" i="289"/>
  <c r="M60" i="289"/>
  <c r="L60" i="289"/>
  <c r="H60" i="289"/>
  <c r="M59" i="289"/>
  <c r="L59" i="289"/>
  <c r="H59" i="289"/>
  <c r="M58" i="289"/>
  <c r="L58" i="289"/>
  <c r="H58" i="289"/>
  <c r="M57" i="289"/>
  <c r="L57" i="289"/>
  <c r="H57" i="289"/>
  <c r="M56" i="289"/>
  <c r="L56" i="289"/>
  <c r="H56" i="289"/>
  <c r="M55" i="289"/>
  <c r="L55" i="289"/>
  <c r="H55" i="289"/>
  <c r="M54" i="289"/>
  <c r="L54" i="289"/>
  <c r="H54" i="289"/>
  <c r="M53" i="289"/>
  <c r="L53" i="289"/>
  <c r="H53" i="289"/>
  <c r="M52" i="289"/>
  <c r="L52" i="289"/>
  <c r="H52" i="289"/>
  <c r="M51" i="289"/>
  <c r="L51" i="289"/>
  <c r="H51" i="289"/>
  <c r="M50" i="289"/>
  <c r="L50" i="289"/>
  <c r="H50" i="289"/>
  <c r="M49" i="289"/>
  <c r="L49" i="289"/>
  <c r="H49" i="289"/>
  <c r="M48" i="289"/>
  <c r="L48" i="289"/>
  <c r="H48" i="289"/>
  <c r="M47" i="289"/>
  <c r="L47" i="289"/>
  <c r="H47" i="289"/>
  <c r="M46" i="289"/>
  <c r="L46" i="289"/>
  <c r="H46" i="289"/>
  <c r="M45" i="289"/>
  <c r="L45" i="289"/>
  <c r="H45" i="289"/>
  <c r="M44" i="289"/>
  <c r="L44" i="289"/>
  <c r="H44" i="289"/>
  <c r="M43" i="289"/>
  <c r="L43" i="289"/>
  <c r="H43" i="289"/>
  <c r="M42" i="289"/>
  <c r="L42" i="289"/>
  <c r="H42" i="289"/>
  <c r="M41" i="289"/>
  <c r="L41" i="289"/>
  <c r="H41" i="289"/>
  <c r="M40" i="289"/>
  <c r="L40" i="289"/>
  <c r="H40" i="289"/>
  <c r="M39" i="289"/>
  <c r="L39" i="289"/>
  <c r="H39" i="289"/>
  <c r="M38" i="289"/>
  <c r="L38" i="289"/>
  <c r="H38" i="289"/>
  <c r="M37" i="289"/>
  <c r="L37" i="289"/>
  <c r="H37" i="289"/>
  <c r="M36" i="289"/>
  <c r="L36" i="289"/>
  <c r="H36" i="289"/>
  <c r="M35" i="289"/>
  <c r="L35" i="289"/>
  <c r="H35" i="289"/>
  <c r="M34" i="289"/>
  <c r="L34" i="289"/>
  <c r="H34" i="289"/>
  <c r="M33" i="289"/>
  <c r="L33" i="289"/>
  <c r="H33" i="289"/>
  <c r="M32" i="289"/>
  <c r="L32" i="289"/>
  <c r="H32" i="289"/>
  <c r="M31" i="289"/>
  <c r="L31" i="289"/>
  <c r="H31" i="289"/>
  <c r="M30" i="289"/>
  <c r="L30" i="289"/>
  <c r="H30" i="289"/>
  <c r="M29" i="289"/>
  <c r="L29" i="289"/>
  <c r="H29" i="289"/>
  <c r="M28" i="289"/>
  <c r="L28" i="289"/>
  <c r="H28" i="289"/>
  <c r="M27" i="289"/>
  <c r="L27" i="289"/>
  <c r="H27" i="289"/>
  <c r="M26" i="289"/>
  <c r="L26" i="289"/>
  <c r="H26" i="289"/>
  <c r="M25" i="289"/>
  <c r="L25" i="289"/>
  <c r="H25" i="289"/>
  <c r="M24" i="289"/>
  <c r="L24" i="289"/>
  <c r="H24" i="289"/>
  <c r="M23" i="289"/>
  <c r="L23" i="289"/>
  <c r="H23" i="289"/>
  <c r="M22" i="289"/>
  <c r="L22" i="289"/>
  <c r="H22" i="289"/>
  <c r="M21" i="289"/>
  <c r="L21" i="289"/>
  <c r="H21" i="289"/>
  <c r="M20" i="289"/>
  <c r="L20" i="289"/>
  <c r="H20" i="289"/>
  <c r="M19" i="289"/>
  <c r="L19" i="289"/>
  <c r="H19" i="289"/>
  <c r="M18" i="289"/>
  <c r="L18" i="289"/>
  <c r="H18" i="289"/>
  <c r="M17" i="289"/>
  <c r="L17" i="289"/>
  <c r="H17" i="289"/>
  <c r="M16" i="289"/>
  <c r="L16" i="289"/>
  <c r="H16" i="289"/>
  <c r="M15" i="289"/>
  <c r="L15" i="289"/>
  <c r="H15" i="289"/>
  <c r="M14" i="289"/>
  <c r="L14" i="289"/>
  <c r="H14" i="289"/>
  <c r="M13" i="289"/>
  <c r="L13" i="289"/>
  <c r="H13" i="289"/>
  <c r="M12" i="289"/>
  <c r="L12" i="289"/>
  <c r="H12" i="289"/>
  <c r="H26" i="288"/>
  <c r="M210" i="288"/>
  <c r="L210" i="288"/>
  <c r="H210" i="288"/>
  <c r="M209" i="288"/>
  <c r="L209" i="288"/>
  <c r="H209" i="288"/>
  <c r="M208" i="288"/>
  <c r="L208" i="288"/>
  <c r="H208" i="288"/>
  <c r="M207" i="288"/>
  <c r="L207" i="288"/>
  <c r="H207" i="288"/>
  <c r="M206" i="288"/>
  <c r="L206" i="288"/>
  <c r="H206" i="288"/>
  <c r="M205" i="288"/>
  <c r="L205" i="288"/>
  <c r="H205" i="288"/>
  <c r="M204" i="288"/>
  <c r="L204" i="288"/>
  <c r="H204" i="288"/>
  <c r="M203" i="288"/>
  <c r="L203" i="288"/>
  <c r="H203" i="288"/>
  <c r="M202" i="288"/>
  <c r="L202" i="288"/>
  <c r="H202" i="288"/>
  <c r="M201" i="288"/>
  <c r="L201" i="288"/>
  <c r="H201" i="288"/>
  <c r="M200" i="288"/>
  <c r="L200" i="288"/>
  <c r="H200" i="288"/>
  <c r="M199" i="288"/>
  <c r="L199" i="288"/>
  <c r="H199" i="288"/>
  <c r="M198" i="288"/>
  <c r="L198" i="288"/>
  <c r="H198" i="288"/>
  <c r="M197" i="288"/>
  <c r="L197" i="288"/>
  <c r="H197" i="288"/>
  <c r="M196" i="288"/>
  <c r="L196" i="288"/>
  <c r="H196" i="288"/>
  <c r="M195" i="288"/>
  <c r="L195" i="288"/>
  <c r="H195" i="288"/>
  <c r="M194" i="288"/>
  <c r="L194" i="288"/>
  <c r="H194" i="288"/>
  <c r="M193" i="288"/>
  <c r="L193" i="288"/>
  <c r="H193" i="288"/>
  <c r="M192" i="288"/>
  <c r="L192" i="288"/>
  <c r="H192" i="288"/>
  <c r="M191" i="288"/>
  <c r="L191" i="288"/>
  <c r="H191" i="288"/>
  <c r="M190" i="288"/>
  <c r="L190" i="288"/>
  <c r="H190" i="288"/>
  <c r="M189" i="288"/>
  <c r="L189" i="288"/>
  <c r="H189" i="288"/>
  <c r="M188" i="288"/>
  <c r="L188" i="288"/>
  <c r="H188" i="288"/>
  <c r="M187" i="288"/>
  <c r="L187" i="288"/>
  <c r="H187" i="288"/>
  <c r="M186" i="288"/>
  <c r="L186" i="288"/>
  <c r="H186" i="288"/>
  <c r="M185" i="288"/>
  <c r="L185" i="288"/>
  <c r="H185" i="288"/>
  <c r="M184" i="288"/>
  <c r="L184" i="288"/>
  <c r="H184" i="288"/>
  <c r="M183" i="288"/>
  <c r="L183" i="288"/>
  <c r="H183" i="288"/>
  <c r="M182" i="288"/>
  <c r="L182" i="288"/>
  <c r="H182" i="288"/>
  <c r="M181" i="288"/>
  <c r="L181" i="288"/>
  <c r="H181" i="288"/>
  <c r="M180" i="288"/>
  <c r="L180" i="288"/>
  <c r="H180" i="288"/>
  <c r="M179" i="288"/>
  <c r="L179" i="288"/>
  <c r="H179" i="288"/>
  <c r="M178" i="288"/>
  <c r="L178" i="288"/>
  <c r="H178" i="288"/>
  <c r="M177" i="288"/>
  <c r="L177" i="288"/>
  <c r="H177" i="288"/>
  <c r="M176" i="288"/>
  <c r="L176" i="288"/>
  <c r="H176" i="288"/>
  <c r="M175" i="288"/>
  <c r="L175" i="288"/>
  <c r="H175" i="288"/>
  <c r="M174" i="288"/>
  <c r="L174" i="288"/>
  <c r="H174" i="288"/>
  <c r="M173" i="288"/>
  <c r="L173" i="288"/>
  <c r="H173" i="288"/>
  <c r="M172" i="288"/>
  <c r="L172" i="288"/>
  <c r="H172" i="288"/>
  <c r="M171" i="288"/>
  <c r="L171" i="288"/>
  <c r="H171" i="288"/>
  <c r="M170" i="288"/>
  <c r="L170" i="288"/>
  <c r="H170" i="288"/>
  <c r="M169" i="288"/>
  <c r="L169" i="288"/>
  <c r="H169" i="288"/>
  <c r="M168" i="288"/>
  <c r="L168" i="288"/>
  <c r="H168" i="288"/>
  <c r="M167" i="288"/>
  <c r="L167" i="288"/>
  <c r="H167" i="288"/>
  <c r="M166" i="288"/>
  <c r="L166" i="288"/>
  <c r="H166" i="288"/>
  <c r="M165" i="288"/>
  <c r="L165" i="288"/>
  <c r="H165" i="288"/>
  <c r="M164" i="288"/>
  <c r="L164" i="288"/>
  <c r="H164" i="288"/>
  <c r="M163" i="288"/>
  <c r="L163" i="288"/>
  <c r="H163" i="288"/>
  <c r="M162" i="288"/>
  <c r="L162" i="288"/>
  <c r="H162" i="288"/>
  <c r="M161" i="288"/>
  <c r="L161" i="288"/>
  <c r="H161" i="288"/>
  <c r="M160" i="288"/>
  <c r="L160" i="288"/>
  <c r="H160" i="288"/>
  <c r="M159" i="288"/>
  <c r="L159" i="288"/>
  <c r="H159" i="288"/>
  <c r="M158" i="288"/>
  <c r="L158" i="288"/>
  <c r="H158" i="288"/>
  <c r="M157" i="288"/>
  <c r="L157" i="288"/>
  <c r="H157" i="288"/>
  <c r="M156" i="288"/>
  <c r="L156" i="288"/>
  <c r="H156" i="288"/>
  <c r="M155" i="288"/>
  <c r="L155" i="288"/>
  <c r="H155" i="288"/>
  <c r="M153" i="288"/>
  <c r="L153" i="288"/>
  <c r="H153" i="288"/>
  <c r="M142" i="288"/>
  <c r="L142" i="288"/>
  <c r="H142" i="288"/>
  <c r="M141" i="288"/>
  <c r="L141" i="288"/>
  <c r="H141" i="288"/>
  <c r="M140" i="288"/>
  <c r="L140" i="288"/>
  <c r="H140" i="288"/>
  <c r="M139" i="288"/>
  <c r="L139" i="288"/>
  <c r="H139" i="288"/>
  <c r="M138" i="288"/>
  <c r="L138" i="288"/>
  <c r="H138" i="288"/>
  <c r="M137" i="288"/>
  <c r="L137" i="288"/>
  <c r="H137" i="288"/>
  <c r="M136" i="288"/>
  <c r="L136" i="288"/>
  <c r="H136" i="288"/>
  <c r="M135" i="288"/>
  <c r="L135" i="288"/>
  <c r="H135" i="288"/>
  <c r="M134" i="288"/>
  <c r="L134" i="288"/>
  <c r="H134" i="288"/>
  <c r="M133" i="288"/>
  <c r="L133" i="288"/>
  <c r="H133" i="288"/>
  <c r="M132" i="288"/>
  <c r="L132" i="288"/>
  <c r="H132" i="288"/>
  <c r="M131" i="288"/>
  <c r="L131" i="288"/>
  <c r="H131" i="288"/>
  <c r="M130" i="288"/>
  <c r="L130" i="288"/>
  <c r="H130" i="288"/>
  <c r="M129" i="288"/>
  <c r="L129" i="288"/>
  <c r="H129" i="288"/>
  <c r="M128" i="288"/>
  <c r="L128" i="288"/>
  <c r="H128" i="288"/>
  <c r="M127" i="288"/>
  <c r="L127" i="288"/>
  <c r="H127" i="288"/>
  <c r="M126" i="288"/>
  <c r="L126" i="288"/>
  <c r="H126" i="288"/>
  <c r="M125" i="288"/>
  <c r="L125" i="288"/>
  <c r="H125" i="288"/>
  <c r="M124" i="288"/>
  <c r="L124" i="288"/>
  <c r="H124" i="288"/>
  <c r="M123" i="288"/>
  <c r="L123" i="288"/>
  <c r="H123" i="288"/>
  <c r="M122" i="288"/>
  <c r="L122" i="288"/>
  <c r="H122" i="288"/>
  <c r="M121" i="288"/>
  <c r="L121" i="288"/>
  <c r="H121" i="288"/>
  <c r="M120" i="288"/>
  <c r="L120" i="288"/>
  <c r="H120" i="288"/>
  <c r="M119" i="288"/>
  <c r="L119" i="288"/>
  <c r="H119" i="288"/>
  <c r="M118" i="288"/>
  <c r="L118" i="288"/>
  <c r="H118" i="288"/>
  <c r="M117" i="288"/>
  <c r="L117" i="288"/>
  <c r="H117" i="288"/>
  <c r="M116" i="288"/>
  <c r="L116" i="288"/>
  <c r="H116" i="288"/>
  <c r="M115" i="288"/>
  <c r="L115" i="288"/>
  <c r="H115" i="288"/>
  <c r="M114" i="288"/>
  <c r="L114" i="288"/>
  <c r="H114" i="288"/>
  <c r="M113" i="288"/>
  <c r="L113" i="288"/>
  <c r="H113" i="288"/>
  <c r="M112" i="288"/>
  <c r="L112" i="288"/>
  <c r="H112" i="288"/>
  <c r="M111" i="288"/>
  <c r="L111" i="288"/>
  <c r="H111" i="288"/>
  <c r="M110" i="288"/>
  <c r="L110" i="288"/>
  <c r="H110" i="288"/>
  <c r="M109" i="288"/>
  <c r="L109" i="288"/>
  <c r="H109" i="288"/>
  <c r="M108" i="288"/>
  <c r="L108" i="288"/>
  <c r="H108" i="288"/>
  <c r="M107" i="288"/>
  <c r="L107" i="288"/>
  <c r="H107" i="288"/>
  <c r="M106" i="288"/>
  <c r="L106" i="288"/>
  <c r="H106" i="288"/>
  <c r="M105" i="288"/>
  <c r="L105" i="288"/>
  <c r="H105" i="288"/>
  <c r="M104" i="288"/>
  <c r="L104" i="288"/>
  <c r="H104" i="288"/>
  <c r="M103" i="288"/>
  <c r="L103" i="288"/>
  <c r="H103" i="288"/>
  <c r="M102" i="288"/>
  <c r="L102" i="288"/>
  <c r="H102" i="288"/>
  <c r="M101" i="288"/>
  <c r="L101" i="288"/>
  <c r="H101" i="288"/>
  <c r="M100" i="288"/>
  <c r="L100" i="288"/>
  <c r="H100" i="288"/>
  <c r="M99" i="288"/>
  <c r="L99" i="288"/>
  <c r="H99" i="288"/>
  <c r="M98" i="288"/>
  <c r="L98" i="288"/>
  <c r="H98" i="288"/>
  <c r="M97" i="288"/>
  <c r="L97" i="288"/>
  <c r="H97" i="288"/>
  <c r="M96" i="288"/>
  <c r="L96" i="288"/>
  <c r="H96" i="288"/>
  <c r="M95" i="288"/>
  <c r="L95" i="288"/>
  <c r="H95" i="288"/>
  <c r="M94" i="288"/>
  <c r="L94" i="288"/>
  <c r="H94" i="288"/>
  <c r="M93" i="288"/>
  <c r="L93" i="288"/>
  <c r="H93" i="288"/>
  <c r="M92" i="288"/>
  <c r="L92" i="288"/>
  <c r="H92" i="288"/>
  <c r="M91" i="288"/>
  <c r="L91" i="288"/>
  <c r="H91" i="288"/>
  <c r="M90" i="288"/>
  <c r="L90" i="288"/>
  <c r="H90" i="288"/>
  <c r="M89" i="288"/>
  <c r="L89" i="288"/>
  <c r="H89" i="288"/>
  <c r="M88" i="288"/>
  <c r="L88" i="288"/>
  <c r="H88" i="288"/>
  <c r="M87" i="288"/>
  <c r="L87" i="288"/>
  <c r="H87" i="288"/>
  <c r="M86" i="288"/>
  <c r="L86" i="288"/>
  <c r="H86" i="288"/>
  <c r="M85" i="288"/>
  <c r="L85" i="288"/>
  <c r="H85" i="288"/>
  <c r="M84" i="288"/>
  <c r="L84" i="288"/>
  <c r="H84" i="288"/>
  <c r="M72" i="288"/>
  <c r="L72" i="288"/>
  <c r="M71" i="288"/>
  <c r="L71" i="288"/>
  <c r="M70" i="288"/>
  <c r="L70" i="288"/>
  <c r="M69" i="288"/>
  <c r="L69" i="288"/>
  <c r="M68" i="288"/>
  <c r="L68" i="288"/>
  <c r="M67" i="288"/>
  <c r="L67" i="288"/>
  <c r="M66" i="288"/>
  <c r="L66" i="288"/>
  <c r="M65" i="288"/>
  <c r="L65" i="288"/>
  <c r="M64" i="288"/>
  <c r="L64" i="288"/>
  <c r="M63" i="288"/>
  <c r="L63" i="288"/>
  <c r="M62" i="288"/>
  <c r="L62" i="288"/>
  <c r="M61" i="288"/>
  <c r="L61" i="288"/>
  <c r="M60" i="288"/>
  <c r="L60" i="288"/>
  <c r="M59" i="288"/>
  <c r="L59" i="288"/>
  <c r="M58" i="288"/>
  <c r="L58" i="288"/>
  <c r="M57" i="288"/>
  <c r="L57" i="288"/>
  <c r="M56" i="288"/>
  <c r="L56" i="288"/>
  <c r="M55" i="288"/>
  <c r="L55" i="288"/>
  <c r="M54" i="288"/>
  <c r="L54" i="288"/>
  <c r="M53" i="288"/>
  <c r="L53" i="288"/>
  <c r="M52" i="288"/>
  <c r="L52" i="288"/>
  <c r="M51" i="288"/>
  <c r="L51" i="288"/>
  <c r="M50" i="288"/>
  <c r="L50" i="288"/>
  <c r="M49" i="288"/>
  <c r="L49" i="288"/>
  <c r="M48" i="288"/>
  <c r="L48" i="288"/>
  <c r="M47" i="288"/>
  <c r="L47" i="288"/>
  <c r="M46" i="288"/>
  <c r="L46" i="288"/>
  <c r="M45" i="288"/>
  <c r="L45" i="288"/>
  <c r="M44" i="288"/>
  <c r="L44" i="288"/>
  <c r="M43" i="288"/>
  <c r="L43" i="288"/>
  <c r="M42" i="288"/>
  <c r="L42" i="288"/>
  <c r="M41" i="288"/>
  <c r="L41" i="288"/>
  <c r="M40" i="288"/>
  <c r="L40" i="288"/>
  <c r="M39" i="288"/>
  <c r="L39" i="288"/>
  <c r="M38" i="288"/>
  <c r="L38" i="288"/>
  <c r="M37" i="288"/>
  <c r="L37" i="288"/>
  <c r="M36" i="288"/>
  <c r="L36" i="288"/>
  <c r="M35" i="288"/>
  <c r="L35" i="288"/>
  <c r="M34" i="288"/>
  <c r="L34" i="288"/>
  <c r="M33" i="288"/>
  <c r="L33" i="288"/>
  <c r="L32" i="288"/>
  <c r="M31" i="288"/>
  <c r="L31" i="288"/>
  <c r="M30" i="288"/>
  <c r="L30" i="288"/>
  <c r="M29" i="288"/>
  <c r="L29" i="288"/>
  <c r="M28" i="288"/>
  <c r="L28" i="288"/>
  <c r="M27" i="288"/>
  <c r="L27" i="288"/>
  <c r="M26" i="288"/>
  <c r="L26" i="288"/>
  <c r="M25" i="288"/>
  <c r="L25" i="288"/>
  <c r="M24" i="288"/>
  <c r="L24" i="288"/>
  <c r="M23" i="288"/>
  <c r="L23" i="288"/>
  <c r="M22" i="288"/>
  <c r="L22" i="288"/>
  <c r="M21" i="288"/>
  <c r="L21" i="288"/>
  <c r="M20" i="288"/>
  <c r="L20" i="288"/>
  <c r="M19" i="288"/>
  <c r="L19" i="288"/>
  <c r="M18" i="288"/>
  <c r="L18" i="288"/>
  <c r="M17" i="288"/>
  <c r="L17" i="288"/>
  <c r="M16" i="288"/>
  <c r="L16" i="288"/>
  <c r="M15" i="288"/>
  <c r="L15" i="288"/>
  <c r="M14" i="288"/>
  <c r="L14" i="288"/>
  <c r="M13" i="288"/>
  <c r="L13" i="288"/>
  <c r="M12" i="288"/>
  <c r="L12" i="288"/>
  <c r="H72" i="288"/>
  <c r="H71" i="288"/>
  <c r="H70" i="288"/>
  <c r="H69" i="288"/>
  <c r="H68" i="288"/>
  <c r="H67" i="288"/>
  <c r="H66" i="288"/>
  <c r="H65" i="288"/>
  <c r="H64" i="288"/>
  <c r="H63" i="288"/>
  <c r="H62" i="288"/>
  <c r="H61" i="288"/>
  <c r="H60" i="288"/>
  <c r="H59" i="288"/>
  <c r="H58" i="288"/>
  <c r="H57" i="288"/>
  <c r="H56" i="288"/>
  <c r="H55" i="288"/>
  <c r="H54" i="288"/>
  <c r="H53" i="288"/>
  <c r="H52" i="288"/>
  <c r="H51" i="288"/>
  <c r="H50" i="288"/>
  <c r="H49" i="288"/>
  <c r="H48" i="288"/>
  <c r="H47" i="288"/>
  <c r="H46" i="288"/>
  <c r="H45" i="288"/>
  <c r="H44" i="288"/>
  <c r="H43" i="288"/>
  <c r="H42" i="288"/>
  <c r="H41" i="288"/>
  <c r="H40" i="288"/>
  <c r="H39" i="288"/>
  <c r="H38" i="288"/>
  <c r="H37" i="288"/>
  <c r="H36" i="288"/>
  <c r="H35" i="288"/>
  <c r="H34" i="288"/>
  <c r="H33" i="288"/>
  <c r="H32" i="288"/>
  <c r="H31" i="288"/>
  <c r="H30" i="288"/>
  <c r="H29" i="288"/>
  <c r="H28" i="288"/>
  <c r="H27" i="288"/>
  <c r="H25" i="288"/>
  <c r="H23" i="288"/>
  <c r="H22" i="288"/>
  <c r="H21" i="288"/>
  <c r="H20" i="288"/>
  <c r="H19" i="288"/>
  <c r="H17" i="288"/>
  <c r="H15" i="288"/>
  <c r="H14" i="288"/>
  <c r="H13" i="288"/>
  <c r="H12" i="288"/>
  <c r="M78" i="287"/>
  <c r="M143" i="286"/>
  <c r="L143" i="286"/>
  <c r="M142" i="286"/>
  <c r="L142" i="286"/>
  <c r="M141" i="286"/>
  <c r="L141" i="286"/>
  <c r="M140" i="286"/>
  <c r="L140" i="286"/>
  <c r="M139" i="286"/>
  <c r="L139" i="286"/>
  <c r="M138" i="286"/>
  <c r="L138" i="286"/>
  <c r="M137" i="286"/>
  <c r="L137" i="286"/>
  <c r="M136" i="286"/>
  <c r="L136" i="286"/>
  <c r="M135" i="286"/>
  <c r="L135" i="286"/>
  <c r="M134" i="286"/>
  <c r="L134" i="286"/>
  <c r="M133" i="286"/>
  <c r="L133" i="286"/>
  <c r="M132" i="286"/>
  <c r="L132" i="286"/>
  <c r="M131" i="286"/>
  <c r="L131" i="286"/>
  <c r="M130" i="286"/>
  <c r="L130" i="286"/>
  <c r="M129" i="286"/>
  <c r="L129" i="286"/>
  <c r="M128" i="286"/>
  <c r="L128" i="286"/>
  <c r="M127" i="286"/>
  <c r="L127" i="286"/>
  <c r="M126" i="286"/>
  <c r="L126" i="286"/>
  <c r="M125" i="286"/>
  <c r="L125" i="286"/>
  <c r="M124" i="286"/>
  <c r="L124" i="286"/>
  <c r="M123" i="286"/>
  <c r="L123" i="286"/>
  <c r="M122" i="286"/>
  <c r="L122" i="286"/>
  <c r="M121" i="286"/>
  <c r="L121" i="286"/>
  <c r="M120" i="286"/>
  <c r="L120" i="286"/>
  <c r="M119" i="286"/>
  <c r="L119" i="286"/>
  <c r="M118" i="286"/>
  <c r="L118" i="286"/>
  <c r="M117" i="286"/>
  <c r="L117" i="286"/>
  <c r="M116" i="286"/>
  <c r="L116" i="286"/>
  <c r="M115" i="286"/>
  <c r="L115" i="286"/>
  <c r="M114" i="286"/>
  <c r="L114" i="286"/>
  <c r="M113" i="286"/>
  <c r="L113" i="286"/>
  <c r="M112" i="286"/>
  <c r="L112" i="286"/>
  <c r="M111" i="286"/>
  <c r="L111" i="286"/>
  <c r="M110" i="286"/>
  <c r="L110" i="286"/>
  <c r="M109" i="286"/>
  <c r="L109" i="286"/>
  <c r="M108" i="286"/>
  <c r="L108" i="286"/>
  <c r="M107" i="286"/>
  <c r="L107" i="286"/>
  <c r="M106" i="286"/>
  <c r="L106" i="286"/>
  <c r="M105" i="286"/>
  <c r="L105" i="286"/>
  <c r="M104" i="286"/>
  <c r="L104" i="286"/>
  <c r="M103" i="286"/>
  <c r="L103" i="286"/>
  <c r="M102" i="286"/>
  <c r="L102" i="286"/>
  <c r="M101" i="286"/>
  <c r="L101" i="286"/>
  <c r="M100" i="286"/>
  <c r="L100" i="286"/>
  <c r="M99" i="286"/>
  <c r="L99" i="286"/>
  <c r="M98" i="286"/>
  <c r="L98" i="286"/>
  <c r="M97" i="286"/>
  <c r="L97" i="286"/>
  <c r="M96" i="286"/>
  <c r="L96" i="286"/>
  <c r="M95" i="286"/>
  <c r="L95" i="286"/>
  <c r="M94" i="286"/>
  <c r="L94" i="286"/>
  <c r="M93" i="286"/>
  <c r="L93" i="286"/>
  <c r="M92" i="286"/>
  <c r="L92" i="286"/>
  <c r="M91" i="286"/>
  <c r="L91" i="286"/>
  <c r="M90" i="286"/>
  <c r="L90" i="286"/>
  <c r="M89" i="286"/>
  <c r="L89" i="286"/>
  <c r="M88" i="286"/>
  <c r="L88" i="286"/>
  <c r="M87" i="286"/>
  <c r="L87" i="286"/>
  <c r="M86" i="286"/>
  <c r="L86" i="286"/>
  <c r="M85" i="286"/>
  <c r="L85" i="286"/>
  <c r="M84" i="286"/>
  <c r="L84" i="286"/>
  <c r="M44" i="286"/>
  <c r="L44" i="286"/>
  <c r="M43" i="286"/>
  <c r="L43" i="286"/>
  <c r="M42" i="286"/>
  <c r="L42" i="286"/>
  <c r="M41" i="286"/>
  <c r="L41" i="286"/>
  <c r="M40" i="286"/>
  <c r="L40" i="286"/>
  <c r="M39" i="286"/>
  <c r="L39" i="286"/>
  <c r="M38" i="286"/>
  <c r="L38" i="286"/>
  <c r="M37" i="286"/>
  <c r="L37" i="286"/>
  <c r="M35" i="286"/>
  <c r="L35" i="286"/>
  <c r="M33" i="286"/>
  <c r="L33" i="286"/>
  <c r="M32" i="286"/>
  <c r="L32" i="286"/>
  <c r="M31" i="286"/>
  <c r="L31" i="286"/>
  <c r="M30" i="286"/>
  <c r="L30" i="286"/>
  <c r="M29" i="286"/>
  <c r="L29" i="286"/>
  <c r="M27" i="286"/>
  <c r="L27" i="286"/>
  <c r="M25" i="286"/>
  <c r="L25" i="286"/>
  <c r="M24" i="286"/>
  <c r="L24" i="286"/>
  <c r="M23" i="286"/>
  <c r="L23" i="286"/>
  <c r="M21" i="286"/>
  <c r="L21" i="286"/>
  <c r="M20" i="286"/>
  <c r="L20" i="286"/>
  <c r="M19" i="286"/>
  <c r="L19" i="286"/>
  <c r="M18" i="286"/>
  <c r="L18" i="286"/>
  <c r="M17" i="286"/>
  <c r="L17" i="286"/>
  <c r="M15" i="286"/>
  <c r="L15" i="286"/>
  <c r="M14" i="286"/>
  <c r="L14" i="286"/>
  <c r="M13" i="286"/>
  <c r="L13" i="286"/>
  <c r="M12" i="286"/>
  <c r="L12" i="286"/>
  <c r="M255" i="275"/>
  <c r="L255" i="275"/>
  <c r="M254" i="275"/>
  <c r="L254" i="275"/>
  <c r="M253" i="275"/>
  <c r="L253" i="275"/>
  <c r="M252" i="275"/>
  <c r="L252" i="275"/>
  <c r="M251" i="275"/>
  <c r="L251" i="275"/>
  <c r="M250" i="275"/>
  <c r="L250" i="275"/>
  <c r="M249" i="275"/>
  <c r="L249" i="275"/>
  <c r="M248" i="275"/>
  <c r="L248" i="275"/>
  <c r="M247" i="275"/>
  <c r="L247" i="275"/>
  <c r="M246" i="275"/>
  <c r="L246" i="275"/>
  <c r="M245" i="275"/>
  <c r="L245" i="275"/>
  <c r="M244" i="275"/>
  <c r="L244" i="275"/>
  <c r="M243" i="275"/>
  <c r="L243" i="275"/>
  <c r="M242" i="275"/>
  <c r="L242" i="275"/>
  <c r="M241" i="275"/>
  <c r="L241" i="275"/>
  <c r="M240" i="275"/>
  <c r="L240" i="275"/>
  <c r="M239" i="275"/>
  <c r="L239" i="275"/>
  <c r="M238" i="275"/>
  <c r="L238" i="275"/>
  <c r="M237" i="275"/>
  <c r="L237" i="275"/>
  <c r="M236" i="275"/>
  <c r="L236" i="275"/>
  <c r="M235" i="275"/>
  <c r="L235" i="275"/>
  <c r="M234" i="275"/>
  <c r="L234" i="275"/>
  <c r="M233" i="275"/>
  <c r="L233" i="275"/>
  <c r="M232" i="275"/>
  <c r="L232" i="275"/>
  <c r="M231" i="275"/>
  <c r="L231" i="275"/>
  <c r="M230" i="275"/>
  <c r="L230" i="275"/>
  <c r="M229" i="275"/>
  <c r="L229" i="275"/>
  <c r="M228" i="275"/>
  <c r="L228" i="275"/>
  <c r="M227" i="275"/>
  <c r="L227" i="275"/>
  <c r="M226" i="275"/>
  <c r="L226" i="275"/>
  <c r="M225" i="275"/>
  <c r="L225" i="275"/>
  <c r="M224" i="275"/>
  <c r="L224" i="275"/>
  <c r="M223" i="275"/>
  <c r="L223" i="275"/>
  <c r="M222" i="275"/>
  <c r="L222" i="275"/>
  <c r="M221" i="275"/>
  <c r="L221" i="275"/>
  <c r="M220" i="275"/>
  <c r="L220" i="275"/>
  <c r="M219" i="275"/>
  <c r="L219" i="275"/>
  <c r="M218" i="275"/>
  <c r="L218" i="275"/>
  <c r="M217" i="275"/>
  <c r="L217" i="275"/>
  <c r="M216" i="275"/>
  <c r="L216" i="275"/>
  <c r="M215" i="275"/>
  <c r="L215" i="275"/>
  <c r="M214" i="275"/>
  <c r="L214" i="275"/>
  <c r="M213" i="275"/>
  <c r="L213" i="275"/>
  <c r="M212" i="275"/>
  <c r="L212" i="275"/>
  <c r="M211" i="275"/>
  <c r="L211" i="275"/>
  <c r="M210" i="275"/>
  <c r="L210" i="275"/>
  <c r="M209" i="275"/>
  <c r="L209" i="275"/>
  <c r="M208" i="275"/>
  <c r="L208" i="275"/>
  <c r="M207" i="275"/>
  <c r="L207" i="275"/>
  <c r="M206" i="275"/>
  <c r="L206" i="275"/>
  <c r="M205" i="275"/>
  <c r="L205" i="275"/>
  <c r="M204" i="275"/>
  <c r="L204" i="275"/>
  <c r="M203" i="275"/>
  <c r="L203" i="275"/>
  <c r="M202" i="275"/>
  <c r="L202" i="275"/>
  <c r="M201" i="275"/>
  <c r="L201" i="275"/>
  <c r="M200" i="275"/>
  <c r="L200" i="275"/>
  <c r="H255" i="275"/>
  <c r="H254" i="275"/>
  <c r="H253" i="275"/>
  <c r="H252" i="275"/>
  <c r="H251" i="275"/>
  <c r="H250" i="275"/>
  <c r="H249" i="275"/>
  <c r="H248" i="275"/>
  <c r="H247" i="275"/>
  <c r="H246" i="275"/>
  <c r="H245" i="275"/>
  <c r="H244" i="275"/>
  <c r="H243" i="275"/>
  <c r="H242" i="275"/>
  <c r="H241" i="275"/>
  <c r="H240" i="275"/>
  <c r="H239" i="275"/>
  <c r="H238" i="275"/>
  <c r="H237" i="275"/>
  <c r="H236" i="275"/>
  <c r="H235" i="275"/>
  <c r="H234" i="275"/>
  <c r="H233" i="275"/>
  <c r="H232" i="275"/>
  <c r="H231" i="275"/>
  <c r="H230" i="275"/>
  <c r="H229" i="275"/>
  <c r="H228" i="275"/>
  <c r="H227" i="275"/>
  <c r="H226" i="275"/>
  <c r="H225" i="275"/>
  <c r="H224" i="275"/>
  <c r="H223" i="275"/>
  <c r="H222" i="275"/>
  <c r="H221" i="275"/>
  <c r="H220" i="275"/>
  <c r="H219" i="275"/>
  <c r="H218" i="275"/>
  <c r="H217" i="275"/>
  <c r="H216" i="275"/>
  <c r="H215" i="275"/>
  <c r="H214" i="275"/>
  <c r="H213" i="275"/>
  <c r="H212" i="275"/>
  <c r="H211" i="275"/>
  <c r="H210" i="275"/>
  <c r="H209" i="275"/>
  <c r="H208" i="275"/>
  <c r="H207" i="275"/>
  <c r="H206" i="275"/>
  <c r="H205" i="275"/>
  <c r="H204" i="275"/>
  <c r="H203" i="275"/>
  <c r="H202" i="275"/>
  <c r="H200" i="275"/>
  <c r="H199" i="275"/>
  <c r="M188" i="275"/>
  <c r="L188" i="275"/>
  <c r="M187" i="275"/>
  <c r="L187" i="275"/>
  <c r="M186" i="275"/>
  <c r="L186" i="275"/>
  <c r="M185" i="275"/>
  <c r="L185" i="275"/>
  <c r="M184" i="275"/>
  <c r="L184" i="275"/>
  <c r="M183" i="275"/>
  <c r="L183" i="275"/>
  <c r="M182" i="275"/>
  <c r="L182" i="275"/>
  <c r="M181" i="275"/>
  <c r="L181" i="275"/>
  <c r="M180" i="275"/>
  <c r="L180" i="275"/>
  <c r="M179" i="275"/>
  <c r="L179" i="275"/>
  <c r="M178" i="275"/>
  <c r="L178" i="275"/>
  <c r="M177" i="275"/>
  <c r="L177" i="275"/>
  <c r="M176" i="275"/>
  <c r="L176" i="275"/>
  <c r="M175" i="275"/>
  <c r="L175" i="275"/>
  <c r="M174" i="275"/>
  <c r="L174" i="275"/>
  <c r="M173" i="275"/>
  <c r="L173" i="275"/>
  <c r="M172" i="275"/>
  <c r="L172" i="275"/>
  <c r="M171" i="275"/>
  <c r="L171" i="275"/>
  <c r="M170" i="275"/>
  <c r="L170" i="275"/>
  <c r="M169" i="275"/>
  <c r="L169" i="275"/>
  <c r="M168" i="275"/>
  <c r="L168" i="275"/>
  <c r="M167" i="275"/>
  <c r="L167" i="275"/>
  <c r="M166" i="275"/>
  <c r="L166" i="275"/>
  <c r="M165" i="275"/>
  <c r="L165" i="275"/>
  <c r="M164" i="275"/>
  <c r="L164" i="275"/>
  <c r="M163" i="275"/>
  <c r="L163" i="275"/>
  <c r="M162" i="275"/>
  <c r="L162" i="275"/>
  <c r="M161" i="275"/>
  <c r="L161" i="275"/>
  <c r="M160" i="275"/>
  <c r="L160" i="275"/>
  <c r="M159" i="275"/>
  <c r="L159" i="275"/>
  <c r="M158" i="275"/>
  <c r="L158" i="275"/>
  <c r="M157" i="275"/>
  <c r="L157" i="275"/>
  <c r="M156" i="275"/>
  <c r="L156" i="275"/>
  <c r="M155" i="275"/>
  <c r="L155" i="275"/>
  <c r="M154" i="275"/>
  <c r="L154" i="275"/>
  <c r="M153" i="275"/>
  <c r="L153" i="275"/>
  <c r="M152" i="275"/>
  <c r="L152" i="275"/>
  <c r="M151" i="275"/>
  <c r="L151" i="275"/>
  <c r="M150" i="275"/>
  <c r="L150" i="275"/>
  <c r="M149" i="275"/>
  <c r="L149" i="275"/>
  <c r="M148" i="275"/>
  <c r="L148" i="275"/>
  <c r="M147" i="275"/>
  <c r="L147" i="275"/>
  <c r="M146" i="275"/>
  <c r="L146" i="275"/>
  <c r="M145" i="275"/>
  <c r="L145" i="275"/>
  <c r="M144" i="275"/>
  <c r="L144" i="275"/>
  <c r="M143" i="275"/>
  <c r="L143" i="275"/>
  <c r="M142" i="275"/>
  <c r="L142" i="275"/>
  <c r="M141" i="275"/>
  <c r="L141" i="275"/>
  <c r="M140" i="275"/>
  <c r="L140" i="275"/>
  <c r="M139" i="275"/>
  <c r="L139" i="275"/>
  <c r="M138" i="275"/>
  <c r="L138" i="275"/>
  <c r="M137" i="275"/>
  <c r="L137" i="275"/>
  <c r="M136" i="275"/>
  <c r="L136" i="275"/>
  <c r="M135" i="275"/>
  <c r="L135" i="275"/>
  <c r="M134" i="275"/>
  <c r="L134" i="275"/>
  <c r="M133" i="275"/>
  <c r="L133" i="275"/>
  <c r="H188" i="275"/>
  <c r="H187" i="275"/>
  <c r="H186" i="275"/>
  <c r="H185" i="275"/>
  <c r="H184" i="275"/>
  <c r="H183" i="275"/>
  <c r="H182" i="275"/>
  <c r="H181" i="275"/>
  <c r="H180" i="275"/>
  <c r="H179" i="275"/>
  <c r="H178" i="275"/>
  <c r="H177" i="275"/>
  <c r="H176" i="275"/>
  <c r="H175" i="275"/>
  <c r="H174" i="275"/>
  <c r="H173" i="275"/>
  <c r="H172" i="275"/>
  <c r="H171" i="275"/>
  <c r="H170" i="275"/>
  <c r="H169" i="275"/>
  <c r="H168" i="275"/>
  <c r="H167" i="275"/>
  <c r="H166" i="275"/>
  <c r="H165" i="275"/>
  <c r="H164" i="275"/>
  <c r="H163" i="275"/>
  <c r="H162" i="275"/>
  <c r="H161" i="275"/>
  <c r="H160" i="275"/>
  <c r="H159" i="275"/>
  <c r="H158" i="275"/>
  <c r="H157" i="275"/>
  <c r="H156" i="275"/>
  <c r="H155" i="275"/>
  <c r="H154" i="275"/>
  <c r="H153" i="275"/>
  <c r="H152" i="275"/>
  <c r="H151" i="275"/>
  <c r="H150" i="275"/>
  <c r="H149" i="275"/>
  <c r="H148" i="275"/>
  <c r="H147" i="275"/>
  <c r="H146" i="275"/>
  <c r="H145" i="275"/>
  <c r="H144" i="275"/>
  <c r="H143" i="275"/>
  <c r="H142" i="275"/>
  <c r="H141" i="275"/>
  <c r="H140" i="275"/>
  <c r="H139" i="275"/>
  <c r="H138" i="275"/>
  <c r="H137" i="275"/>
  <c r="H136" i="275"/>
  <c r="H135" i="275"/>
  <c r="H133" i="275"/>
  <c r="H132" i="275"/>
  <c r="M121" i="275"/>
  <c r="L121" i="275"/>
  <c r="M120" i="275"/>
  <c r="L120" i="275"/>
  <c r="M119" i="275"/>
  <c r="L119" i="275"/>
  <c r="M118" i="275"/>
  <c r="L118" i="275"/>
  <c r="M117" i="275"/>
  <c r="L117" i="275"/>
  <c r="M116" i="275"/>
  <c r="L116" i="275"/>
  <c r="M115" i="275"/>
  <c r="L115" i="275"/>
  <c r="M114" i="275"/>
  <c r="L114" i="275"/>
  <c r="M113" i="275"/>
  <c r="L113" i="275"/>
  <c r="M112" i="275"/>
  <c r="L112" i="275"/>
  <c r="M111" i="275"/>
  <c r="L111" i="275"/>
  <c r="M110" i="275"/>
  <c r="L110" i="275"/>
  <c r="M109" i="275"/>
  <c r="L109" i="275"/>
  <c r="M108" i="275"/>
  <c r="L108" i="275"/>
  <c r="M107" i="275"/>
  <c r="L107" i="275"/>
  <c r="M106" i="275"/>
  <c r="L106" i="275"/>
  <c r="M105" i="275"/>
  <c r="L105" i="275"/>
  <c r="M104" i="275"/>
  <c r="L104" i="275"/>
  <c r="M103" i="275"/>
  <c r="L103" i="275"/>
  <c r="M102" i="275"/>
  <c r="L102" i="275"/>
  <c r="M101" i="275"/>
  <c r="L101" i="275"/>
  <c r="M100" i="275"/>
  <c r="L100" i="275"/>
  <c r="M99" i="275"/>
  <c r="L99" i="275"/>
  <c r="M98" i="275"/>
  <c r="L98" i="275"/>
  <c r="M97" i="275"/>
  <c r="L97" i="275"/>
  <c r="M96" i="275"/>
  <c r="L96" i="275"/>
  <c r="M95" i="275"/>
  <c r="L95" i="275"/>
  <c r="M94" i="275"/>
  <c r="L94" i="275"/>
  <c r="M93" i="275"/>
  <c r="L93" i="275"/>
  <c r="M92" i="275"/>
  <c r="L92" i="275"/>
  <c r="M91" i="275"/>
  <c r="L91" i="275"/>
  <c r="M90" i="275"/>
  <c r="L90" i="275"/>
  <c r="M89" i="275"/>
  <c r="L89" i="275"/>
  <c r="M88" i="275"/>
  <c r="L88" i="275"/>
  <c r="M87" i="275"/>
  <c r="L87" i="275"/>
  <c r="M86" i="275"/>
  <c r="L86" i="275"/>
  <c r="M85" i="275"/>
  <c r="L85" i="275"/>
  <c r="M84" i="275"/>
  <c r="L84" i="275"/>
  <c r="M83" i="275"/>
  <c r="L83" i="275"/>
  <c r="M82" i="275"/>
  <c r="L82" i="275"/>
  <c r="M81" i="275"/>
  <c r="L81" i="275"/>
  <c r="M80" i="275"/>
  <c r="L80" i="275"/>
  <c r="M79" i="275"/>
  <c r="L79" i="275"/>
  <c r="H121" i="275"/>
  <c r="H120" i="275"/>
  <c r="H119" i="275"/>
  <c r="H118" i="275"/>
  <c r="H117" i="275"/>
  <c r="H116" i="275"/>
  <c r="H115" i="275"/>
  <c r="H114" i="275"/>
  <c r="H113" i="275"/>
  <c r="H112" i="275"/>
  <c r="H111" i="275"/>
  <c r="H110" i="275"/>
  <c r="H109" i="275"/>
  <c r="H108" i="275"/>
  <c r="H107" i="275"/>
  <c r="H106" i="275"/>
  <c r="H105" i="275"/>
  <c r="H104" i="275"/>
  <c r="H103" i="275"/>
  <c r="H102" i="275"/>
  <c r="H101" i="275"/>
  <c r="H100" i="275"/>
  <c r="H99" i="275"/>
  <c r="H98" i="275"/>
  <c r="H97" i="275"/>
  <c r="H96" i="275"/>
  <c r="H95" i="275"/>
  <c r="H94" i="275"/>
  <c r="H93" i="275"/>
  <c r="H92" i="275"/>
  <c r="H91" i="275"/>
  <c r="H90" i="275"/>
  <c r="H89" i="275"/>
  <c r="H88" i="275"/>
  <c r="H87" i="275"/>
  <c r="H86" i="275"/>
  <c r="H85" i="275"/>
  <c r="H84" i="275"/>
  <c r="H83" i="275"/>
  <c r="H82" i="275"/>
  <c r="H81" i="275"/>
  <c r="H80" i="275"/>
  <c r="H78" i="275"/>
  <c r="M47" i="275"/>
  <c r="L47" i="275"/>
  <c r="M45" i="275"/>
  <c r="L45" i="275"/>
  <c r="M44" i="275"/>
  <c r="L44" i="275"/>
  <c r="M43" i="275"/>
  <c r="L43" i="275"/>
  <c r="M41" i="275"/>
  <c r="L41" i="275"/>
  <c r="M39" i="275"/>
  <c r="L39" i="275"/>
  <c r="M37" i="275"/>
  <c r="L37" i="275"/>
  <c r="M36" i="275"/>
  <c r="L36" i="275"/>
  <c r="M35" i="275"/>
  <c r="L35" i="275"/>
  <c r="M33" i="275"/>
  <c r="L33" i="275"/>
  <c r="M32" i="275"/>
  <c r="L32" i="275"/>
  <c r="M31" i="275"/>
  <c r="L31" i="275"/>
  <c r="M30" i="275"/>
  <c r="L30" i="275"/>
  <c r="M29" i="275"/>
  <c r="L29" i="275"/>
  <c r="M27" i="275"/>
  <c r="L27" i="275"/>
  <c r="M26" i="275"/>
  <c r="L26" i="275"/>
  <c r="M25" i="275"/>
  <c r="L25" i="275"/>
  <c r="M23" i="275"/>
  <c r="L23" i="275"/>
  <c r="M21" i="275"/>
  <c r="L21" i="275"/>
  <c r="M20" i="275"/>
  <c r="L20" i="275"/>
  <c r="M19" i="275"/>
  <c r="L19" i="275"/>
  <c r="M17" i="275"/>
  <c r="L17" i="275"/>
  <c r="M16" i="275"/>
  <c r="L16" i="275"/>
  <c r="M15" i="275"/>
  <c r="L15" i="275"/>
  <c r="M14" i="275"/>
  <c r="L14" i="275"/>
  <c r="M13" i="275"/>
  <c r="L13" i="275"/>
  <c r="M12" i="275"/>
  <c r="L12" i="275"/>
  <c r="H47" i="275"/>
  <c r="H46" i="275"/>
  <c r="H45" i="275"/>
  <c r="H44" i="275"/>
  <c r="H43" i="275"/>
  <c r="H42" i="275"/>
  <c r="H41" i="275"/>
  <c r="H40" i="275"/>
  <c r="H39" i="275"/>
  <c r="H38" i="275"/>
  <c r="H37" i="275"/>
  <c r="H36" i="275"/>
  <c r="H35" i="275"/>
  <c r="H34" i="275"/>
  <c r="H33" i="275"/>
  <c r="H32" i="275"/>
  <c r="H31" i="275"/>
  <c r="H30" i="275"/>
  <c r="H29" i="275"/>
  <c r="H28" i="275"/>
  <c r="H27" i="275"/>
  <c r="H26" i="275"/>
  <c r="H25" i="275"/>
  <c r="H24" i="275"/>
  <c r="H23" i="275"/>
  <c r="H22" i="275"/>
  <c r="H21" i="275"/>
  <c r="H20" i="275"/>
  <c r="H19" i="275"/>
  <c r="H18" i="275"/>
  <c r="H17" i="275"/>
  <c r="H16" i="275"/>
  <c r="H15" i="275"/>
  <c r="H14" i="275"/>
  <c r="H13" i="275"/>
  <c r="H12" i="275"/>
  <c r="M33" i="285"/>
  <c r="L33" i="285"/>
  <c r="M31" i="285"/>
  <c r="L31" i="285"/>
  <c r="M30" i="285"/>
  <c r="L30" i="285"/>
  <c r="M29" i="285"/>
  <c r="L29" i="285"/>
  <c r="M27" i="285"/>
  <c r="L27" i="285"/>
  <c r="M26" i="285"/>
  <c r="L26" i="285"/>
  <c r="M25" i="285"/>
  <c r="L25" i="285"/>
  <c r="M24" i="285"/>
  <c r="L24" i="285"/>
  <c r="M23" i="285"/>
  <c r="L23" i="285"/>
  <c r="M21" i="285"/>
  <c r="L21" i="285"/>
  <c r="M19" i="285"/>
  <c r="L19" i="285"/>
  <c r="M17" i="285"/>
  <c r="L17" i="285"/>
  <c r="M16" i="285"/>
  <c r="L16" i="285"/>
  <c r="M15" i="285"/>
  <c r="L15" i="285"/>
  <c r="M13" i="285"/>
  <c r="L13" i="285"/>
  <c r="M12" i="285"/>
  <c r="L12" i="285"/>
  <c r="H132" i="285"/>
  <c r="H62" i="285"/>
  <c r="H34" i="285"/>
  <c r="H33" i="285"/>
  <c r="H32" i="285"/>
  <c r="H31" i="285"/>
  <c r="H30" i="285"/>
  <c r="H29" i="285"/>
  <c r="H28" i="285"/>
  <c r="H27" i="285"/>
  <c r="H26" i="285"/>
  <c r="H25" i="285"/>
  <c r="H24" i="285"/>
  <c r="H23" i="285"/>
  <c r="H22" i="285"/>
  <c r="H21" i="285"/>
  <c r="H20" i="285"/>
  <c r="H19" i="285"/>
  <c r="H18" i="285"/>
  <c r="H17" i="285"/>
  <c r="H16" i="285"/>
  <c r="H15" i="285"/>
  <c r="H14" i="285"/>
  <c r="H13" i="285"/>
  <c r="H12" i="285"/>
  <c r="H212" i="284"/>
  <c r="H211" i="284"/>
  <c r="H210" i="284"/>
  <c r="H209" i="284"/>
  <c r="H208" i="284"/>
  <c r="H207" i="284"/>
  <c r="H206" i="284"/>
  <c r="H205" i="284"/>
  <c r="H204" i="284"/>
  <c r="H203" i="284"/>
  <c r="H202" i="284"/>
  <c r="H201" i="284"/>
  <c r="H200" i="284"/>
  <c r="H199" i="284"/>
  <c r="H198" i="284"/>
  <c r="H197" i="284"/>
  <c r="H196" i="284"/>
  <c r="H195" i="284"/>
  <c r="H194" i="284"/>
  <c r="H193" i="284"/>
  <c r="H192" i="284"/>
  <c r="H191" i="284"/>
  <c r="H190" i="284"/>
  <c r="H189" i="284"/>
  <c r="H188" i="284"/>
  <c r="H187" i="284"/>
  <c r="H186" i="284"/>
  <c r="H185" i="284"/>
  <c r="H184" i="284"/>
  <c r="H183" i="284"/>
  <c r="H182" i="284"/>
  <c r="H181" i="284"/>
  <c r="H180" i="284"/>
  <c r="H179" i="284"/>
  <c r="H178" i="284"/>
  <c r="H177" i="284"/>
  <c r="H176" i="284"/>
  <c r="H175" i="284"/>
  <c r="H174" i="284"/>
  <c r="H173" i="284"/>
  <c r="H172" i="284"/>
  <c r="H171" i="284"/>
  <c r="H170" i="284"/>
  <c r="H169" i="284"/>
  <c r="H168" i="284"/>
  <c r="H167" i="284"/>
  <c r="H166" i="284"/>
  <c r="H165" i="284"/>
  <c r="H164" i="284"/>
  <c r="H163" i="284"/>
  <c r="H162" i="284"/>
  <c r="H161" i="284"/>
  <c r="H160" i="284"/>
  <c r="H159" i="284"/>
  <c r="H158" i="284"/>
  <c r="H157" i="284"/>
  <c r="H156" i="284"/>
  <c r="H154" i="284"/>
  <c r="H153" i="284"/>
  <c r="H152" i="284"/>
  <c r="H151" i="284"/>
  <c r="M213" i="284"/>
  <c r="M212" i="284"/>
  <c r="L212" i="284"/>
  <c r="M211" i="284"/>
  <c r="L211" i="284"/>
  <c r="M210" i="284"/>
  <c r="L210" i="284"/>
  <c r="M209" i="284"/>
  <c r="L209" i="284"/>
  <c r="M208" i="284"/>
  <c r="L208" i="284"/>
  <c r="M207" i="284"/>
  <c r="L207" i="284"/>
  <c r="M206" i="284"/>
  <c r="L206" i="284"/>
  <c r="M205" i="284"/>
  <c r="L205" i="284"/>
  <c r="M204" i="284"/>
  <c r="L204" i="284"/>
  <c r="M203" i="284"/>
  <c r="L203" i="284"/>
  <c r="M202" i="284"/>
  <c r="L202" i="284"/>
  <c r="M201" i="284"/>
  <c r="L201" i="284"/>
  <c r="M200" i="284"/>
  <c r="L200" i="284"/>
  <c r="M199" i="284"/>
  <c r="L199" i="284"/>
  <c r="M198" i="284"/>
  <c r="L198" i="284"/>
  <c r="M197" i="284"/>
  <c r="L197" i="284"/>
  <c r="M196" i="284"/>
  <c r="L196" i="284"/>
  <c r="M195" i="284"/>
  <c r="L195" i="284"/>
  <c r="M194" i="284"/>
  <c r="L194" i="284"/>
  <c r="M193" i="284"/>
  <c r="L193" i="284"/>
  <c r="M192" i="284"/>
  <c r="L192" i="284"/>
  <c r="M191" i="284"/>
  <c r="L191" i="284"/>
  <c r="M190" i="284"/>
  <c r="L190" i="284"/>
  <c r="M189" i="284"/>
  <c r="L189" i="284"/>
  <c r="M188" i="284"/>
  <c r="L188" i="284"/>
  <c r="M187" i="284"/>
  <c r="L187" i="284"/>
  <c r="M186" i="284"/>
  <c r="L186" i="284"/>
  <c r="M185" i="284"/>
  <c r="L185" i="284"/>
  <c r="M184" i="284"/>
  <c r="L184" i="284"/>
  <c r="M183" i="284"/>
  <c r="L183" i="284"/>
  <c r="M182" i="284"/>
  <c r="L182" i="284"/>
  <c r="M181" i="284"/>
  <c r="L181" i="284"/>
  <c r="M180" i="284"/>
  <c r="L180" i="284"/>
  <c r="M179" i="284"/>
  <c r="L179" i="284"/>
  <c r="M178" i="284"/>
  <c r="L178" i="284"/>
  <c r="M177" i="284"/>
  <c r="L177" i="284"/>
  <c r="M176" i="284"/>
  <c r="L176" i="284"/>
  <c r="M175" i="284"/>
  <c r="L175" i="284"/>
  <c r="M174" i="284"/>
  <c r="L174" i="284"/>
  <c r="M173" i="284"/>
  <c r="L173" i="284"/>
  <c r="M172" i="284"/>
  <c r="L172" i="284"/>
  <c r="M171" i="284"/>
  <c r="L171" i="284"/>
  <c r="M170" i="284"/>
  <c r="L170" i="284"/>
  <c r="M169" i="284"/>
  <c r="L169" i="284"/>
  <c r="M168" i="284"/>
  <c r="L168" i="284"/>
  <c r="M167" i="284"/>
  <c r="L167" i="284"/>
  <c r="M166" i="284"/>
  <c r="L166" i="284"/>
  <c r="M165" i="284"/>
  <c r="L165" i="284"/>
  <c r="M164" i="284"/>
  <c r="L164" i="284"/>
  <c r="M163" i="284"/>
  <c r="L163" i="284"/>
  <c r="M162" i="284"/>
  <c r="L162" i="284"/>
  <c r="M161" i="284"/>
  <c r="L161" i="284"/>
  <c r="M160" i="284"/>
  <c r="L160" i="284"/>
  <c r="M159" i="284"/>
  <c r="L159" i="284"/>
  <c r="M158" i="284"/>
  <c r="L158" i="284"/>
  <c r="M157" i="284"/>
  <c r="L157" i="284"/>
  <c r="M156" i="284"/>
  <c r="L156" i="284"/>
  <c r="M155" i="284"/>
  <c r="L155" i="284"/>
  <c r="M154" i="284"/>
  <c r="L154" i="284"/>
  <c r="M153" i="284"/>
  <c r="L153" i="284"/>
  <c r="M152" i="284"/>
  <c r="L152" i="284"/>
  <c r="H140" i="284"/>
  <c r="H139" i="284"/>
  <c r="H138" i="284"/>
  <c r="H137" i="284"/>
  <c r="H136" i="284"/>
  <c r="H135" i="284"/>
  <c r="H134" i="284"/>
  <c r="H133" i="284"/>
  <c r="H132" i="284"/>
  <c r="H131" i="284"/>
  <c r="H130" i="284"/>
  <c r="H129" i="284"/>
  <c r="H128" i="284"/>
  <c r="H127" i="284"/>
  <c r="H126" i="284"/>
  <c r="H125" i="284"/>
  <c r="H124" i="284"/>
  <c r="H123" i="284"/>
  <c r="H122" i="284"/>
  <c r="H121" i="284"/>
  <c r="H120" i="284"/>
  <c r="H119" i="284"/>
  <c r="H118" i="284"/>
  <c r="H117" i="284"/>
  <c r="H116" i="284"/>
  <c r="H115" i="284"/>
  <c r="H114" i="284"/>
  <c r="H113" i="284"/>
  <c r="H112" i="284"/>
  <c r="H111" i="284"/>
  <c r="H110" i="284"/>
  <c r="H109" i="284"/>
  <c r="H108" i="284"/>
  <c r="H107" i="284"/>
  <c r="H106" i="284"/>
  <c r="H105" i="284"/>
  <c r="H104" i="284"/>
  <c r="H103" i="284"/>
  <c r="H102" i="284"/>
  <c r="H101" i="284"/>
  <c r="H100" i="284"/>
  <c r="H99" i="284"/>
  <c r="H98" i="284"/>
  <c r="H97" i="284"/>
  <c r="H96" i="284"/>
  <c r="H95" i="284"/>
  <c r="H94" i="284"/>
  <c r="H93" i="284"/>
  <c r="H92" i="284"/>
  <c r="H91" i="284"/>
  <c r="H90" i="284"/>
  <c r="H89" i="284"/>
  <c r="H88" i="284"/>
  <c r="H87" i="284"/>
  <c r="H86" i="284"/>
  <c r="H85" i="284"/>
  <c r="H84" i="284"/>
  <c r="H83" i="284"/>
  <c r="H82" i="284"/>
  <c r="H81" i="284"/>
  <c r="H79" i="284"/>
  <c r="M141" i="284"/>
  <c r="M140" i="284"/>
  <c r="L140" i="284"/>
  <c r="M139" i="284"/>
  <c r="L139" i="284"/>
  <c r="M138" i="284"/>
  <c r="L138" i="284"/>
  <c r="M137" i="284"/>
  <c r="L137" i="284"/>
  <c r="M136" i="284"/>
  <c r="L136" i="284"/>
  <c r="M135" i="284"/>
  <c r="L135" i="284"/>
  <c r="M134" i="284"/>
  <c r="L134" i="284"/>
  <c r="M133" i="284"/>
  <c r="L133" i="284"/>
  <c r="M132" i="284"/>
  <c r="L132" i="284"/>
  <c r="M131" i="284"/>
  <c r="L131" i="284"/>
  <c r="M130" i="284"/>
  <c r="L130" i="284"/>
  <c r="M129" i="284"/>
  <c r="L129" i="284"/>
  <c r="M128" i="284"/>
  <c r="L128" i="284"/>
  <c r="M127" i="284"/>
  <c r="L127" i="284"/>
  <c r="M126" i="284"/>
  <c r="L126" i="284"/>
  <c r="M125" i="284"/>
  <c r="L125" i="284"/>
  <c r="M124" i="284"/>
  <c r="L124" i="284"/>
  <c r="M123" i="284"/>
  <c r="L123" i="284"/>
  <c r="M122" i="284"/>
  <c r="L122" i="284"/>
  <c r="M121" i="284"/>
  <c r="L121" i="284"/>
  <c r="M120" i="284"/>
  <c r="L120" i="284"/>
  <c r="M119" i="284"/>
  <c r="L119" i="284"/>
  <c r="M118" i="284"/>
  <c r="L118" i="284"/>
  <c r="M117" i="284"/>
  <c r="L117" i="284"/>
  <c r="M116" i="284"/>
  <c r="L116" i="284"/>
  <c r="M115" i="284"/>
  <c r="L115" i="284"/>
  <c r="M114" i="284"/>
  <c r="L114" i="284"/>
  <c r="M113" i="284"/>
  <c r="L113" i="284"/>
  <c r="M112" i="284"/>
  <c r="L112" i="284"/>
  <c r="M111" i="284"/>
  <c r="L111" i="284"/>
  <c r="M110" i="284"/>
  <c r="L110" i="284"/>
  <c r="M109" i="284"/>
  <c r="L109" i="284"/>
  <c r="M108" i="284"/>
  <c r="L108" i="284"/>
  <c r="M107" i="284"/>
  <c r="L107" i="284"/>
  <c r="M106" i="284"/>
  <c r="L106" i="284"/>
  <c r="M105" i="284"/>
  <c r="L105" i="284"/>
  <c r="M104" i="284"/>
  <c r="L104" i="284"/>
  <c r="M103" i="284"/>
  <c r="L103" i="284"/>
  <c r="M102" i="284"/>
  <c r="L102" i="284"/>
  <c r="M101" i="284"/>
  <c r="L101" i="284"/>
  <c r="M100" i="284"/>
  <c r="L100" i="284"/>
  <c r="M99" i="284"/>
  <c r="L99" i="284"/>
  <c r="M98" i="284"/>
  <c r="L98" i="284"/>
  <c r="M97" i="284"/>
  <c r="L97" i="284"/>
  <c r="M96" i="284"/>
  <c r="L96" i="284"/>
  <c r="M95" i="284"/>
  <c r="L95" i="284"/>
  <c r="M94" i="284"/>
  <c r="L94" i="284"/>
  <c r="M93" i="284"/>
  <c r="L93" i="284"/>
  <c r="M92" i="284"/>
  <c r="L92" i="284"/>
  <c r="M91" i="284"/>
  <c r="L91" i="284"/>
  <c r="M90" i="284"/>
  <c r="L90" i="284"/>
  <c r="M89" i="284"/>
  <c r="L89" i="284"/>
  <c r="M88" i="284"/>
  <c r="L88" i="284"/>
  <c r="M87" i="284"/>
  <c r="L87" i="284"/>
  <c r="M86" i="284"/>
  <c r="L86" i="284"/>
  <c r="M85" i="284"/>
  <c r="L85" i="284"/>
  <c r="M84" i="284"/>
  <c r="L84" i="284"/>
  <c r="M83" i="284"/>
  <c r="L83" i="284"/>
  <c r="M82" i="284"/>
  <c r="L82" i="284"/>
  <c r="M81" i="284"/>
  <c r="L81" i="284"/>
  <c r="M80" i="284"/>
  <c r="L80" i="284"/>
  <c r="M69" i="284"/>
  <c r="M56" i="284"/>
  <c r="L56" i="284"/>
  <c r="M55" i="284"/>
  <c r="L55" i="284"/>
  <c r="M53" i="284"/>
  <c r="L53" i="284"/>
  <c r="M51" i="284"/>
  <c r="L51" i="284"/>
  <c r="M49" i="284"/>
  <c r="L49" i="284"/>
  <c r="M47" i="284"/>
  <c r="L47" i="284"/>
  <c r="M45" i="284"/>
  <c r="L45" i="284"/>
  <c r="M43" i="284"/>
  <c r="L43" i="284"/>
  <c r="M41" i="284"/>
  <c r="L41" i="284"/>
  <c r="M40" i="284"/>
  <c r="L40" i="284"/>
  <c r="M39" i="284"/>
  <c r="L39" i="284"/>
  <c r="M37" i="284"/>
  <c r="L37" i="284"/>
  <c r="M35" i="284"/>
  <c r="L35" i="284"/>
  <c r="M34" i="284"/>
  <c r="L34" i="284"/>
  <c r="M33" i="284"/>
  <c r="L33" i="284"/>
  <c r="M31" i="284"/>
  <c r="L31" i="284"/>
  <c r="M30" i="284"/>
  <c r="L30" i="284"/>
  <c r="M29" i="284"/>
  <c r="L29" i="284"/>
  <c r="M27" i="284"/>
  <c r="L27" i="284"/>
  <c r="M26" i="284"/>
  <c r="L26" i="284"/>
  <c r="M25" i="284"/>
  <c r="L25" i="284"/>
  <c r="M23" i="284"/>
  <c r="L23" i="284"/>
  <c r="M22" i="284"/>
  <c r="L22" i="284"/>
  <c r="M21" i="284"/>
  <c r="L21" i="284"/>
  <c r="M19" i="284"/>
  <c r="L19" i="284"/>
  <c r="M17" i="284"/>
  <c r="L17" i="284"/>
  <c r="M16" i="284"/>
  <c r="L16" i="284"/>
  <c r="M15" i="284"/>
  <c r="L15" i="284"/>
  <c r="M14" i="284"/>
  <c r="L14" i="284"/>
  <c r="M13" i="284"/>
  <c r="L13" i="284"/>
  <c r="M12" i="284"/>
  <c r="L12" i="284"/>
  <c r="H56" i="284"/>
  <c r="H55" i="284"/>
  <c r="H53" i="284"/>
  <c r="H52" i="284"/>
  <c r="H51" i="284"/>
  <c r="H49" i="284"/>
  <c r="H48" i="284"/>
  <c r="H47" i="284"/>
  <c r="H46" i="284"/>
  <c r="H45" i="284"/>
  <c r="H44" i="284"/>
  <c r="H43" i="284"/>
  <c r="H42" i="284"/>
  <c r="H41" i="284"/>
  <c r="H40" i="284"/>
  <c r="H39" i="284"/>
  <c r="H38" i="284"/>
  <c r="H37" i="284"/>
  <c r="H36" i="284"/>
  <c r="H35" i="284"/>
  <c r="H34" i="284"/>
  <c r="H33" i="284"/>
  <c r="H31" i="284"/>
  <c r="H30" i="284"/>
  <c r="H29" i="284"/>
  <c r="H28" i="284"/>
  <c r="H27" i="284"/>
  <c r="H26" i="284"/>
  <c r="H25" i="284"/>
  <c r="H23" i="284"/>
  <c r="H22" i="284"/>
  <c r="H21" i="284"/>
  <c r="H20" i="284"/>
  <c r="H19" i="284"/>
  <c r="H17" i="284"/>
  <c r="H16" i="284"/>
  <c r="H15" i="284"/>
  <c r="H14" i="284"/>
  <c r="H13" i="284"/>
  <c r="H12" i="284"/>
  <c r="M70" i="279"/>
  <c r="L70" i="279"/>
  <c r="M69" i="279"/>
  <c r="L69" i="279"/>
  <c r="M68" i="279"/>
  <c r="L68" i="279"/>
  <c r="M67" i="279"/>
  <c r="L67" i="279"/>
  <c r="M66" i="279"/>
  <c r="L66" i="279"/>
  <c r="M51" i="279"/>
  <c r="L51" i="279"/>
  <c r="M50" i="279"/>
  <c r="L50" i="279"/>
  <c r="M49" i="279"/>
  <c r="L49" i="279"/>
  <c r="M48" i="279"/>
  <c r="L48" i="279"/>
  <c r="M47" i="279"/>
  <c r="L47" i="279"/>
  <c r="M46" i="279"/>
  <c r="L46" i="279"/>
  <c r="M45" i="279"/>
  <c r="L45" i="279"/>
  <c r="M44" i="279"/>
  <c r="L44" i="279"/>
  <c r="M43" i="279"/>
  <c r="L43" i="279"/>
  <c r="M42" i="279"/>
  <c r="L42" i="279"/>
  <c r="M41" i="279"/>
  <c r="L41" i="279"/>
  <c r="M40" i="279"/>
  <c r="L40" i="279"/>
  <c r="M39" i="279"/>
  <c r="L39" i="279"/>
  <c r="M38" i="279"/>
  <c r="L38" i="279"/>
  <c r="M37" i="279"/>
  <c r="L37" i="279"/>
  <c r="M36" i="279"/>
  <c r="L36" i="279"/>
  <c r="M35" i="279"/>
  <c r="L35" i="279"/>
  <c r="M34" i="279"/>
  <c r="L34" i="279"/>
  <c r="M33" i="279"/>
  <c r="L33" i="279"/>
  <c r="M32" i="279"/>
  <c r="L32" i="279"/>
  <c r="M31" i="279"/>
  <c r="L31" i="279"/>
  <c r="M30" i="279"/>
  <c r="L30" i="279"/>
  <c r="M29" i="279"/>
  <c r="L29" i="279"/>
  <c r="M27" i="279"/>
  <c r="L27" i="279"/>
  <c r="M25" i="279"/>
  <c r="L25" i="279"/>
  <c r="M23" i="279"/>
  <c r="L23" i="279"/>
  <c r="M22" i="279"/>
  <c r="L22" i="279"/>
  <c r="M21" i="279"/>
  <c r="L21" i="279"/>
  <c r="M19" i="279"/>
  <c r="L19" i="279"/>
  <c r="M17" i="279"/>
  <c r="L17" i="279"/>
  <c r="M16" i="279"/>
  <c r="L16" i="279"/>
  <c r="M15" i="279"/>
  <c r="L15" i="279"/>
  <c r="M14" i="279"/>
  <c r="L14" i="279"/>
  <c r="M13" i="279"/>
  <c r="L13" i="279"/>
  <c r="M12" i="279"/>
  <c r="L12" i="279"/>
  <c r="H70" i="279"/>
  <c r="H69" i="279"/>
  <c r="H68" i="279"/>
  <c r="H67" i="279"/>
  <c r="H66" i="279"/>
  <c r="H51" i="279"/>
  <c r="H50" i="279"/>
  <c r="H49" i="279"/>
  <c r="H48" i="279"/>
  <c r="H47" i="279"/>
  <c r="H46" i="279"/>
  <c r="H45" i="279"/>
  <c r="H44" i="279"/>
  <c r="H43" i="279"/>
  <c r="H42" i="279"/>
  <c r="H41" i="279"/>
  <c r="H40" i="279"/>
  <c r="H39" i="279"/>
  <c r="H38" i="279"/>
  <c r="H37" i="279"/>
  <c r="H36" i="279"/>
  <c r="H35" i="279"/>
  <c r="H34" i="279"/>
  <c r="H33" i="279"/>
  <c r="H32" i="279"/>
  <c r="H31" i="279"/>
  <c r="H30" i="279"/>
  <c r="H29" i="279"/>
  <c r="H28" i="279"/>
  <c r="H27" i="279"/>
  <c r="H26" i="279"/>
  <c r="H25" i="279"/>
  <c r="H24" i="279"/>
  <c r="H23" i="279"/>
  <c r="H22" i="279"/>
  <c r="H21" i="279"/>
  <c r="H20" i="279"/>
  <c r="H19" i="279"/>
  <c r="H18" i="279"/>
  <c r="H17" i="279"/>
  <c r="H16" i="279"/>
  <c r="H15" i="279"/>
  <c r="H14" i="279"/>
  <c r="H13" i="279"/>
  <c r="H12" i="279"/>
  <c r="M175" i="272"/>
  <c r="M174" i="272"/>
  <c r="L174" i="272"/>
  <c r="M173" i="272"/>
  <c r="L173" i="272"/>
  <c r="M172" i="272"/>
  <c r="L172" i="272"/>
  <c r="M171" i="272"/>
  <c r="L171" i="272"/>
  <c r="M170" i="272"/>
  <c r="L170" i="272"/>
  <c r="M169" i="272"/>
  <c r="L169" i="272"/>
  <c r="M168" i="272"/>
  <c r="L168" i="272"/>
  <c r="M167" i="272"/>
  <c r="L167" i="272"/>
  <c r="M166" i="272"/>
  <c r="L166" i="272"/>
  <c r="M165" i="272"/>
  <c r="L165" i="272"/>
  <c r="M164" i="272"/>
  <c r="L164" i="272"/>
  <c r="M163" i="272"/>
  <c r="L163" i="272"/>
  <c r="M162" i="272"/>
  <c r="L162" i="272"/>
  <c r="M161" i="272"/>
  <c r="L161" i="272"/>
  <c r="M160" i="272"/>
  <c r="L160" i="272"/>
  <c r="M159" i="272"/>
  <c r="L159" i="272"/>
  <c r="M158" i="272"/>
  <c r="L158" i="272"/>
  <c r="M157" i="272"/>
  <c r="L157" i="272"/>
  <c r="M156" i="272"/>
  <c r="L156" i="272"/>
  <c r="M155" i="272"/>
  <c r="L155" i="272"/>
  <c r="M154" i="272"/>
  <c r="L154" i="272"/>
  <c r="M153" i="272"/>
  <c r="L153" i="272"/>
  <c r="M152" i="272"/>
  <c r="L152" i="272"/>
  <c r="M151" i="272"/>
  <c r="L151" i="272"/>
  <c r="M150" i="272"/>
  <c r="L150" i="272"/>
  <c r="M149" i="272"/>
  <c r="L149" i="272"/>
  <c r="M148" i="272"/>
  <c r="L148" i="272"/>
  <c r="M147" i="272"/>
  <c r="L147" i="272"/>
  <c r="M146" i="272"/>
  <c r="L146" i="272"/>
  <c r="M145" i="272"/>
  <c r="L145" i="272"/>
  <c r="M144" i="272"/>
  <c r="L144" i="272"/>
  <c r="M143" i="272"/>
  <c r="L143" i="272"/>
  <c r="M142" i="272"/>
  <c r="L142" i="272"/>
  <c r="M141" i="272"/>
  <c r="L141" i="272"/>
  <c r="M140" i="272"/>
  <c r="L140" i="272"/>
  <c r="M139" i="272"/>
  <c r="L139" i="272"/>
  <c r="M138" i="272"/>
  <c r="L138" i="272"/>
  <c r="M137" i="272"/>
  <c r="L137" i="272"/>
  <c r="M136" i="272"/>
  <c r="L136" i="272"/>
  <c r="M135" i="272"/>
  <c r="L135" i="272"/>
  <c r="M134" i="272"/>
  <c r="L134" i="272"/>
  <c r="M133" i="272"/>
  <c r="L133" i="272"/>
  <c r="M132" i="272"/>
  <c r="L132" i="272"/>
  <c r="M131" i="272"/>
  <c r="L131" i="272"/>
  <c r="M130" i="272"/>
  <c r="L130" i="272"/>
  <c r="M129" i="272"/>
  <c r="L129" i="272"/>
  <c r="M128" i="272"/>
  <c r="L128" i="272"/>
  <c r="M127" i="272"/>
  <c r="L127" i="272"/>
  <c r="M126" i="272"/>
  <c r="L126" i="272"/>
  <c r="M125" i="272"/>
  <c r="L125" i="272"/>
  <c r="M124" i="272"/>
  <c r="L124" i="272"/>
  <c r="M123" i="272"/>
  <c r="L123" i="272"/>
  <c r="M122" i="272"/>
  <c r="L122" i="272"/>
  <c r="M121" i="272"/>
  <c r="L121" i="272"/>
  <c r="M120" i="272"/>
  <c r="L120" i="272"/>
  <c r="M119" i="272"/>
  <c r="L119" i="272"/>
  <c r="M117" i="272"/>
  <c r="L117" i="272"/>
  <c r="M115" i="272"/>
  <c r="L115" i="272"/>
  <c r="M114" i="272"/>
  <c r="L114" i="272"/>
  <c r="H174" i="272"/>
  <c r="H173" i="272"/>
  <c r="H172" i="272"/>
  <c r="H171" i="272"/>
  <c r="H170" i="272"/>
  <c r="H169" i="272"/>
  <c r="H168" i="272"/>
  <c r="H167" i="272"/>
  <c r="H166" i="272"/>
  <c r="H165" i="272"/>
  <c r="H164" i="272"/>
  <c r="H163" i="272"/>
  <c r="H162" i="272"/>
  <c r="H161" i="272"/>
  <c r="H160" i="272"/>
  <c r="H159" i="272"/>
  <c r="H158" i="272"/>
  <c r="H157" i="272"/>
  <c r="H156" i="272"/>
  <c r="H155" i="272"/>
  <c r="H154" i="272"/>
  <c r="H153" i="272"/>
  <c r="H152" i="272"/>
  <c r="H151" i="272"/>
  <c r="H150" i="272"/>
  <c r="H149" i="272"/>
  <c r="H148" i="272"/>
  <c r="H147" i="272"/>
  <c r="H146" i="272"/>
  <c r="H145" i="272"/>
  <c r="H144" i="272"/>
  <c r="H143" i="272"/>
  <c r="H142" i="272"/>
  <c r="H141" i="272"/>
  <c r="H140" i="272"/>
  <c r="H139" i="272"/>
  <c r="H138" i="272"/>
  <c r="H137" i="272"/>
  <c r="H136" i="272"/>
  <c r="H135" i="272"/>
  <c r="H134" i="272"/>
  <c r="H133" i="272"/>
  <c r="H132" i="272"/>
  <c r="H131" i="272"/>
  <c r="H130" i="272"/>
  <c r="H129" i="272"/>
  <c r="H128" i="272"/>
  <c r="H127" i="272"/>
  <c r="H126" i="272"/>
  <c r="H125" i="272"/>
  <c r="H124" i="272"/>
  <c r="H123" i="272"/>
  <c r="H122" i="272"/>
  <c r="H121" i="272"/>
  <c r="H120" i="272"/>
  <c r="H119" i="272"/>
  <c r="H117" i="272"/>
  <c r="H115" i="272"/>
  <c r="H114" i="272"/>
  <c r="H112" i="272"/>
  <c r="M102" i="272"/>
  <c r="M92" i="272"/>
  <c r="L92" i="272"/>
  <c r="M90" i="272"/>
  <c r="L90" i="272"/>
  <c r="M88" i="272"/>
  <c r="L88" i="272"/>
  <c r="M86" i="272"/>
  <c r="L86" i="272"/>
  <c r="M84" i="272"/>
  <c r="L84" i="272"/>
  <c r="M82" i="272"/>
  <c r="L82" i="272"/>
  <c r="M80" i="272"/>
  <c r="L80" i="272"/>
  <c r="M78" i="272"/>
  <c r="L78" i="272"/>
  <c r="M76" i="272"/>
  <c r="L76" i="272"/>
  <c r="M75" i="272"/>
  <c r="L75" i="272"/>
  <c r="M74" i="272"/>
  <c r="L74" i="272"/>
  <c r="M72" i="272"/>
  <c r="L72" i="272"/>
  <c r="M70" i="272"/>
  <c r="L70" i="272"/>
  <c r="M69" i="272"/>
  <c r="L69" i="272"/>
  <c r="H90" i="272"/>
  <c r="H88" i="272"/>
  <c r="H86" i="272"/>
  <c r="H84" i="272"/>
  <c r="H82" i="272"/>
  <c r="H80" i="272"/>
  <c r="H78" i="272"/>
  <c r="H76" i="272"/>
  <c r="H75" i="272"/>
  <c r="H74" i="272"/>
  <c r="H72" i="272"/>
  <c r="H70" i="272"/>
  <c r="H69" i="272"/>
  <c r="M45" i="272"/>
  <c r="L45" i="272"/>
  <c r="M43" i="272"/>
  <c r="L43" i="272"/>
  <c r="M41" i="272"/>
  <c r="L41" i="272"/>
  <c r="M39" i="272"/>
  <c r="L39" i="272"/>
  <c r="M38" i="272"/>
  <c r="L38" i="272"/>
  <c r="M37" i="272"/>
  <c r="L37" i="272"/>
  <c r="M35" i="272"/>
  <c r="L35" i="272"/>
  <c r="M33" i="272"/>
  <c r="L33" i="272"/>
  <c r="M32" i="272"/>
  <c r="L32" i="272"/>
  <c r="M31" i="272"/>
  <c r="L31" i="272"/>
  <c r="M30" i="272"/>
  <c r="L30" i="272"/>
  <c r="M29" i="272"/>
  <c r="L29" i="272"/>
  <c r="M27" i="272"/>
  <c r="L27" i="272"/>
  <c r="M26" i="272"/>
  <c r="L26" i="272"/>
  <c r="M25" i="272"/>
  <c r="L25" i="272"/>
  <c r="M23" i="272"/>
  <c r="L23" i="272"/>
  <c r="M22" i="272"/>
  <c r="L22" i="272"/>
  <c r="M21" i="272"/>
  <c r="L21" i="272"/>
  <c r="M20" i="272"/>
  <c r="L20" i="272"/>
  <c r="M19" i="272"/>
  <c r="L19" i="272"/>
  <c r="M17" i="272"/>
  <c r="L17" i="272"/>
  <c r="M16" i="272"/>
  <c r="L16" i="272"/>
  <c r="M15" i="272"/>
  <c r="L15" i="272"/>
  <c r="M14" i="272"/>
  <c r="L14" i="272"/>
  <c r="M13" i="272"/>
  <c r="L13" i="272"/>
  <c r="M12" i="272"/>
  <c r="H45" i="272"/>
  <c r="H43" i="272"/>
  <c r="H41" i="272"/>
  <c r="H39" i="272"/>
  <c r="H38" i="272"/>
  <c r="H37" i="272"/>
  <c r="H35" i="272"/>
  <c r="H33" i="272"/>
  <c r="H32" i="272"/>
  <c r="H31" i="272"/>
  <c r="H30" i="272"/>
  <c r="H29" i="272"/>
  <c r="H27" i="272"/>
  <c r="H26" i="272"/>
  <c r="H25" i="272"/>
  <c r="H23" i="272"/>
  <c r="H22" i="272"/>
  <c r="H21" i="272"/>
  <c r="H20" i="272"/>
  <c r="H19" i="272"/>
  <c r="H17" i="272"/>
  <c r="H16" i="272"/>
  <c r="H15" i="272"/>
  <c r="H14" i="272"/>
  <c r="H13" i="272"/>
  <c r="H12" i="272"/>
  <c r="M199" i="282"/>
  <c r="L199" i="282"/>
  <c r="M198" i="282"/>
  <c r="L198" i="282"/>
  <c r="M197" i="282"/>
  <c r="L197" i="282"/>
  <c r="M196" i="282"/>
  <c r="L196" i="282"/>
  <c r="M195" i="282"/>
  <c r="L195" i="282"/>
  <c r="M194" i="282"/>
  <c r="L194" i="282"/>
  <c r="M193" i="282"/>
  <c r="L193" i="282"/>
  <c r="M192" i="282"/>
  <c r="L192" i="282"/>
  <c r="M191" i="282"/>
  <c r="L191" i="282"/>
  <c r="M190" i="282"/>
  <c r="L190" i="282"/>
  <c r="M189" i="282"/>
  <c r="L189" i="282"/>
  <c r="M188" i="282"/>
  <c r="L188" i="282"/>
  <c r="M187" i="282"/>
  <c r="L187" i="282"/>
  <c r="M186" i="282"/>
  <c r="L186" i="282"/>
  <c r="M185" i="282"/>
  <c r="L185" i="282"/>
  <c r="M184" i="282"/>
  <c r="L184" i="282"/>
  <c r="M183" i="282"/>
  <c r="L183" i="282"/>
  <c r="M182" i="282"/>
  <c r="L182" i="282"/>
  <c r="M181" i="282"/>
  <c r="L181" i="282"/>
  <c r="M180" i="282"/>
  <c r="L180" i="282"/>
  <c r="M179" i="282"/>
  <c r="L179" i="282"/>
  <c r="M178" i="282"/>
  <c r="L178" i="282"/>
  <c r="M177" i="282"/>
  <c r="L177" i="282"/>
  <c r="M176" i="282"/>
  <c r="L176" i="282"/>
  <c r="M175" i="282"/>
  <c r="L175" i="282"/>
  <c r="M174" i="282"/>
  <c r="L174" i="282"/>
  <c r="M173" i="282"/>
  <c r="L173" i="282"/>
  <c r="M172" i="282"/>
  <c r="L172" i="282"/>
  <c r="M171" i="282"/>
  <c r="L171" i="282"/>
  <c r="M170" i="282"/>
  <c r="L170" i="282"/>
  <c r="M169" i="282"/>
  <c r="L169" i="282"/>
  <c r="H199" i="282"/>
  <c r="H198" i="282"/>
  <c r="H197" i="282"/>
  <c r="H196" i="282"/>
  <c r="H195" i="282"/>
  <c r="H194" i="282"/>
  <c r="H193" i="282"/>
  <c r="H192" i="282"/>
  <c r="H191" i="282"/>
  <c r="H190" i="282"/>
  <c r="H189" i="282"/>
  <c r="H188" i="282"/>
  <c r="H187" i="282"/>
  <c r="H186" i="282"/>
  <c r="H185" i="282"/>
  <c r="H184" i="282"/>
  <c r="H183" i="282"/>
  <c r="H182" i="282"/>
  <c r="H181" i="282"/>
  <c r="H180" i="282"/>
  <c r="H179" i="282"/>
  <c r="H178" i="282"/>
  <c r="H177" i="282"/>
  <c r="H176" i="282"/>
  <c r="H175" i="282"/>
  <c r="H174" i="282"/>
  <c r="H173" i="282"/>
  <c r="H172" i="282"/>
  <c r="H171" i="282"/>
  <c r="H170" i="282"/>
  <c r="H169" i="282"/>
  <c r="H139" i="282"/>
  <c r="M128" i="282"/>
  <c r="L128" i="282"/>
  <c r="M126" i="282"/>
  <c r="L126" i="282"/>
  <c r="M125" i="282"/>
  <c r="L125" i="282"/>
  <c r="M124" i="282"/>
  <c r="L124" i="282"/>
  <c r="M123" i="282"/>
  <c r="L123" i="282"/>
  <c r="M122" i="282"/>
  <c r="L122" i="282"/>
  <c r="M120" i="282"/>
  <c r="L120" i="282"/>
  <c r="M119" i="282"/>
  <c r="L119" i="282"/>
  <c r="M118" i="282"/>
  <c r="L118" i="282"/>
  <c r="M117" i="282"/>
  <c r="L117" i="282"/>
  <c r="M116" i="282"/>
  <c r="L116" i="282"/>
  <c r="M114" i="282"/>
  <c r="L114" i="282"/>
  <c r="M112" i="282"/>
  <c r="L112" i="282"/>
  <c r="M110" i="282"/>
  <c r="L110" i="282"/>
  <c r="M109" i="282"/>
  <c r="L109" i="282"/>
  <c r="M108" i="282"/>
  <c r="L108" i="282"/>
  <c r="M106" i="282"/>
  <c r="L106" i="282"/>
  <c r="M104" i="282"/>
  <c r="L104" i="282"/>
  <c r="M103" i="282"/>
  <c r="L103" i="282"/>
  <c r="M102" i="282"/>
  <c r="L102" i="282"/>
  <c r="M101" i="282"/>
  <c r="L101" i="282"/>
  <c r="M100" i="282"/>
  <c r="L100" i="282"/>
  <c r="M99" i="282"/>
  <c r="L99" i="282"/>
  <c r="M98" i="282"/>
  <c r="L98" i="282"/>
  <c r="M96" i="282"/>
  <c r="L96" i="282"/>
  <c r="M94" i="282"/>
  <c r="L94" i="282"/>
  <c r="M93" i="282"/>
  <c r="L93" i="282"/>
  <c r="M92" i="282"/>
  <c r="L92" i="282"/>
  <c r="M91" i="282"/>
  <c r="L91" i="282"/>
  <c r="M90" i="282"/>
  <c r="L90" i="282"/>
  <c r="M88" i="282"/>
  <c r="L88" i="282"/>
  <c r="M86" i="282"/>
  <c r="L86" i="282"/>
  <c r="M84" i="282"/>
  <c r="L84" i="282"/>
  <c r="M83" i="282"/>
  <c r="L83" i="282"/>
  <c r="M82" i="282"/>
  <c r="L82" i="282"/>
  <c r="H128" i="282"/>
  <c r="H127" i="282"/>
  <c r="H126" i="282"/>
  <c r="H125" i="282"/>
  <c r="H124" i="282"/>
  <c r="H123" i="282"/>
  <c r="H122" i="282"/>
  <c r="H121" i="282"/>
  <c r="H120" i="282"/>
  <c r="H119" i="282"/>
  <c r="H118" i="282"/>
  <c r="H117" i="282"/>
  <c r="H116" i="282"/>
  <c r="H115" i="282"/>
  <c r="H114" i="282"/>
  <c r="H112" i="282"/>
  <c r="H110" i="282"/>
  <c r="H109" i="282"/>
  <c r="H108" i="282"/>
  <c r="H107" i="282"/>
  <c r="H106" i="282"/>
  <c r="H105" i="282"/>
  <c r="H104" i="282"/>
  <c r="H103" i="282"/>
  <c r="H102" i="282"/>
  <c r="H101" i="282"/>
  <c r="H100" i="282"/>
  <c r="H99" i="282"/>
  <c r="H98" i="282"/>
  <c r="H97" i="282"/>
  <c r="H96" i="282"/>
  <c r="H95" i="282"/>
  <c r="H94" i="282"/>
  <c r="H93" i="282"/>
  <c r="H92" i="282"/>
  <c r="H91" i="282"/>
  <c r="H90" i="282"/>
  <c r="H88" i="282"/>
  <c r="H87" i="282"/>
  <c r="H86" i="282"/>
  <c r="H85" i="282"/>
  <c r="H84" i="282"/>
  <c r="H83" i="282"/>
  <c r="H82" i="282"/>
  <c r="M61" i="282"/>
  <c r="L61" i="282"/>
  <c r="M59" i="282"/>
  <c r="L59" i="282"/>
  <c r="M57" i="282"/>
  <c r="L57" i="282"/>
  <c r="M56" i="282"/>
  <c r="L56" i="282"/>
  <c r="M55" i="282"/>
  <c r="L55" i="282"/>
  <c r="M43" i="282"/>
  <c r="L43" i="282"/>
  <c r="M41" i="282"/>
  <c r="L41" i="282"/>
  <c r="M39" i="282"/>
  <c r="L39" i="282"/>
  <c r="M38" i="282"/>
  <c r="L38" i="282"/>
  <c r="M37" i="282"/>
  <c r="L37" i="282"/>
  <c r="M36" i="282"/>
  <c r="L36" i="282"/>
  <c r="M35" i="282"/>
  <c r="L35" i="282"/>
  <c r="M33" i="282"/>
  <c r="L33" i="282"/>
  <c r="M31" i="282"/>
  <c r="L31" i="282"/>
  <c r="M30" i="282"/>
  <c r="L30" i="282"/>
  <c r="M29" i="282"/>
  <c r="L29" i="282"/>
  <c r="M27" i="282"/>
  <c r="L27" i="282"/>
  <c r="M26" i="282"/>
  <c r="L26" i="282"/>
  <c r="M25" i="282"/>
  <c r="L25" i="282"/>
  <c r="M23" i="282"/>
  <c r="L23" i="282"/>
  <c r="M21" i="282"/>
  <c r="L21" i="282"/>
  <c r="M19" i="282"/>
  <c r="L19" i="282"/>
  <c r="M17" i="282"/>
  <c r="L17" i="282"/>
  <c r="M16" i="282"/>
  <c r="L16" i="282"/>
  <c r="M15" i="282"/>
  <c r="L15" i="282"/>
  <c r="M14" i="282"/>
  <c r="L14" i="282"/>
  <c r="M13" i="282"/>
  <c r="L13" i="282"/>
  <c r="M12" i="282"/>
  <c r="L12" i="282"/>
  <c r="H61" i="282"/>
  <c r="H59" i="282"/>
  <c r="H57" i="282"/>
  <c r="H56" i="282"/>
  <c r="H55" i="282"/>
  <c r="H43" i="282"/>
  <c r="H41" i="282"/>
  <c r="H39" i="282"/>
  <c r="H38" i="282"/>
  <c r="H37" i="282"/>
  <c r="H36" i="282"/>
  <c r="H35" i="282"/>
  <c r="H33" i="282"/>
  <c r="H31" i="282"/>
  <c r="H30" i="282"/>
  <c r="H29" i="282"/>
  <c r="H27" i="282"/>
  <c r="H26" i="282"/>
  <c r="H25" i="282"/>
  <c r="H23" i="282"/>
  <c r="H21" i="282"/>
  <c r="H19" i="282"/>
  <c r="H17" i="282"/>
  <c r="H16" i="282"/>
  <c r="H15" i="282"/>
  <c r="H14" i="282"/>
  <c r="H13" i="282"/>
  <c r="H12" i="282"/>
  <c r="M132" i="271"/>
  <c r="M131" i="271"/>
  <c r="L131" i="271"/>
  <c r="M130" i="271"/>
  <c r="L130" i="271"/>
  <c r="M129" i="271"/>
  <c r="L129" i="271"/>
  <c r="M128" i="271"/>
  <c r="L128" i="271"/>
  <c r="M106" i="271"/>
  <c r="L106" i="271"/>
  <c r="M105" i="271"/>
  <c r="L105" i="271"/>
  <c r="M104" i="271"/>
  <c r="L104" i="271"/>
  <c r="M103" i="271"/>
  <c r="L103" i="271"/>
  <c r="M102" i="271"/>
  <c r="L102" i="271"/>
  <c r="M101" i="271"/>
  <c r="L101" i="271"/>
  <c r="M100" i="271"/>
  <c r="L100" i="271"/>
  <c r="M99" i="271"/>
  <c r="L99" i="271"/>
  <c r="M98" i="271"/>
  <c r="L98" i="271"/>
  <c r="M97" i="271"/>
  <c r="L97" i="271"/>
  <c r="M96" i="271"/>
  <c r="L96" i="271"/>
  <c r="M95" i="271"/>
  <c r="L95" i="271"/>
  <c r="M94" i="271"/>
  <c r="L94" i="271"/>
  <c r="M93" i="271"/>
  <c r="L93" i="271"/>
  <c r="M92" i="271"/>
  <c r="L92" i="271"/>
  <c r="M91" i="271"/>
  <c r="L91" i="271"/>
  <c r="M90" i="271"/>
  <c r="L90" i="271"/>
  <c r="M89" i="271"/>
  <c r="L89" i="271"/>
  <c r="M88" i="271"/>
  <c r="L88" i="271"/>
  <c r="M87" i="271"/>
  <c r="L87" i="271"/>
  <c r="M86" i="271"/>
  <c r="L86" i="271"/>
  <c r="M85" i="271"/>
  <c r="L85" i="271"/>
  <c r="M83" i="271"/>
  <c r="L83" i="271"/>
  <c r="M82" i="271"/>
  <c r="M81" i="271"/>
  <c r="M79" i="271"/>
  <c r="M78" i="271"/>
  <c r="M77" i="271"/>
  <c r="M75" i="271"/>
  <c r="L75" i="271"/>
  <c r="M73" i="271"/>
  <c r="L73" i="271"/>
  <c r="M71" i="271"/>
  <c r="L71" i="271"/>
  <c r="M70" i="271"/>
  <c r="L70" i="271"/>
  <c r="H131" i="271"/>
  <c r="H130" i="271"/>
  <c r="H129" i="271"/>
  <c r="H128" i="271"/>
  <c r="H106" i="271"/>
  <c r="H105" i="271"/>
  <c r="H104" i="271"/>
  <c r="H103" i="271"/>
  <c r="H102" i="271"/>
  <c r="H101" i="271"/>
  <c r="H100" i="271"/>
  <c r="H99" i="271"/>
  <c r="H98" i="271"/>
  <c r="H97" i="271"/>
  <c r="H96" i="271"/>
  <c r="H95" i="271"/>
  <c r="H94" i="271"/>
  <c r="H93" i="271"/>
  <c r="H92" i="271"/>
  <c r="H91" i="271"/>
  <c r="H90" i="271"/>
  <c r="H89" i="271"/>
  <c r="H88" i="271"/>
  <c r="H87" i="271"/>
  <c r="H86" i="271"/>
  <c r="H85" i="271"/>
  <c r="H84" i="271"/>
  <c r="H83" i="271"/>
  <c r="H75" i="271"/>
  <c r="H74" i="271"/>
  <c r="H73" i="271"/>
  <c r="H72" i="271"/>
  <c r="H71" i="271"/>
  <c r="H70" i="271"/>
  <c r="M133" i="281"/>
  <c r="M71" i="281"/>
  <c r="L71" i="281"/>
  <c r="M70" i="281"/>
  <c r="L70" i="281"/>
  <c r="M69" i="281"/>
  <c r="L69" i="281"/>
  <c r="M68" i="281"/>
  <c r="L68" i="281"/>
  <c r="M67" i="281"/>
  <c r="L67" i="281"/>
  <c r="M66" i="281"/>
  <c r="L66" i="281"/>
  <c r="M65" i="281"/>
  <c r="L65" i="281"/>
  <c r="M64" i="281"/>
  <c r="L64" i="281"/>
  <c r="M63" i="281"/>
  <c r="L63" i="281"/>
  <c r="M62" i="281"/>
  <c r="L62" i="281"/>
  <c r="M61" i="281"/>
  <c r="L61" i="281"/>
  <c r="M60" i="281"/>
  <c r="L60" i="281"/>
  <c r="M59" i="281"/>
  <c r="L59" i="281"/>
  <c r="M58" i="281"/>
  <c r="L58" i="281"/>
  <c r="M57" i="281"/>
  <c r="L57" i="281"/>
  <c r="M56" i="281"/>
  <c r="L56" i="281"/>
  <c r="M55" i="281"/>
  <c r="L55" i="281"/>
  <c r="M54" i="281"/>
  <c r="L54" i="281"/>
  <c r="M53" i="281"/>
  <c r="L53" i="281"/>
  <c r="M52" i="281"/>
  <c r="L52" i="281"/>
  <c r="M51" i="281"/>
  <c r="L51" i="281"/>
  <c r="M50" i="281"/>
  <c r="L50" i="281"/>
  <c r="M49" i="281"/>
  <c r="L49" i="281"/>
  <c r="M48" i="281"/>
  <c r="L48" i="281"/>
  <c r="M47" i="281"/>
  <c r="L47" i="281"/>
  <c r="M46" i="281"/>
  <c r="L46" i="281"/>
  <c r="M45" i="281"/>
  <c r="L45" i="281"/>
  <c r="M44" i="281"/>
  <c r="L44" i="281"/>
  <c r="M43" i="281"/>
  <c r="L43" i="281"/>
  <c r="M42" i="281"/>
  <c r="L42" i="281"/>
  <c r="M41" i="281"/>
  <c r="L41" i="281"/>
  <c r="M37" i="281"/>
  <c r="L37" i="281"/>
  <c r="M35" i="281"/>
  <c r="L35" i="281"/>
  <c r="M34" i="281"/>
  <c r="L34" i="281"/>
  <c r="M33" i="281"/>
  <c r="L33" i="281"/>
  <c r="M32" i="281"/>
  <c r="L32" i="281"/>
  <c r="M31" i="281"/>
  <c r="L31" i="281"/>
  <c r="M29" i="281"/>
  <c r="L29" i="281"/>
  <c r="M28" i="281"/>
  <c r="L28" i="281"/>
  <c r="M27" i="281"/>
  <c r="L27" i="281"/>
  <c r="M26" i="281"/>
  <c r="L26" i="281"/>
  <c r="M25" i="281"/>
  <c r="L25" i="281"/>
  <c r="M23" i="281"/>
  <c r="L23" i="281"/>
  <c r="M22" i="281"/>
  <c r="L22" i="281"/>
  <c r="M19" i="281"/>
  <c r="L19" i="281"/>
  <c r="M17" i="281"/>
  <c r="L17" i="281"/>
  <c r="M16" i="281"/>
  <c r="L16" i="281"/>
  <c r="M15" i="281"/>
  <c r="L15" i="281"/>
  <c r="M14" i="281"/>
  <c r="L14" i="281"/>
  <c r="M13" i="281"/>
  <c r="L13" i="281"/>
  <c r="M12" i="281"/>
  <c r="L12" i="281"/>
  <c r="H71" i="281"/>
  <c r="H70" i="281"/>
  <c r="H69" i="281"/>
  <c r="H68" i="281"/>
  <c r="H67" i="281"/>
  <c r="H66" i="281"/>
  <c r="H65" i="281"/>
  <c r="H64" i="281"/>
  <c r="H63" i="281"/>
  <c r="H62" i="281"/>
  <c r="H61" i="281"/>
  <c r="H60" i="281"/>
  <c r="H59" i="281"/>
  <c r="H58" i="281"/>
  <c r="H57" i="281"/>
  <c r="H56" i="281"/>
  <c r="H55" i="281"/>
  <c r="H54" i="281"/>
  <c r="H53" i="281"/>
  <c r="H52" i="281"/>
  <c r="H51" i="281"/>
  <c r="H50" i="281"/>
  <c r="H49" i="281"/>
  <c r="H48" i="281"/>
  <c r="H47" i="281"/>
  <c r="H46" i="281"/>
  <c r="H45" i="281"/>
  <c r="H44" i="281"/>
  <c r="H43" i="281"/>
  <c r="H42" i="281"/>
  <c r="H41" i="281"/>
  <c r="H37" i="281"/>
  <c r="H35" i="281"/>
  <c r="H34" i="281"/>
  <c r="H33" i="281"/>
  <c r="H32" i="281"/>
  <c r="H31" i="281"/>
  <c r="H29" i="281"/>
  <c r="H28" i="281"/>
  <c r="H27" i="281"/>
  <c r="H26" i="281"/>
  <c r="H25" i="281"/>
  <c r="H23" i="281"/>
  <c r="H22" i="281"/>
  <c r="H19" i="281"/>
  <c r="H17" i="281"/>
  <c r="H16" i="281"/>
  <c r="H15" i="281"/>
  <c r="H14" i="281"/>
  <c r="H13" i="281"/>
  <c r="H12" i="281"/>
  <c r="M72" i="270"/>
  <c r="M78" i="268"/>
  <c r="M77" i="268"/>
  <c r="L77" i="268"/>
  <c r="M76" i="268"/>
  <c r="L76" i="268"/>
  <c r="M75" i="268"/>
  <c r="L75" i="268"/>
  <c r="M74" i="268"/>
  <c r="L74" i="268"/>
  <c r="M73" i="268"/>
  <c r="L73" i="268"/>
  <c r="M72" i="268"/>
  <c r="L72" i="268"/>
  <c r="M71" i="268"/>
  <c r="L71" i="268"/>
  <c r="M70" i="268"/>
  <c r="L70" i="268"/>
  <c r="M69" i="268"/>
  <c r="L69" i="268"/>
  <c r="M68" i="268"/>
  <c r="L68" i="268"/>
  <c r="M67" i="268"/>
  <c r="L67" i="268"/>
  <c r="M66" i="268"/>
  <c r="L66" i="268"/>
  <c r="M65" i="268"/>
  <c r="L65" i="268"/>
  <c r="M64" i="268"/>
  <c r="L64" i="268"/>
  <c r="M63" i="268"/>
  <c r="L63" i="268"/>
  <c r="M62" i="268"/>
  <c r="L62" i="268"/>
  <c r="M61" i="268"/>
  <c r="L61" i="268"/>
  <c r="M60" i="268"/>
  <c r="L60" i="268"/>
  <c r="M59" i="268"/>
  <c r="L59" i="268"/>
  <c r="M58" i="268"/>
  <c r="L58" i="268"/>
  <c r="M57" i="268"/>
  <c r="L57" i="268"/>
  <c r="M56" i="268"/>
  <c r="L56" i="268"/>
  <c r="M55" i="268"/>
  <c r="L55" i="268"/>
  <c r="M54" i="268"/>
  <c r="L54" i="268"/>
  <c r="M53" i="268"/>
  <c r="L53" i="268"/>
  <c r="M52" i="268"/>
  <c r="L52" i="268"/>
  <c r="M51" i="268"/>
  <c r="L51" i="268"/>
  <c r="M50" i="268"/>
  <c r="L50" i="268"/>
  <c r="M49" i="268"/>
  <c r="L49" i="268"/>
  <c r="M48" i="268"/>
  <c r="L48" i="268"/>
  <c r="M47" i="268"/>
  <c r="L47" i="268"/>
  <c r="M46" i="268"/>
  <c r="L46" i="268"/>
  <c r="M45" i="268"/>
  <c r="L45" i="268"/>
  <c r="M44" i="268"/>
  <c r="L44" i="268"/>
  <c r="M43" i="268"/>
  <c r="L43" i="268"/>
  <c r="M42" i="268"/>
  <c r="L42" i="268"/>
  <c r="M41" i="268"/>
  <c r="L41" i="268"/>
  <c r="M40" i="268"/>
  <c r="L40" i="268"/>
  <c r="M39" i="268"/>
  <c r="L39" i="268"/>
  <c r="M38" i="268"/>
  <c r="L38" i="268"/>
  <c r="M37" i="268"/>
  <c r="L37" i="268"/>
  <c r="M36" i="268"/>
  <c r="L36" i="268"/>
  <c r="M35" i="268"/>
  <c r="L35" i="268"/>
  <c r="M34" i="268"/>
  <c r="L34" i="268"/>
  <c r="M33" i="268"/>
  <c r="L33" i="268"/>
  <c r="M32" i="268"/>
  <c r="L32" i="268"/>
  <c r="M31" i="268"/>
  <c r="L31" i="268"/>
  <c r="M30" i="268"/>
  <c r="L30" i="268"/>
  <c r="M29" i="268"/>
  <c r="L29" i="268"/>
  <c r="M28" i="268"/>
  <c r="L28" i="268"/>
  <c r="M27" i="268"/>
  <c r="L27" i="268"/>
  <c r="M26" i="268"/>
  <c r="L26" i="268"/>
  <c r="M25" i="268"/>
  <c r="L25" i="268"/>
  <c r="M24" i="268"/>
  <c r="L24" i="268"/>
  <c r="M23" i="268"/>
  <c r="L23" i="268"/>
  <c r="M22" i="268"/>
  <c r="L22" i="268"/>
  <c r="M21" i="268"/>
  <c r="L21" i="268"/>
  <c r="M20" i="268"/>
  <c r="L20" i="268"/>
  <c r="M19" i="268"/>
  <c r="L19" i="268"/>
  <c r="M18" i="268"/>
  <c r="L18" i="268"/>
  <c r="M17" i="268"/>
  <c r="L17" i="268"/>
  <c r="M16" i="268"/>
  <c r="L16" i="268"/>
  <c r="M15" i="268"/>
  <c r="L15" i="268"/>
  <c r="M14" i="268"/>
  <c r="L14" i="268"/>
  <c r="M13" i="268"/>
  <c r="L13" i="268"/>
  <c r="M12" i="268"/>
  <c r="L12" i="268"/>
  <c r="H77" i="268"/>
  <c r="H76" i="268"/>
  <c r="H75" i="268"/>
  <c r="H74" i="268"/>
  <c r="H73" i="268"/>
  <c r="H72" i="268"/>
  <c r="H71" i="268"/>
  <c r="H70" i="268"/>
  <c r="H69" i="268"/>
  <c r="H68" i="268"/>
  <c r="H67" i="268"/>
  <c r="H66" i="268"/>
  <c r="H65" i="268"/>
  <c r="H64" i="268"/>
  <c r="H63" i="268"/>
  <c r="H62" i="268"/>
  <c r="H61" i="268"/>
  <c r="H60" i="268"/>
  <c r="H59" i="268"/>
  <c r="H58" i="268"/>
  <c r="H57" i="268"/>
  <c r="H56" i="268"/>
  <c r="H55" i="268"/>
  <c r="H54" i="268"/>
  <c r="H53" i="268"/>
  <c r="H52" i="268"/>
  <c r="H51" i="268"/>
  <c r="H50" i="268"/>
  <c r="H49" i="268"/>
  <c r="H48" i="268"/>
  <c r="H47" i="268"/>
  <c r="H46" i="268"/>
  <c r="H45" i="268"/>
  <c r="H44" i="268"/>
  <c r="H43" i="268"/>
  <c r="H42" i="268"/>
  <c r="H41" i="268"/>
  <c r="H40" i="268"/>
  <c r="H39" i="268"/>
  <c r="H38" i="268"/>
  <c r="H37" i="268"/>
  <c r="H36" i="268"/>
  <c r="H35" i="268"/>
  <c r="H34" i="268"/>
  <c r="H33" i="268"/>
  <c r="H32" i="268"/>
  <c r="H31" i="268"/>
  <c r="H30" i="268"/>
  <c r="H29" i="268"/>
  <c r="H28" i="268"/>
  <c r="H27" i="268"/>
  <c r="H26" i="268"/>
  <c r="H25" i="268"/>
  <c r="H24" i="268"/>
  <c r="H23" i="268"/>
  <c r="H22" i="268"/>
  <c r="H21" i="268"/>
  <c r="H20" i="268"/>
  <c r="H19" i="268"/>
  <c r="H17" i="268"/>
  <c r="H15" i="268"/>
  <c r="H14" i="268"/>
  <c r="H13" i="268"/>
  <c r="H12" i="268"/>
  <c r="H16" i="268"/>
  <c r="J18" i="316"/>
  <c r="K18" i="316" s="1"/>
  <c r="J18" i="315"/>
  <c r="K18" i="315" s="1"/>
  <c r="L80" i="316"/>
  <c r="K80" i="316"/>
  <c r="L79" i="316"/>
  <c r="K79" i="316"/>
  <c r="L78" i="316"/>
  <c r="K78" i="316"/>
  <c r="L77" i="316"/>
  <c r="K77" i="316"/>
  <c r="L76" i="316"/>
  <c r="K76" i="316"/>
  <c r="L75" i="316"/>
  <c r="K75" i="316"/>
  <c r="L74" i="316"/>
  <c r="K74" i="316"/>
  <c r="L73" i="316"/>
  <c r="K73" i="316"/>
  <c r="L72" i="316"/>
  <c r="K72" i="316"/>
  <c r="L71" i="316"/>
  <c r="K71" i="316"/>
  <c r="L70" i="316"/>
  <c r="K70" i="316"/>
  <c r="L69" i="316"/>
  <c r="K69" i="316"/>
  <c r="L68" i="316"/>
  <c r="K68" i="316"/>
  <c r="L67" i="316"/>
  <c r="K67" i="316"/>
  <c r="L66" i="316"/>
  <c r="K66" i="316"/>
  <c r="L65" i="316"/>
  <c r="K65" i="316"/>
  <c r="L64" i="316"/>
  <c r="K64" i="316"/>
  <c r="L63" i="316"/>
  <c r="K63" i="316"/>
  <c r="L62" i="316"/>
  <c r="K62" i="316"/>
  <c r="L61" i="316"/>
  <c r="K61" i="316"/>
  <c r="L60" i="316"/>
  <c r="K60" i="316"/>
  <c r="L59" i="316"/>
  <c r="K59" i="316"/>
  <c r="L58" i="316"/>
  <c r="K58" i="316"/>
  <c r="L57" i="316"/>
  <c r="K57" i="316"/>
  <c r="L56" i="316"/>
  <c r="K56" i="316"/>
  <c r="L55" i="316"/>
  <c r="K55" i="316"/>
  <c r="L54" i="316"/>
  <c r="K54" i="316"/>
  <c r="L53" i="316"/>
  <c r="K53" i="316"/>
  <c r="L52" i="316"/>
  <c r="K52" i="316"/>
  <c r="L51" i="316"/>
  <c r="K51" i="316"/>
  <c r="L50" i="316"/>
  <c r="K50" i="316"/>
  <c r="L49" i="316"/>
  <c r="K49" i="316"/>
  <c r="L48" i="316"/>
  <c r="K48" i="316"/>
  <c r="L47" i="316"/>
  <c r="K47" i="316"/>
  <c r="L46" i="316"/>
  <c r="K46" i="316"/>
  <c r="L45" i="316"/>
  <c r="K45" i="316"/>
  <c r="L44" i="316"/>
  <c r="K44" i="316"/>
  <c r="L43" i="316"/>
  <c r="K43" i="316"/>
  <c r="L42" i="316"/>
  <c r="K42" i="316"/>
  <c r="L41" i="316"/>
  <c r="K41" i="316"/>
  <c r="L40" i="316"/>
  <c r="K40" i="316"/>
  <c r="L39" i="316"/>
  <c r="K39" i="316"/>
  <c r="L38" i="316"/>
  <c r="K38" i="316"/>
  <c r="L37" i="316"/>
  <c r="K37" i="316"/>
  <c r="L36" i="316"/>
  <c r="K36" i="316"/>
  <c r="L35" i="316"/>
  <c r="K35" i="316"/>
  <c r="L34" i="316"/>
  <c r="K34" i="316"/>
  <c r="L33" i="316"/>
  <c r="K33" i="316"/>
  <c r="L32" i="316"/>
  <c r="K32" i="316"/>
  <c r="L31" i="316"/>
  <c r="K31" i="316"/>
  <c r="L30" i="316"/>
  <c r="K30" i="316"/>
  <c r="L29" i="316"/>
  <c r="K29" i="316"/>
  <c r="L28" i="316"/>
  <c r="K28" i="316"/>
  <c r="L27" i="316"/>
  <c r="K27" i="316"/>
  <c r="L26" i="316"/>
  <c r="K26" i="316"/>
  <c r="L25" i="316"/>
  <c r="K25" i="316"/>
  <c r="L24" i="316"/>
  <c r="K24" i="316"/>
  <c r="L23" i="316"/>
  <c r="K23" i="316"/>
  <c r="L22" i="316"/>
  <c r="K22" i="316"/>
  <c r="L21" i="316"/>
  <c r="K21" i="316"/>
  <c r="L19" i="316"/>
  <c r="K19" i="316"/>
  <c r="L17" i="316"/>
  <c r="K17" i="316"/>
  <c r="L15" i="316"/>
  <c r="K15" i="316"/>
  <c r="L14" i="316"/>
  <c r="K14" i="316"/>
  <c r="L13" i="316"/>
  <c r="K13" i="316"/>
  <c r="L16" i="316"/>
  <c r="K16" i="316"/>
  <c r="G80" i="316"/>
  <c r="G79" i="316"/>
  <c r="G78" i="316"/>
  <c r="G77" i="316"/>
  <c r="G76" i="316"/>
  <c r="G75" i="316"/>
  <c r="G74" i="316"/>
  <c r="G73" i="316"/>
  <c r="G72" i="316"/>
  <c r="G71" i="316"/>
  <c r="G70" i="316"/>
  <c r="G69" i="316"/>
  <c r="G68" i="316"/>
  <c r="G67" i="316"/>
  <c r="G66" i="316"/>
  <c r="G65" i="316"/>
  <c r="G64" i="316"/>
  <c r="G63" i="316"/>
  <c r="G62" i="316"/>
  <c r="G61" i="316"/>
  <c r="G60" i="316"/>
  <c r="G59" i="316"/>
  <c r="G58" i="316"/>
  <c r="G57" i="316"/>
  <c r="G56" i="316"/>
  <c r="G55" i="316"/>
  <c r="G54" i="316"/>
  <c r="G53" i="316"/>
  <c r="G52" i="316"/>
  <c r="G51" i="316"/>
  <c r="G50" i="316"/>
  <c r="G49" i="316"/>
  <c r="G48" i="316"/>
  <c r="G47" i="316"/>
  <c r="G46" i="316"/>
  <c r="G45" i="316"/>
  <c r="G44" i="316"/>
  <c r="G43" i="316"/>
  <c r="G42" i="316"/>
  <c r="G41" i="316"/>
  <c r="G40" i="316"/>
  <c r="G39" i="316"/>
  <c r="G38" i="316"/>
  <c r="G37" i="316"/>
  <c r="G36" i="316"/>
  <c r="G35" i="316"/>
  <c r="G34" i="316"/>
  <c r="G33" i="316"/>
  <c r="G32" i="316"/>
  <c r="G31" i="316"/>
  <c r="G30" i="316"/>
  <c r="G29" i="316"/>
  <c r="G28" i="316"/>
  <c r="G27" i="316"/>
  <c r="G26" i="316"/>
  <c r="G25" i="316"/>
  <c r="G24" i="316"/>
  <c r="G23" i="316"/>
  <c r="G22" i="316"/>
  <c r="G21" i="316"/>
  <c r="G19" i="316"/>
  <c r="G18" i="316"/>
  <c r="G17" i="316"/>
  <c r="G16" i="316"/>
  <c r="G15" i="316"/>
  <c r="G14" i="316"/>
  <c r="L80" i="315"/>
  <c r="K80" i="315"/>
  <c r="L79" i="315"/>
  <c r="K79" i="315"/>
  <c r="L78" i="315"/>
  <c r="K78" i="315"/>
  <c r="L77" i="315"/>
  <c r="K77" i="315"/>
  <c r="L76" i="315"/>
  <c r="K76" i="315"/>
  <c r="L75" i="315"/>
  <c r="K75" i="315"/>
  <c r="L74" i="315"/>
  <c r="K74" i="315"/>
  <c r="L73" i="315"/>
  <c r="K73" i="315"/>
  <c r="L72" i="315"/>
  <c r="K72" i="315"/>
  <c r="L71" i="315"/>
  <c r="K71" i="315"/>
  <c r="L70" i="315"/>
  <c r="K70" i="315"/>
  <c r="L69" i="315"/>
  <c r="K69" i="315"/>
  <c r="L68" i="315"/>
  <c r="K68" i="315"/>
  <c r="L67" i="315"/>
  <c r="K67" i="315"/>
  <c r="L66" i="315"/>
  <c r="K66" i="315"/>
  <c r="L65" i="315"/>
  <c r="K65" i="315"/>
  <c r="L64" i="315"/>
  <c r="K64" i="315"/>
  <c r="L63" i="315"/>
  <c r="K63" i="315"/>
  <c r="L62" i="315"/>
  <c r="K62" i="315"/>
  <c r="L61" i="315"/>
  <c r="K61" i="315"/>
  <c r="L60" i="315"/>
  <c r="K60" i="315"/>
  <c r="L59" i="315"/>
  <c r="K59" i="315"/>
  <c r="L58" i="315"/>
  <c r="K58" i="315"/>
  <c r="L57" i="315"/>
  <c r="K57" i="315"/>
  <c r="L56" i="315"/>
  <c r="K56" i="315"/>
  <c r="L55" i="315"/>
  <c r="K55" i="315"/>
  <c r="L54" i="315"/>
  <c r="K54" i="315"/>
  <c r="L53" i="315"/>
  <c r="K53" i="315"/>
  <c r="L52" i="315"/>
  <c r="K52" i="315"/>
  <c r="L51" i="315"/>
  <c r="K51" i="315"/>
  <c r="L50" i="315"/>
  <c r="K50" i="315"/>
  <c r="L49" i="315"/>
  <c r="K49" i="315"/>
  <c r="L48" i="315"/>
  <c r="K48" i="315"/>
  <c r="L47" i="315"/>
  <c r="K47" i="315"/>
  <c r="L46" i="315"/>
  <c r="K46" i="315"/>
  <c r="L45" i="315"/>
  <c r="K45" i="315"/>
  <c r="L44" i="315"/>
  <c r="K44" i="315"/>
  <c r="L43" i="315"/>
  <c r="K43" i="315"/>
  <c r="L42" i="315"/>
  <c r="K42" i="315"/>
  <c r="L41" i="315"/>
  <c r="K41" i="315"/>
  <c r="L40" i="315"/>
  <c r="K40" i="315"/>
  <c r="L39" i="315"/>
  <c r="K39" i="315"/>
  <c r="L38" i="315"/>
  <c r="K38" i="315"/>
  <c r="L37" i="315"/>
  <c r="K37" i="315"/>
  <c r="L36" i="315"/>
  <c r="K36" i="315"/>
  <c r="L35" i="315"/>
  <c r="K35" i="315"/>
  <c r="L34" i="315"/>
  <c r="K34" i="315"/>
  <c r="L33" i="315"/>
  <c r="K33" i="315"/>
  <c r="L32" i="315"/>
  <c r="K32" i="315"/>
  <c r="L31" i="315"/>
  <c r="K31" i="315"/>
  <c r="L30" i="315"/>
  <c r="K30" i="315"/>
  <c r="L29" i="315"/>
  <c r="K29" i="315"/>
  <c r="L28" i="315"/>
  <c r="K28" i="315"/>
  <c r="L27" i="315"/>
  <c r="K27" i="315"/>
  <c r="L26" i="315"/>
  <c r="K26" i="315"/>
  <c r="L25" i="315"/>
  <c r="K25" i="315"/>
  <c r="L24" i="315"/>
  <c r="K24" i="315"/>
  <c r="L23" i="315"/>
  <c r="K23" i="315"/>
  <c r="L22" i="315"/>
  <c r="K22" i="315"/>
  <c r="L21" i="315"/>
  <c r="K21" i="315"/>
  <c r="L19" i="315"/>
  <c r="K19" i="315"/>
  <c r="L17" i="315"/>
  <c r="K17" i="315"/>
  <c r="L16" i="315"/>
  <c r="K16" i="315"/>
  <c r="L15" i="315"/>
  <c r="K15" i="315"/>
  <c r="L14" i="315"/>
  <c r="K14" i="315"/>
  <c r="G80" i="315"/>
  <c r="G79" i="315"/>
  <c r="G78" i="315"/>
  <c r="G77" i="315"/>
  <c r="G76" i="315"/>
  <c r="G75" i="315"/>
  <c r="G74" i="315"/>
  <c r="G73" i="315"/>
  <c r="G72" i="315"/>
  <c r="G71" i="315"/>
  <c r="G70" i="315"/>
  <c r="G69" i="315"/>
  <c r="G68" i="315"/>
  <c r="G67" i="315"/>
  <c r="G66" i="315"/>
  <c r="G65" i="315"/>
  <c r="G64" i="315"/>
  <c r="G63" i="315"/>
  <c r="G62" i="315"/>
  <c r="G61" i="315"/>
  <c r="G60" i="315"/>
  <c r="G59" i="315"/>
  <c r="G58" i="315"/>
  <c r="G57" i="315"/>
  <c r="G56" i="315"/>
  <c r="G55" i="315"/>
  <c r="G54" i="315"/>
  <c r="G53" i="315"/>
  <c r="G52" i="315"/>
  <c r="G51" i="315"/>
  <c r="G50" i="315"/>
  <c r="G49" i="315"/>
  <c r="G48" i="315"/>
  <c r="G47" i="315"/>
  <c r="G46" i="315"/>
  <c r="G45" i="315"/>
  <c r="G44" i="315"/>
  <c r="G43" i="315"/>
  <c r="G42" i="315"/>
  <c r="G41" i="315"/>
  <c r="G40" i="315"/>
  <c r="G39" i="315"/>
  <c r="G38" i="315"/>
  <c r="G37" i="315"/>
  <c r="G36" i="315"/>
  <c r="G35" i="315"/>
  <c r="G34" i="315"/>
  <c r="G33" i="315"/>
  <c r="G32" i="315"/>
  <c r="G31" i="315"/>
  <c r="G30" i="315"/>
  <c r="G29" i="315"/>
  <c r="G28" i="315"/>
  <c r="G27" i="315"/>
  <c r="G26" i="315"/>
  <c r="G25" i="315"/>
  <c r="G24" i="315"/>
  <c r="G23" i="315"/>
  <c r="G22" i="315"/>
  <c r="G21" i="315"/>
  <c r="G19" i="315"/>
  <c r="G18" i="315"/>
  <c r="G17" i="315"/>
  <c r="G16" i="315"/>
  <c r="G15" i="315"/>
  <c r="G14" i="315"/>
  <c r="M72" i="200"/>
  <c r="L72" i="200"/>
  <c r="M71" i="200"/>
  <c r="L71" i="200"/>
  <c r="M70" i="200"/>
  <c r="L70" i="200"/>
  <c r="M69" i="200"/>
  <c r="L69" i="200"/>
  <c r="M68" i="200"/>
  <c r="L68" i="200"/>
  <c r="M61" i="200"/>
  <c r="L61" i="200"/>
  <c r="M60" i="200"/>
  <c r="L60" i="200"/>
  <c r="M59" i="200"/>
  <c r="L59" i="200"/>
  <c r="M58" i="200"/>
  <c r="L58" i="200"/>
  <c r="M57" i="200"/>
  <c r="L57" i="200"/>
  <c r="M56" i="200"/>
  <c r="L56" i="200"/>
  <c r="M55" i="200"/>
  <c r="L55" i="200"/>
  <c r="M54" i="200"/>
  <c r="L54" i="200"/>
  <c r="M53" i="200"/>
  <c r="L53" i="200"/>
  <c r="M52" i="200"/>
  <c r="L52" i="200"/>
  <c r="M51" i="200"/>
  <c r="L51" i="200"/>
  <c r="M50" i="200"/>
  <c r="L50" i="200"/>
  <c r="M49" i="200"/>
  <c r="L49" i="200"/>
  <c r="M48" i="200"/>
  <c r="L48" i="200"/>
  <c r="M47" i="200"/>
  <c r="L47" i="200"/>
  <c r="M46" i="200"/>
  <c r="L46" i="200"/>
  <c r="M45" i="200"/>
  <c r="L45" i="200"/>
  <c r="M44" i="200"/>
  <c r="L44" i="200"/>
  <c r="M43" i="200"/>
  <c r="L43" i="200"/>
  <c r="M42" i="200"/>
  <c r="L42" i="200"/>
  <c r="M41" i="200"/>
  <c r="L41" i="200"/>
  <c r="M40" i="200"/>
  <c r="L40" i="200"/>
  <c r="M39" i="200"/>
  <c r="L39" i="200"/>
  <c r="M38" i="200"/>
  <c r="L38" i="200"/>
  <c r="M37" i="200"/>
  <c r="L37" i="200"/>
  <c r="M36" i="200"/>
  <c r="L36" i="200"/>
  <c r="M35" i="200"/>
  <c r="L35" i="200"/>
  <c r="M34" i="200"/>
  <c r="L34" i="200"/>
  <c r="M33" i="200"/>
  <c r="L33" i="200"/>
  <c r="M31" i="200"/>
  <c r="L31" i="200"/>
  <c r="M30" i="200"/>
  <c r="L30" i="200"/>
  <c r="M29" i="200"/>
  <c r="L29" i="200"/>
  <c r="M27" i="200"/>
  <c r="L27" i="200"/>
  <c r="M25" i="200"/>
  <c r="L25" i="200"/>
  <c r="M24" i="200"/>
  <c r="L24" i="200"/>
  <c r="M23" i="200"/>
  <c r="L23" i="200"/>
  <c r="M21" i="200"/>
  <c r="L21" i="200"/>
  <c r="M19" i="200"/>
  <c r="L19" i="200"/>
  <c r="M18" i="200"/>
  <c r="L18" i="200"/>
  <c r="M17" i="200"/>
  <c r="L17" i="200"/>
  <c r="M16" i="200"/>
  <c r="L16" i="200"/>
  <c r="M15" i="200"/>
  <c r="L15" i="200"/>
  <c r="M14" i="200"/>
  <c r="L14" i="200"/>
  <c r="H72" i="200"/>
  <c r="H71" i="200"/>
  <c r="H70" i="200"/>
  <c r="H69" i="200"/>
  <c r="H68" i="200"/>
  <c r="H61" i="200"/>
  <c r="H60" i="200"/>
  <c r="H59" i="200"/>
  <c r="H58" i="200"/>
  <c r="H57" i="200"/>
  <c r="H56" i="200"/>
  <c r="H55" i="200"/>
  <c r="H54" i="200"/>
  <c r="H53" i="200"/>
  <c r="H52" i="200"/>
  <c r="H51" i="200"/>
  <c r="H50" i="200"/>
  <c r="H49" i="200"/>
  <c r="H48" i="200"/>
  <c r="H47" i="200"/>
  <c r="H46" i="200"/>
  <c r="H45" i="200"/>
  <c r="H44" i="200"/>
  <c r="H43" i="200"/>
  <c r="H42" i="200"/>
  <c r="H41" i="200"/>
  <c r="H40" i="200"/>
  <c r="H39" i="200"/>
  <c r="H38" i="200"/>
  <c r="H37" i="200"/>
  <c r="H36" i="200"/>
  <c r="H35" i="200"/>
  <c r="H34" i="200"/>
  <c r="H33" i="200"/>
  <c r="H32" i="200"/>
  <c r="H31" i="200"/>
  <c r="H30" i="200"/>
  <c r="H29" i="200"/>
  <c r="H28" i="200"/>
  <c r="H27" i="200"/>
  <c r="H26" i="200"/>
  <c r="H25" i="200"/>
  <c r="H24" i="200"/>
  <c r="H23" i="200"/>
  <c r="H22" i="200"/>
  <c r="H21" i="200"/>
  <c r="H20" i="200"/>
  <c r="H19" i="200"/>
  <c r="H18" i="200"/>
  <c r="H17" i="200"/>
  <c r="H16" i="200"/>
  <c r="H15" i="200"/>
  <c r="H14" i="200"/>
  <c r="M72" i="199"/>
  <c r="L72" i="199"/>
  <c r="M71" i="199"/>
  <c r="L71" i="199"/>
  <c r="M70" i="199"/>
  <c r="L70" i="199"/>
  <c r="M69" i="199"/>
  <c r="L69" i="199"/>
  <c r="M68" i="199"/>
  <c r="L68" i="199"/>
  <c r="M67" i="199"/>
  <c r="L67" i="199"/>
  <c r="M66" i="199"/>
  <c r="L66" i="199"/>
  <c r="M65" i="199"/>
  <c r="L65" i="199"/>
  <c r="M64" i="199"/>
  <c r="L64" i="199"/>
  <c r="M63" i="199"/>
  <c r="L63" i="199"/>
  <c r="M62" i="199"/>
  <c r="L62" i="199"/>
  <c r="M61" i="199"/>
  <c r="L61" i="199"/>
  <c r="M60" i="199"/>
  <c r="L60" i="199"/>
  <c r="M59" i="199"/>
  <c r="L59" i="199"/>
  <c r="M58" i="199"/>
  <c r="L58" i="199"/>
  <c r="M57" i="199"/>
  <c r="L57" i="199"/>
  <c r="M56" i="199"/>
  <c r="L56" i="199"/>
  <c r="M55" i="199"/>
  <c r="L55" i="199"/>
  <c r="M54" i="199"/>
  <c r="L54" i="199"/>
  <c r="M53" i="199"/>
  <c r="L53" i="199"/>
  <c r="M52" i="199"/>
  <c r="L52" i="199"/>
  <c r="M51" i="199"/>
  <c r="L51" i="199"/>
  <c r="M50" i="199"/>
  <c r="L50" i="199"/>
  <c r="M49" i="199"/>
  <c r="L49" i="199"/>
  <c r="M48" i="199"/>
  <c r="L48" i="199"/>
  <c r="M47" i="199"/>
  <c r="L47" i="199"/>
  <c r="M46" i="199"/>
  <c r="L46" i="199"/>
  <c r="M45" i="199"/>
  <c r="L45" i="199"/>
  <c r="M44" i="199"/>
  <c r="L44" i="199"/>
  <c r="M43" i="199"/>
  <c r="L43" i="199"/>
  <c r="M42" i="199"/>
  <c r="L42" i="199"/>
  <c r="M41" i="199"/>
  <c r="L41" i="199"/>
  <c r="M40" i="199"/>
  <c r="L40" i="199"/>
  <c r="M39" i="199"/>
  <c r="L39" i="199"/>
  <c r="M37" i="199"/>
  <c r="L37" i="199"/>
  <c r="M35" i="199"/>
  <c r="L35" i="199"/>
  <c r="M34" i="199"/>
  <c r="L34" i="199"/>
  <c r="M33" i="199"/>
  <c r="L33" i="199"/>
  <c r="M32" i="199"/>
  <c r="L32" i="199"/>
  <c r="M31" i="199"/>
  <c r="L31" i="199"/>
  <c r="M29" i="199"/>
  <c r="L29" i="199"/>
  <c r="M28" i="199"/>
  <c r="L28" i="199"/>
  <c r="M27" i="199"/>
  <c r="L27" i="199"/>
  <c r="M25" i="199"/>
  <c r="L25" i="199"/>
  <c r="M23" i="199"/>
  <c r="L23" i="199"/>
  <c r="M22" i="199"/>
  <c r="L22" i="199"/>
  <c r="M21" i="199"/>
  <c r="L21" i="199"/>
  <c r="M20" i="199"/>
  <c r="L20" i="199"/>
  <c r="M19" i="199"/>
  <c r="L19" i="199"/>
  <c r="M17" i="199"/>
  <c r="L17" i="199"/>
  <c r="M16" i="199"/>
  <c r="L16" i="199"/>
  <c r="M15" i="199"/>
  <c r="L15" i="199"/>
  <c r="M14" i="199"/>
  <c r="L14" i="199"/>
  <c r="H72" i="199"/>
  <c r="H71" i="199"/>
  <c r="H70" i="199"/>
  <c r="H69" i="199"/>
  <c r="H68" i="199"/>
  <c r="H67" i="199"/>
  <c r="H66" i="199"/>
  <c r="H65" i="199"/>
  <c r="H64" i="199"/>
  <c r="H63" i="199"/>
  <c r="H62" i="199"/>
  <c r="H61" i="199"/>
  <c r="H60" i="199"/>
  <c r="H59" i="199"/>
  <c r="H58" i="199"/>
  <c r="H57" i="199"/>
  <c r="H56" i="199"/>
  <c r="H55" i="199"/>
  <c r="H54" i="199"/>
  <c r="H53" i="199"/>
  <c r="H52" i="199"/>
  <c r="H51" i="199"/>
  <c r="H50" i="199"/>
  <c r="H49" i="199"/>
  <c r="H48" i="199"/>
  <c r="H47" i="199"/>
  <c r="H46" i="199"/>
  <c r="H45" i="199"/>
  <c r="H44" i="199"/>
  <c r="H43" i="199"/>
  <c r="H42" i="199"/>
  <c r="H41" i="199"/>
  <c r="H40" i="199"/>
  <c r="H39" i="199"/>
  <c r="H38" i="199"/>
  <c r="H37" i="199"/>
  <c r="H36" i="199"/>
  <c r="H35" i="199"/>
  <c r="H34" i="199"/>
  <c r="H33" i="199"/>
  <c r="H32" i="199"/>
  <c r="H31" i="199"/>
  <c r="H30" i="199"/>
  <c r="H29" i="199"/>
  <c r="H28" i="199"/>
  <c r="H27" i="199"/>
  <c r="H26" i="199"/>
  <c r="H25" i="199"/>
  <c r="H24" i="199"/>
  <c r="H23" i="199"/>
  <c r="H22" i="199"/>
  <c r="H21" i="199"/>
  <c r="H20" i="199"/>
  <c r="H19" i="199"/>
  <c r="H18" i="199"/>
  <c r="H17" i="199"/>
  <c r="H16" i="199"/>
  <c r="H15" i="199"/>
  <c r="H14" i="199"/>
  <c r="M74" i="198"/>
  <c r="L74" i="198"/>
  <c r="M73" i="198"/>
  <c r="L73" i="198"/>
  <c r="M72" i="198"/>
  <c r="L72" i="198"/>
  <c r="M71" i="198"/>
  <c r="L71" i="198"/>
  <c r="M70" i="198"/>
  <c r="L70" i="198"/>
  <c r="M69" i="198"/>
  <c r="L69" i="198"/>
  <c r="M68" i="198"/>
  <c r="L68" i="198"/>
  <c r="M67" i="198"/>
  <c r="L67" i="198"/>
  <c r="M66" i="198"/>
  <c r="L66" i="198"/>
  <c r="M65" i="198"/>
  <c r="L65" i="198"/>
  <c r="M64" i="198"/>
  <c r="L64" i="198"/>
  <c r="M63" i="198"/>
  <c r="L63" i="198"/>
  <c r="M62" i="198"/>
  <c r="L62" i="198"/>
  <c r="M61" i="198"/>
  <c r="L61" i="198"/>
  <c r="M60" i="198"/>
  <c r="L60" i="198"/>
  <c r="M59" i="198"/>
  <c r="L59" i="198"/>
  <c r="M58" i="198"/>
  <c r="L58" i="198"/>
  <c r="M57" i="198"/>
  <c r="L57" i="198"/>
  <c r="M56" i="198"/>
  <c r="L56" i="198"/>
  <c r="M55" i="198"/>
  <c r="L55" i="198"/>
  <c r="M54" i="198"/>
  <c r="L54" i="198"/>
  <c r="M53" i="198"/>
  <c r="L53" i="198"/>
  <c r="M52" i="198"/>
  <c r="L52" i="198"/>
  <c r="M51" i="198"/>
  <c r="L51" i="198"/>
  <c r="M50" i="198"/>
  <c r="L50" i="198"/>
  <c r="M49" i="198"/>
  <c r="L49" i="198"/>
  <c r="M48" i="198"/>
  <c r="L48" i="198"/>
  <c r="M47" i="198"/>
  <c r="L47" i="198"/>
  <c r="M46" i="198"/>
  <c r="L46" i="198"/>
  <c r="M45" i="198"/>
  <c r="L45" i="198"/>
  <c r="M44" i="198"/>
  <c r="L44" i="198"/>
  <c r="M43" i="198"/>
  <c r="L43" i="198"/>
  <c r="M42" i="198"/>
  <c r="L42" i="198"/>
  <c r="M41" i="198"/>
  <c r="L41" i="198"/>
  <c r="M40" i="198"/>
  <c r="L40" i="198"/>
  <c r="M39" i="198"/>
  <c r="L39" i="198"/>
  <c r="M38" i="198"/>
  <c r="L38" i="198"/>
  <c r="M37" i="198"/>
  <c r="L37" i="198"/>
  <c r="M36" i="198"/>
  <c r="L36" i="198"/>
  <c r="M35" i="198"/>
  <c r="L35" i="198"/>
  <c r="M34" i="198"/>
  <c r="L34" i="198"/>
  <c r="M33" i="198"/>
  <c r="L33" i="198"/>
  <c r="M31" i="198"/>
  <c r="L31" i="198"/>
  <c r="M30" i="198"/>
  <c r="L30" i="198"/>
  <c r="M29" i="198"/>
  <c r="L29" i="198"/>
  <c r="M28" i="198"/>
  <c r="L28" i="198"/>
  <c r="M27" i="198"/>
  <c r="L27" i="198"/>
  <c r="M26" i="198"/>
  <c r="L26" i="198"/>
  <c r="M25" i="198"/>
  <c r="L25" i="198"/>
  <c r="M24" i="198"/>
  <c r="L24" i="198"/>
  <c r="M23" i="198"/>
  <c r="L23" i="198"/>
  <c r="M22" i="198"/>
  <c r="L22" i="198"/>
  <c r="M21" i="198"/>
  <c r="L21" i="198"/>
  <c r="M19" i="198"/>
  <c r="L19" i="198"/>
  <c r="M17" i="198"/>
  <c r="L17" i="198"/>
  <c r="M16" i="198"/>
  <c r="L16" i="198"/>
  <c r="M15" i="198"/>
  <c r="L15" i="198"/>
  <c r="M14" i="198"/>
  <c r="L14" i="198"/>
  <c r="H74" i="198"/>
  <c r="H73" i="198"/>
  <c r="H72" i="198"/>
  <c r="H71" i="198"/>
  <c r="H70" i="198"/>
  <c r="H69" i="198"/>
  <c r="H68" i="198"/>
  <c r="H67" i="198"/>
  <c r="H66" i="198"/>
  <c r="H65" i="198"/>
  <c r="H64" i="198"/>
  <c r="H63" i="198"/>
  <c r="H62" i="198"/>
  <c r="H61" i="198"/>
  <c r="H60" i="198"/>
  <c r="H59" i="198"/>
  <c r="H58" i="198"/>
  <c r="H57" i="198"/>
  <c r="H56" i="198"/>
  <c r="H55" i="198"/>
  <c r="H54" i="198"/>
  <c r="H53" i="198"/>
  <c r="H52" i="198"/>
  <c r="H51" i="198"/>
  <c r="H50" i="198"/>
  <c r="H49" i="198"/>
  <c r="H48" i="198"/>
  <c r="H47" i="198"/>
  <c r="H46" i="198"/>
  <c r="H45" i="198"/>
  <c r="H44" i="198"/>
  <c r="H43" i="198"/>
  <c r="H42" i="198"/>
  <c r="H41" i="198"/>
  <c r="H40" i="198"/>
  <c r="H39" i="198"/>
  <c r="H38" i="198"/>
  <c r="H37" i="198"/>
  <c r="H36" i="198"/>
  <c r="H35" i="198"/>
  <c r="H34" i="198"/>
  <c r="H33" i="198"/>
  <c r="H32" i="198"/>
  <c r="H31" i="198"/>
  <c r="H30" i="198"/>
  <c r="H29" i="198"/>
  <c r="H28" i="198"/>
  <c r="H27" i="198"/>
  <c r="H25" i="198"/>
  <c r="H24" i="198"/>
  <c r="H23" i="198"/>
  <c r="H22" i="198"/>
  <c r="H21" i="198"/>
  <c r="H20" i="198"/>
  <c r="H19" i="198"/>
  <c r="H18" i="198"/>
  <c r="H17" i="198"/>
  <c r="H16" i="198"/>
  <c r="H15" i="198"/>
  <c r="H14" i="198"/>
  <c r="M77" i="192"/>
  <c r="M76" i="192"/>
  <c r="L76" i="192"/>
  <c r="M75" i="192"/>
  <c r="L75" i="192"/>
  <c r="M74" i="192"/>
  <c r="L74" i="192"/>
  <c r="M73" i="192"/>
  <c r="L73" i="192"/>
  <c r="M72" i="192"/>
  <c r="L72" i="192"/>
  <c r="M71" i="192"/>
  <c r="L71" i="192"/>
  <c r="M70" i="192"/>
  <c r="L70" i="192"/>
  <c r="M69" i="192"/>
  <c r="L69" i="192"/>
  <c r="M68" i="192"/>
  <c r="L68" i="192"/>
  <c r="M67" i="192"/>
  <c r="L67" i="192"/>
  <c r="M66" i="192"/>
  <c r="L66" i="192"/>
  <c r="M65" i="192"/>
  <c r="L65" i="192"/>
  <c r="M64" i="192"/>
  <c r="L64" i="192"/>
  <c r="M63" i="192"/>
  <c r="L63" i="192"/>
  <c r="M62" i="192"/>
  <c r="L62" i="192"/>
  <c r="M61" i="192"/>
  <c r="L61" i="192"/>
  <c r="M60" i="192"/>
  <c r="L60" i="192"/>
  <c r="M59" i="192"/>
  <c r="L59" i="192"/>
  <c r="M58" i="192"/>
  <c r="L58" i="192"/>
  <c r="M57" i="192"/>
  <c r="L57" i="192"/>
  <c r="M56" i="192"/>
  <c r="L56" i="192"/>
  <c r="M55" i="192"/>
  <c r="L55" i="192"/>
  <c r="M54" i="192"/>
  <c r="L54" i="192"/>
  <c r="M53" i="192"/>
  <c r="L53" i="192"/>
  <c r="M52" i="192"/>
  <c r="L52" i="192"/>
  <c r="M51" i="192"/>
  <c r="L51" i="192"/>
  <c r="M50" i="192"/>
  <c r="L50" i="192"/>
  <c r="M49" i="192"/>
  <c r="L49" i="192"/>
  <c r="M48" i="192"/>
  <c r="L48" i="192"/>
  <c r="M47" i="192"/>
  <c r="L47" i="192"/>
  <c r="M46" i="192"/>
  <c r="L46" i="192"/>
  <c r="M45" i="192"/>
  <c r="L45" i="192"/>
  <c r="M44" i="192"/>
  <c r="L44" i="192"/>
  <c r="M43" i="192"/>
  <c r="L43" i="192"/>
  <c r="M42" i="192"/>
  <c r="L42" i="192"/>
  <c r="M41" i="192"/>
  <c r="L41" i="192"/>
  <c r="M40" i="192"/>
  <c r="L40" i="192"/>
  <c r="M39" i="192"/>
  <c r="L39" i="192"/>
  <c r="M38" i="192"/>
  <c r="L38" i="192"/>
  <c r="M37" i="192"/>
  <c r="L37" i="192"/>
  <c r="M36" i="192"/>
  <c r="L36" i="192"/>
  <c r="M35" i="192"/>
  <c r="L35" i="192"/>
  <c r="M34" i="192"/>
  <c r="L34" i="192"/>
  <c r="M33" i="192"/>
  <c r="L33" i="192"/>
  <c r="M32" i="192"/>
  <c r="L32" i="192"/>
  <c r="M31" i="192"/>
  <c r="L31" i="192"/>
  <c r="M30" i="192"/>
  <c r="L30" i="192"/>
  <c r="M29" i="192"/>
  <c r="L29" i="192"/>
  <c r="M28" i="192"/>
  <c r="L28" i="192"/>
  <c r="M27" i="192"/>
  <c r="L27" i="192"/>
  <c r="M26" i="192"/>
  <c r="L26" i="192"/>
  <c r="M25" i="192"/>
  <c r="L25" i="192"/>
  <c r="M24" i="192"/>
  <c r="L24" i="192"/>
  <c r="M23" i="192"/>
  <c r="L23" i="192"/>
  <c r="M22" i="192"/>
  <c r="L22" i="192"/>
  <c r="M21" i="192"/>
  <c r="L21" i="192"/>
  <c r="M20" i="192"/>
  <c r="L20" i="192"/>
  <c r="M19" i="192"/>
  <c r="L19" i="192"/>
  <c r="M18" i="192"/>
  <c r="L18" i="192"/>
  <c r="M17" i="192"/>
  <c r="L17" i="192"/>
  <c r="M16" i="192"/>
  <c r="L16" i="192"/>
  <c r="M15" i="192"/>
  <c r="L15" i="192"/>
  <c r="M14" i="192"/>
  <c r="L14" i="192"/>
  <c r="M13" i="192"/>
  <c r="L13" i="192"/>
  <c r="M12" i="192"/>
  <c r="L12" i="192"/>
  <c r="H76" i="192"/>
  <c r="H75" i="192"/>
  <c r="H74" i="192"/>
  <c r="H73" i="192"/>
  <c r="H72" i="192"/>
  <c r="H71" i="192"/>
  <c r="H70" i="192"/>
  <c r="H69" i="192"/>
  <c r="H68" i="192"/>
  <c r="H67" i="192"/>
  <c r="H66" i="192"/>
  <c r="H65" i="192"/>
  <c r="H64" i="192"/>
  <c r="H63" i="192"/>
  <c r="H62" i="192"/>
  <c r="H61" i="192"/>
  <c r="H60" i="192"/>
  <c r="H59" i="192"/>
  <c r="H58" i="192"/>
  <c r="H57" i="192"/>
  <c r="H56" i="192"/>
  <c r="H55" i="192"/>
  <c r="H54" i="192"/>
  <c r="H53" i="192"/>
  <c r="H52" i="192"/>
  <c r="H51" i="192"/>
  <c r="H50" i="192"/>
  <c r="H49" i="192"/>
  <c r="H48" i="192"/>
  <c r="H47" i="192"/>
  <c r="H46" i="192"/>
  <c r="H45" i="192"/>
  <c r="H44" i="192"/>
  <c r="H43" i="192"/>
  <c r="H42" i="192"/>
  <c r="H41" i="192"/>
  <c r="H40" i="192"/>
  <c r="H39" i="192"/>
  <c r="H38" i="192"/>
  <c r="H37" i="192"/>
  <c r="H36" i="192"/>
  <c r="H35" i="192"/>
  <c r="H34" i="192"/>
  <c r="H33" i="192"/>
  <c r="H32" i="192"/>
  <c r="H31" i="192"/>
  <c r="H30" i="192"/>
  <c r="H29" i="192"/>
  <c r="H28" i="192"/>
  <c r="H27" i="192"/>
  <c r="H26" i="192"/>
  <c r="H25" i="192"/>
  <c r="H24" i="192"/>
  <c r="H23" i="192"/>
  <c r="H21" i="192"/>
  <c r="H19" i="192"/>
  <c r="H18" i="192"/>
  <c r="H17" i="192"/>
  <c r="H16" i="192"/>
  <c r="H15" i="192"/>
  <c r="H14" i="192"/>
  <c r="H13" i="192"/>
  <c r="H12" i="192"/>
  <c r="F22" i="192"/>
  <c r="M68" i="247"/>
  <c r="L68" i="247"/>
  <c r="M59" i="247"/>
  <c r="L59" i="247"/>
  <c r="M58" i="247"/>
  <c r="L58" i="247"/>
  <c r="M57" i="247"/>
  <c r="L57" i="247"/>
  <c r="M56" i="247"/>
  <c r="L56" i="247"/>
  <c r="M55" i="247"/>
  <c r="L55" i="247"/>
  <c r="M54" i="247"/>
  <c r="L54" i="247"/>
  <c r="M53" i="247"/>
  <c r="L53" i="247"/>
  <c r="M52" i="247"/>
  <c r="L52" i="247"/>
  <c r="M51" i="247"/>
  <c r="L51" i="247"/>
  <c r="M50" i="247"/>
  <c r="L50" i="247"/>
  <c r="M49" i="247"/>
  <c r="L49" i="247"/>
  <c r="M48" i="247"/>
  <c r="L48" i="247"/>
  <c r="M47" i="247"/>
  <c r="L47" i="247"/>
  <c r="M45" i="247"/>
  <c r="L45" i="247"/>
  <c r="M43" i="247"/>
  <c r="L43" i="247"/>
  <c r="M41" i="247"/>
  <c r="L41" i="247"/>
  <c r="M40" i="247"/>
  <c r="L40" i="247"/>
  <c r="M39" i="247"/>
  <c r="L39" i="247"/>
  <c r="M38" i="247"/>
  <c r="L38" i="247"/>
  <c r="M37" i="247"/>
  <c r="L37" i="247"/>
  <c r="M36" i="247"/>
  <c r="L36" i="247"/>
  <c r="M35" i="247"/>
  <c r="L35" i="247"/>
  <c r="M34" i="247"/>
  <c r="L34" i="247"/>
  <c r="M33" i="247"/>
  <c r="L33" i="247"/>
  <c r="M32" i="247"/>
  <c r="L32" i="247"/>
  <c r="M31" i="247"/>
  <c r="L31" i="247"/>
  <c r="L30" i="247"/>
  <c r="M29" i="247"/>
  <c r="L29" i="247"/>
  <c r="L28" i="247"/>
  <c r="M27" i="247"/>
  <c r="L27" i="247"/>
  <c r="L26" i="247"/>
  <c r="M25" i="247"/>
  <c r="L25" i="247"/>
  <c r="M23" i="247"/>
  <c r="L23" i="247"/>
  <c r="M22" i="247"/>
  <c r="L22" i="247"/>
  <c r="M21" i="247"/>
  <c r="L21" i="247"/>
  <c r="M19" i="247"/>
  <c r="L19" i="247"/>
  <c r="M17" i="247"/>
  <c r="L17" i="247"/>
  <c r="M16" i="247"/>
  <c r="L16" i="247"/>
  <c r="M15" i="247"/>
  <c r="L15" i="247"/>
  <c r="M14" i="247"/>
  <c r="L14" i="247"/>
  <c r="M13" i="247"/>
  <c r="L13" i="247"/>
  <c r="M12" i="247"/>
  <c r="L12" i="247"/>
  <c r="H68" i="247"/>
  <c r="H59" i="247"/>
  <c r="H58" i="247"/>
  <c r="H57" i="247"/>
  <c r="H56" i="247"/>
  <c r="H55" i="247"/>
  <c r="H54" i="247"/>
  <c r="H53" i="247"/>
  <c r="H52" i="247"/>
  <c r="H51" i="247"/>
  <c r="H50" i="247"/>
  <c r="H49" i="247"/>
  <c r="H48" i="247"/>
  <c r="H47" i="247"/>
  <c r="H45" i="247"/>
  <c r="H43" i="247"/>
  <c r="H41" i="247"/>
  <c r="H40" i="247"/>
  <c r="H39" i="247"/>
  <c r="H38" i="247"/>
  <c r="H37" i="247"/>
  <c r="H36" i="247"/>
  <c r="H35" i="247"/>
  <c r="H34" i="247"/>
  <c r="H33" i="247"/>
  <c r="H32" i="247"/>
  <c r="H31" i="247"/>
  <c r="H30" i="247"/>
  <c r="H29" i="247"/>
  <c r="H28" i="247"/>
  <c r="H27" i="247"/>
  <c r="H26" i="247"/>
  <c r="H25" i="247"/>
  <c r="H23" i="247"/>
  <c r="H22" i="247"/>
  <c r="H21" i="247"/>
  <c r="H19" i="247"/>
  <c r="H17" i="247"/>
  <c r="H16" i="247"/>
  <c r="H15" i="247"/>
  <c r="H14" i="247"/>
  <c r="H13" i="247"/>
  <c r="H12" i="247"/>
  <c r="M72" i="250"/>
  <c r="M71" i="250"/>
  <c r="L71" i="250"/>
  <c r="M70" i="250"/>
  <c r="L70" i="250"/>
  <c r="M64" i="250"/>
  <c r="L64" i="250"/>
  <c r="M63" i="250"/>
  <c r="L63" i="250"/>
  <c r="M62" i="250"/>
  <c r="L62" i="250"/>
  <c r="M61" i="250"/>
  <c r="L61" i="250"/>
  <c r="M60" i="250"/>
  <c r="L60" i="250"/>
  <c r="M59" i="250"/>
  <c r="L59" i="250"/>
  <c r="M58" i="250"/>
  <c r="L58" i="250"/>
  <c r="M57" i="250"/>
  <c r="L57" i="250"/>
  <c r="M56" i="250"/>
  <c r="L56" i="250"/>
  <c r="M55" i="250"/>
  <c r="L55" i="250"/>
  <c r="M54" i="250"/>
  <c r="L54" i="250"/>
  <c r="M53" i="250"/>
  <c r="L53" i="250"/>
  <c r="M52" i="250"/>
  <c r="L52" i="250"/>
  <c r="M51" i="250"/>
  <c r="L51" i="250"/>
  <c r="M50" i="250"/>
  <c r="L50" i="250"/>
  <c r="M49" i="250"/>
  <c r="L49" i="250"/>
  <c r="M48" i="250"/>
  <c r="L48" i="250"/>
  <c r="M47" i="250"/>
  <c r="L47" i="250"/>
  <c r="M46" i="250"/>
  <c r="L46" i="250"/>
  <c r="M45" i="250"/>
  <c r="L45" i="250"/>
  <c r="M44" i="250"/>
  <c r="L44" i="250"/>
  <c r="M43" i="250"/>
  <c r="L43" i="250"/>
  <c r="M42" i="250"/>
  <c r="L42" i="250"/>
  <c r="M41" i="250"/>
  <c r="L41" i="250"/>
  <c r="M40" i="250"/>
  <c r="L40" i="250"/>
  <c r="M39" i="250"/>
  <c r="L39" i="250"/>
  <c r="M38" i="250"/>
  <c r="L38" i="250"/>
  <c r="M37" i="250"/>
  <c r="L37" i="250"/>
  <c r="M35" i="250"/>
  <c r="L35" i="250"/>
  <c r="M34" i="250"/>
  <c r="L34" i="250"/>
  <c r="M33" i="250"/>
  <c r="L33" i="250"/>
  <c r="M32" i="250"/>
  <c r="L32" i="250"/>
  <c r="M31" i="250"/>
  <c r="L31" i="250"/>
  <c r="M30" i="250"/>
  <c r="L30" i="250"/>
  <c r="M29" i="250"/>
  <c r="L29" i="250"/>
  <c r="M28" i="250"/>
  <c r="L28" i="250"/>
  <c r="M27" i="250"/>
  <c r="L27" i="250"/>
  <c r="M26" i="250"/>
  <c r="L26" i="250"/>
  <c r="M23" i="250"/>
  <c r="L23" i="250"/>
  <c r="M22" i="250"/>
  <c r="L22" i="250"/>
  <c r="M21" i="250"/>
  <c r="L21" i="250"/>
  <c r="M20" i="250"/>
  <c r="L20" i="250"/>
  <c r="M19" i="250"/>
  <c r="L19" i="250"/>
  <c r="M18" i="250"/>
  <c r="L18" i="250"/>
  <c r="M17" i="250"/>
  <c r="L17" i="250"/>
  <c r="M16" i="250"/>
  <c r="L16" i="250"/>
  <c r="M15" i="250"/>
  <c r="L15" i="250"/>
  <c r="M14" i="250"/>
  <c r="L14" i="250"/>
  <c r="M13" i="250"/>
  <c r="L13" i="250"/>
  <c r="M12" i="250"/>
  <c r="L12" i="250"/>
  <c r="H71" i="250"/>
  <c r="H70" i="250"/>
  <c r="H64" i="250"/>
  <c r="H63" i="250"/>
  <c r="H62" i="250"/>
  <c r="H61" i="250"/>
  <c r="H60" i="250"/>
  <c r="H59" i="250"/>
  <c r="H57" i="250"/>
  <c r="H56" i="250"/>
  <c r="H55" i="250"/>
  <c r="H54" i="250"/>
  <c r="H53" i="250"/>
  <c r="H51" i="250"/>
  <c r="H50" i="250"/>
  <c r="H49" i="250"/>
  <c r="H48" i="250"/>
  <c r="H47" i="250"/>
  <c r="H46" i="250"/>
  <c r="H45" i="250"/>
  <c r="H44" i="250"/>
  <c r="H43" i="250"/>
  <c r="H42" i="250"/>
  <c r="H41" i="250"/>
  <c r="H39" i="250"/>
  <c r="H37" i="250"/>
  <c r="H29" i="250"/>
  <c r="H23" i="250"/>
  <c r="H22" i="250"/>
  <c r="H21" i="250"/>
  <c r="H20" i="250"/>
  <c r="H19" i="250"/>
  <c r="H18" i="250"/>
  <c r="H17" i="250"/>
  <c r="H15" i="250"/>
  <c r="H14" i="250"/>
  <c r="H13" i="250"/>
  <c r="H12" i="250"/>
  <c r="I35" i="169"/>
  <c r="H35" i="169"/>
  <c r="I33" i="169"/>
  <c r="H33" i="169"/>
  <c r="I31" i="169"/>
  <c r="H31" i="169"/>
  <c r="I21" i="169"/>
  <c r="H21" i="169"/>
  <c r="I19" i="169"/>
  <c r="H19" i="169"/>
  <c r="I17" i="169"/>
  <c r="H17" i="169"/>
  <c r="I16" i="169"/>
  <c r="H16" i="169"/>
  <c r="I15" i="169"/>
  <c r="H15" i="169"/>
  <c r="I14" i="169"/>
  <c r="H14" i="169"/>
  <c r="I13" i="169"/>
  <c r="H13" i="169"/>
  <c r="I12" i="169"/>
  <c r="H12" i="169"/>
  <c r="M35" i="168"/>
  <c r="L35" i="168"/>
  <c r="M34" i="168"/>
  <c r="L34" i="168"/>
  <c r="M33" i="168"/>
  <c r="L33" i="168"/>
  <c r="M27" i="168"/>
  <c r="L27" i="168"/>
  <c r="M25" i="168"/>
  <c r="L25" i="168"/>
  <c r="M23" i="168"/>
  <c r="L23" i="168"/>
  <c r="M21" i="168"/>
  <c r="L21" i="168"/>
  <c r="H33" i="168"/>
  <c r="H27" i="168"/>
  <c r="H25" i="168"/>
  <c r="H23" i="168"/>
  <c r="H21" i="168"/>
  <c r="M72" i="167"/>
  <c r="M40" i="167"/>
  <c r="L40" i="167"/>
  <c r="M72" i="166"/>
  <c r="L72" i="166"/>
  <c r="M71" i="166"/>
  <c r="L71" i="166"/>
  <c r="M70" i="166"/>
  <c r="L70" i="166"/>
  <c r="M69" i="166"/>
  <c r="L69" i="166"/>
  <c r="M68" i="166"/>
  <c r="L68" i="166"/>
  <c r="M67" i="166"/>
  <c r="L67" i="166"/>
  <c r="M66" i="166"/>
  <c r="L66" i="166"/>
  <c r="M65" i="166"/>
  <c r="L65" i="166"/>
  <c r="M64" i="166"/>
  <c r="L64" i="166"/>
  <c r="M63" i="166"/>
  <c r="L63" i="166"/>
  <c r="M62" i="166"/>
  <c r="L62" i="166"/>
  <c r="M61" i="166"/>
  <c r="L61" i="166"/>
  <c r="M60" i="166"/>
  <c r="L60" i="166"/>
  <c r="M59" i="166"/>
  <c r="L59" i="166"/>
  <c r="M58" i="166"/>
  <c r="L58" i="166"/>
  <c r="M57" i="166"/>
  <c r="L57" i="166"/>
  <c r="M56" i="166"/>
  <c r="L56" i="166"/>
  <c r="M55" i="166"/>
  <c r="L55" i="166"/>
  <c r="M54" i="166"/>
  <c r="L54" i="166"/>
  <c r="M53" i="166"/>
  <c r="L53" i="166"/>
  <c r="M52" i="166"/>
  <c r="L52" i="166"/>
  <c r="M51" i="166"/>
  <c r="L51" i="166"/>
  <c r="M50" i="166"/>
  <c r="L50" i="166"/>
  <c r="M49" i="166"/>
  <c r="L49" i="166"/>
  <c r="M48" i="166"/>
  <c r="L48" i="166"/>
  <c r="M47" i="166"/>
  <c r="L47" i="166"/>
  <c r="M46" i="166"/>
  <c r="L46" i="166"/>
  <c r="M45" i="166"/>
  <c r="L45" i="166"/>
  <c r="M39" i="166"/>
  <c r="L39" i="166"/>
  <c r="M38" i="166"/>
  <c r="L38" i="166"/>
  <c r="M37" i="166"/>
  <c r="L37" i="166"/>
  <c r="M36" i="166"/>
  <c r="L36" i="166"/>
  <c r="M35" i="166"/>
  <c r="L35" i="166"/>
  <c r="M23" i="166"/>
  <c r="L23" i="166"/>
  <c r="M22" i="166"/>
  <c r="L22" i="166"/>
  <c r="M21" i="166"/>
  <c r="L21" i="166"/>
  <c r="M20" i="166"/>
  <c r="L20" i="166"/>
  <c r="M19" i="166"/>
  <c r="L19" i="166"/>
  <c r="M18" i="166"/>
  <c r="L18" i="166"/>
  <c r="M17" i="166"/>
  <c r="L17" i="166"/>
  <c r="M16" i="166"/>
  <c r="L16" i="166"/>
  <c r="M15" i="166"/>
  <c r="L15" i="166"/>
  <c r="M14" i="166"/>
  <c r="L14" i="166"/>
  <c r="M13" i="166"/>
  <c r="L13" i="166"/>
  <c r="M12" i="166"/>
  <c r="L12" i="166"/>
  <c r="H72" i="166"/>
  <c r="H71" i="166"/>
  <c r="H70" i="166"/>
  <c r="H69" i="166"/>
  <c r="H68" i="166"/>
  <c r="H67" i="166"/>
  <c r="H66" i="166"/>
  <c r="H65" i="166"/>
  <c r="H64" i="166"/>
  <c r="H63" i="166"/>
  <c r="H62" i="166"/>
  <c r="H61" i="166"/>
  <c r="H60" i="166"/>
  <c r="H59" i="166"/>
  <c r="H58" i="166"/>
  <c r="H57" i="166"/>
  <c r="H56" i="166"/>
  <c r="H55" i="166"/>
  <c r="H54" i="166"/>
  <c r="H53" i="166"/>
  <c r="H52" i="166"/>
  <c r="H51" i="166"/>
  <c r="H50" i="166"/>
  <c r="H49" i="166"/>
  <c r="H48" i="166"/>
  <c r="H47" i="166"/>
  <c r="H46" i="166"/>
  <c r="H45" i="166"/>
  <c r="H44" i="166"/>
  <c r="M44" i="166" s="1"/>
  <c r="H39" i="166"/>
  <c r="H37" i="166"/>
  <c r="H36" i="166"/>
  <c r="H35" i="166"/>
  <c r="H23" i="166"/>
  <c r="H21" i="166"/>
  <c r="H20" i="166"/>
  <c r="H19" i="166"/>
  <c r="H18" i="166"/>
  <c r="H17" i="166"/>
  <c r="H15" i="166"/>
  <c r="H14" i="166"/>
  <c r="H13" i="166"/>
  <c r="H12" i="166"/>
  <c r="M34" i="211"/>
  <c r="L34" i="211"/>
  <c r="M33" i="211"/>
  <c r="L33" i="211"/>
  <c r="M32" i="211"/>
  <c r="L32" i="211"/>
  <c r="M31" i="211"/>
  <c r="L31" i="211"/>
  <c r="M30" i="211"/>
  <c r="L30" i="211"/>
  <c r="M29" i="211"/>
  <c r="L29" i="211"/>
  <c r="M28" i="211"/>
  <c r="L28" i="211"/>
  <c r="M27" i="211"/>
  <c r="L27" i="211"/>
  <c r="M26" i="211"/>
  <c r="L26" i="211"/>
  <c r="M25" i="211"/>
  <c r="L25" i="211"/>
  <c r="M24" i="211"/>
  <c r="L24" i="211"/>
  <c r="M23" i="211"/>
  <c r="L23" i="211"/>
  <c r="M22" i="211"/>
  <c r="L22" i="211"/>
  <c r="M21" i="211"/>
  <c r="L21" i="211"/>
  <c r="M20" i="211"/>
  <c r="L20" i="211"/>
  <c r="M19" i="211"/>
  <c r="L19" i="211"/>
  <c r="M18" i="211"/>
  <c r="L18" i="211"/>
  <c r="M17" i="211"/>
  <c r="L17" i="211"/>
  <c r="M15" i="211"/>
  <c r="L15" i="211"/>
  <c r="M14" i="211"/>
  <c r="L14" i="211"/>
  <c r="M13" i="211"/>
  <c r="L13" i="211"/>
  <c r="M12" i="211"/>
  <c r="L12" i="211"/>
  <c r="H53" i="211"/>
  <c r="H52" i="211"/>
  <c r="H51" i="211"/>
  <c r="H50" i="211"/>
  <c r="H49" i="211"/>
  <c r="H47" i="211"/>
  <c r="H46" i="211"/>
  <c r="H45" i="211"/>
  <c r="H44" i="211"/>
  <c r="H41" i="211"/>
  <c r="H40" i="211"/>
  <c r="H34" i="211"/>
  <c r="H33" i="211"/>
  <c r="H32" i="211"/>
  <c r="H31" i="211"/>
  <c r="H30" i="211"/>
  <c r="H29" i="211"/>
  <c r="H27" i="211"/>
  <c r="H26" i="211"/>
  <c r="H25" i="211"/>
  <c r="H24" i="211"/>
  <c r="H23" i="211"/>
  <c r="H22" i="211"/>
  <c r="H21" i="211"/>
  <c r="H20" i="211"/>
  <c r="H19" i="211"/>
  <c r="H18" i="211"/>
  <c r="H17" i="211"/>
  <c r="H16" i="211"/>
  <c r="H15" i="211"/>
  <c r="H14" i="211"/>
  <c r="H13" i="211"/>
  <c r="H12" i="211"/>
  <c r="M133" i="162"/>
  <c r="L133" i="162"/>
  <c r="M132" i="162"/>
  <c r="L132" i="162"/>
  <c r="M131" i="162"/>
  <c r="L131" i="162"/>
  <c r="M130" i="162"/>
  <c r="L130" i="162"/>
  <c r="M129" i="162"/>
  <c r="L129" i="162"/>
  <c r="H133" i="162"/>
  <c r="H132" i="162"/>
  <c r="H131" i="162"/>
  <c r="H130" i="162"/>
  <c r="H129" i="162"/>
  <c r="M70" i="162"/>
  <c r="L70" i="162"/>
  <c r="M69" i="162"/>
  <c r="L69" i="162"/>
  <c r="M68" i="162"/>
  <c r="L68" i="162"/>
  <c r="M67" i="162"/>
  <c r="L67" i="162"/>
  <c r="M66" i="162"/>
  <c r="L66" i="162"/>
  <c r="M65" i="162"/>
  <c r="L65" i="162"/>
  <c r="M64" i="162"/>
  <c r="L64" i="162"/>
  <c r="M63" i="162"/>
  <c r="L63" i="162"/>
  <c r="M62" i="162"/>
  <c r="L62" i="162"/>
  <c r="M61" i="162"/>
  <c r="L61" i="162"/>
  <c r="M60" i="162"/>
  <c r="L60" i="162"/>
  <c r="M59" i="162"/>
  <c r="L59" i="162"/>
  <c r="M58" i="162"/>
  <c r="L58" i="162"/>
  <c r="M57" i="162"/>
  <c r="L57" i="162"/>
  <c r="M56" i="162"/>
  <c r="L56" i="162"/>
  <c r="M55" i="162"/>
  <c r="L55" i="162"/>
  <c r="M54" i="162"/>
  <c r="L54" i="162"/>
  <c r="M53" i="162"/>
  <c r="L53" i="162"/>
  <c r="M52" i="162"/>
  <c r="L52" i="162"/>
  <c r="M51" i="162"/>
  <c r="L51" i="162"/>
  <c r="M50" i="162"/>
  <c r="L50" i="162"/>
  <c r="M49" i="162"/>
  <c r="L49" i="162"/>
  <c r="M48" i="162"/>
  <c r="L48" i="162"/>
  <c r="M47" i="162"/>
  <c r="L47" i="162"/>
  <c r="M46" i="162"/>
  <c r="L46" i="162"/>
  <c r="M45" i="162"/>
  <c r="L45" i="162"/>
  <c r="M44" i="162"/>
  <c r="L44" i="162"/>
  <c r="M43" i="162"/>
  <c r="L43" i="162"/>
  <c r="M42" i="162"/>
  <c r="L42" i="162"/>
  <c r="M41" i="162"/>
  <c r="L41" i="162"/>
  <c r="M40" i="162"/>
  <c r="L40" i="162"/>
  <c r="M39" i="162"/>
  <c r="L39" i="162"/>
  <c r="M38" i="162"/>
  <c r="L38" i="162"/>
  <c r="M37" i="162"/>
  <c r="L37" i="162"/>
  <c r="M36" i="162"/>
  <c r="L36" i="162"/>
  <c r="M35" i="162"/>
  <c r="L35" i="162"/>
  <c r="M34" i="162"/>
  <c r="L34" i="162"/>
  <c r="M33" i="162"/>
  <c r="L33" i="162"/>
  <c r="M32" i="162"/>
  <c r="L32" i="162"/>
  <c r="M31" i="162"/>
  <c r="L31" i="162"/>
  <c r="M30" i="162"/>
  <c r="L30" i="162"/>
  <c r="M29" i="162"/>
  <c r="L29" i="162"/>
  <c r="M28" i="162"/>
  <c r="L28" i="162"/>
  <c r="M27" i="162"/>
  <c r="L27" i="162"/>
  <c r="M26" i="162"/>
  <c r="L26" i="162"/>
  <c r="M25" i="162"/>
  <c r="L25" i="162"/>
  <c r="M24" i="162"/>
  <c r="L24" i="162"/>
  <c r="M23" i="162"/>
  <c r="L23" i="162"/>
  <c r="M22" i="162"/>
  <c r="L22" i="162"/>
  <c r="M21" i="162"/>
  <c r="L21" i="162"/>
  <c r="M20" i="162"/>
  <c r="L20" i="162"/>
  <c r="M19" i="162"/>
  <c r="L19" i="162"/>
  <c r="M18" i="162"/>
  <c r="L18" i="162"/>
  <c r="M17" i="162"/>
  <c r="L17" i="162"/>
  <c r="M15" i="162"/>
  <c r="L15" i="162"/>
  <c r="M14" i="162"/>
  <c r="L14" i="162"/>
  <c r="M13" i="162"/>
  <c r="L13" i="162"/>
  <c r="M12" i="162"/>
  <c r="L12" i="162"/>
  <c r="H70" i="162"/>
  <c r="H69" i="162"/>
  <c r="H68" i="162"/>
  <c r="H67" i="162"/>
  <c r="H66" i="162"/>
  <c r="H65" i="162"/>
  <c r="H64" i="162"/>
  <c r="H63" i="162"/>
  <c r="H62" i="162"/>
  <c r="H61" i="162"/>
  <c r="H60" i="162"/>
  <c r="H59" i="162"/>
  <c r="H58" i="162"/>
  <c r="H57" i="162"/>
  <c r="H56" i="162"/>
  <c r="H55" i="162"/>
  <c r="H54" i="162"/>
  <c r="H53" i="162"/>
  <c r="H52" i="162"/>
  <c r="H51" i="162"/>
  <c r="H50" i="162"/>
  <c r="H49" i="162"/>
  <c r="H48" i="162"/>
  <c r="H47" i="162"/>
  <c r="H46" i="162"/>
  <c r="H45" i="162"/>
  <c r="H44" i="162"/>
  <c r="H43" i="162"/>
  <c r="H42" i="162"/>
  <c r="H41" i="162"/>
  <c r="H40" i="162"/>
  <c r="H39" i="162"/>
  <c r="H38" i="162"/>
  <c r="H37" i="162"/>
  <c r="H36" i="162"/>
  <c r="H35" i="162"/>
  <c r="H34" i="162"/>
  <c r="H33" i="162"/>
  <c r="H32" i="162"/>
  <c r="H31" i="162"/>
  <c r="H30" i="162"/>
  <c r="H29" i="162"/>
  <c r="H28" i="162"/>
  <c r="H27" i="162"/>
  <c r="H26" i="162"/>
  <c r="H25" i="162"/>
  <c r="H24" i="162"/>
  <c r="H23" i="162"/>
  <c r="H22" i="162"/>
  <c r="H21" i="162"/>
  <c r="H20" i="162"/>
  <c r="H19" i="162"/>
  <c r="H18" i="162"/>
  <c r="H17" i="162"/>
  <c r="H16" i="162"/>
  <c r="L16" i="162" s="1"/>
  <c r="M16" i="162" s="1"/>
  <c r="H15" i="162"/>
  <c r="H14" i="162"/>
  <c r="H13" i="162"/>
  <c r="H12" i="162"/>
  <c r="M32" i="288" l="1"/>
  <c r="M26" i="247"/>
  <c r="L32" i="299"/>
  <c r="L18" i="315"/>
  <c r="L18" i="316"/>
  <c r="M28" i="247"/>
  <c r="L32" i="297"/>
  <c r="M32" i="304"/>
  <c r="M32" i="311"/>
  <c r="M32" i="308"/>
  <c r="M30" i="247"/>
  <c r="M76" i="271"/>
  <c r="H22" i="192"/>
  <c r="M141" i="159" l="1"/>
  <c r="L141" i="159"/>
  <c r="H141" i="159"/>
  <c r="H140" i="159"/>
  <c r="M134" i="159"/>
  <c r="L134" i="159"/>
  <c r="M133" i="159"/>
  <c r="L133" i="159"/>
  <c r="M132" i="159"/>
  <c r="L132" i="159"/>
  <c r="M131" i="159"/>
  <c r="L131" i="159"/>
  <c r="M130" i="159"/>
  <c r="L130" i="159"/>
  <c r="M129" i="159"/>
  <c r="L129" i="159"/>
  <c r="M128" i="159"/>
  <c r="L128" i="159"/>
  <c r="M127" i="159"/>
  <c r="L127" i="159"/>
  <c r="M126" i="159"/>
  <c r="L126" i="159"/>
  <c r="M125" i="159"/>
  <c r="L125" i="159"/>
  <c r="M124" i="159"/>
  <c r="L124" i="159"/>
  <c r="M123" i="159"/>
  <c r="L123" i="159"/>
  <c r="M75" i="159"/>
  <c r="L75" i="159"/>
  <c r="H75" i="159"/>
  <c r="M122" i="159"/>
  <c r="L122" i="159"/>
  <c r="M121" i="159"/>
  <c r="L121" i="159"/>
  <c r="M120" i="159"/>
  <c r="L120" i="159"/>
  <c r="M119" i="159"/>
  <c r="L119" i="159"/>
  <c r="M118" i="159"/>
  <c r="L118" i="159"/>
  <c r="M117" i="159"/>
  <c r="L117" i="159"/>
  <c r="M96" i="159"/>
  <c r="L96" i="159"/>
  <c r="M116" i="159"/>
  <c r="L116" i="159"/>
  <c r="M115" i="159"/>
  <c r="L115" i="159"/>
  <c r="M114" i="159"/>
  <c r="L114" i="159"/>
  <c r="M113" i="159"/>
  <c r="L113" i="159"/>
  <c r="M112" i="159"/>
  <c r="L112" i="159"/>
  <c r="M111" i="159"/>
  <c r="L111" i="159"/>
  <c r="M110" i="159"/>
  <c r="L110" i="159"/>
  <c r="M109" i="159"/>
  <c r="L109" i="159"/>
  <c r="M108" i="159"/>
  <c r="L108" i="159"/>
  <c r="M107" i="159"/>
  <c r="L107" i="159"/>
  <c r="M106" i="159"/>
  <c r="L106" i="159"/>
  <c r="M105" i="159"/>
  <c r="L105" i="159"/>
  <c r="M104" i="159"/>
  <c r="L104" i="159"/>
  <c r="M103" i="159"/>
  <c r="L103" i="159"/>
  <c r="M102" i="159"/>
  <c r="L102" i="159"/>
  <c r="M101" i="159"/>
  <c r="L101" i="159"/>
  <c r="M100" i="159"/>
  <c r="L100" i="159"/>
  <c r="M99" i="159"/>
  <c r="L99" i="159"/>
  <c r="M98" i="159"/>
  <c r="L98" i="159"/>
  <c r="M97" i="159"/>
  <c r="L97" i="159"/>
  <c r="M95" i="159"/>
  <c r="L95" i="159"/>
  <c r="M94" i="159"/>
  <c r="L94" i="159"/>
  <c r="M93" i="159"/>
  <c r="L93" i="159"/>
  <c r="M92" i="159"/>
  <c r="L92" i="159"/>
  <c r="M91" i="159"/>
  <c r="L91" i="159"/>
  <c r="M90" i="159"/>
  <c r="L90" i="159"/>
  <c r="M89" i="159"/>
  <c r="L89" i="159"/>
  <c r="H113" i="159"/>
  <c r="H111" i="159"/>
  <c r="H109" i="159"/>
  <c r="H108" i="159"/>
  <c r="H107" i="159"/>
  <c r="H106" i="159"/>
  <c r="H105" i="159"/>
  <c r="H104" i="159"/>
  <c r="H103" i="159"/>
  <c r="H102" i="159"/>
  <c r="H101" i="159"/>
  <c r="H100" i="159"/>
  <c r="H99" i="159"/>
  <c r="H98" i="159"/>
  <c r="H97" i="159"/>
  <c r="H95" i="159"/>
  <c r="H94" i="159"/>
  <c r="H93" i="159"/>
  <c r="H92" i="159"/>
  <c r="H91" i="159"/>
  <c r="H90" i="159"/>
  <c r="H89" i="159"/>
  <c r="H74" i="159"/>
  <c r="H53" i="159"/>
  <c r="H52" i="159"/>
  <c r="H51" i="159"/>
  <c r="H50" i="159"/>
  <c r="H49" i="159"/>
  <c r="H47" i="159"/>
  <c r="H46" i="159"/>
  <c r="H45" i="159"/>
  <c r="H44" i="159"/>
  <c r="H43" i="159"/>
  <c r="H41" i="159"/>
  <c r="H39" i="159"/>
  <c r="H38" i="159"/>
  <c r="H37" i="159"/>
  <c r="H35" i="159"/>
  <c r="H33" i="159"/>
  <c r="H32" i="159"/>
  <c r="H31" i="159"/>
  <c r="H17" i="159"/>
  <c r="H15" i="159"/>
  <c r="H14" i="159"/>
  <c r="H13" i="159"/>
  <c r="H12" i="159"/>
  <c r="M78" i="161"/>
  <c r="M77" i="161"/>
  <c r="L77" i="161"/>
  <c r="M76" i="161"/>
  <c r="L76" i="161"/>
  <c r="M75" i="161"/>
  <c r="L75" i="161"/>
  <c r="M74" i="161"/>
  <c r="L74" i="161"/>
  <c r="M73" i="161"/>
  <c r="L73" i="161"/>
  <c r="M72" i="161"/>
  <c r="L72" i="161"/>
  <c r="M71" i="161"/>
  <c r="L71" i="161"/>
  <c r="M70" i="161"/>
  <c r="L70" i="161"/>
  <c r="M69" i="161"/>
  <c r="L69" i="161"/>
  <c r="M68" i="161"/>
  <c r="L68" i="161"/>
  <c r="M67" i="161"/>
  <c r="L67" i="161"/>
  <c r="M66" i="161"/>
  <c r="L66" i="161"/>
  <c r="M65" i="161"/>
  <c r="L65" i="161"/>
  <c r="M64" i="161"/>
  <c r="L64" i="161"/>
  <c r="M63" i="161"/>
  <c r="L63" i="161"/>
  <c r="M62" i="161"/>
  <c r="L62" i="161"/>
  <c r="M61" i="161"/>
  <c r="L61" i="161"/>
  <c r="M60" i="161"/>
  <c r="L60" i="161"/>
  <c r="M59" i="161"/>
  <c r="L59" i="161"/>
  <c r="M58" i="161"/>
  <c r="L58" i="161"/>
  <c r="M57" i="161"/>
  <c r="L57" i="161"/>
  <c r="M56" i="161"/>
  <c r="L56" i="161"/>
  <c r="M55" i="161"/>
  <c r="L55" i="161"/>
  <c r="M54" i="161"/>
  <c r="L54" i="161"/>
  <c r="M53" i="161"/>
  <c r="L53" i="161"/>
  <c r="M52" i="161"/>
  <c r="L52" i="161"/>
  <c r="M51" i="161"/>
  <c r="L51" i="161"/>
  <c r="M50" i="161"/>
  <c r="L50" i="161"/>
  <c r="M49" i="161"/>
  <c r="L49" i="161"/>
  <c r="M48" i="161"/>
  <c r="L48" i="161"/>
  <c r="M47" i="161"/>
  <c r="L47" i="161"/>
  <c r="M46" i="161"/>
  <c r="L46" i="161"/>
  <c r="M45" i="161"/>
  <c r="L45" i="161"/>
  <c r="M44" i="161"/>
  <c r="L44" i="161"/>
  <c r="M43" i="161"/>
  <c r="L43" i="161"/>
  <c r="M42" i="161"/>
  <c r="L42" i="161"/>
  <c r="M41" i="161"/>
  <c r="L41" i="161"/>
  <c r="M40" i="161"/>
  <c r="L40" i="161"/>
  <c r="M39" i="161"/>
  <c r="L39" i="161"/>
  <c r="M38" i="161"/>
  <c r="L38" i="161"/>
  <c r="M37" i="161"/>
  <c r="L37" i="161"/>
  <c r="M36" i="161"/>
  <c r="L36" i="161"/>
  <c r="M35" i="161"/>
  <c r="L35" i="161"/>
  <c r="M34" i="161"/>
  <c r="L34" i="161"/>
  <c r="M33" i="161"/>
  <c r="L33" i="161"/>
  <c r="M32" i="161"/>
  <c r="L32" i="161"/>
  <c r="M31" i="161"/>
  <c r="L31" i="161"/>
  <c r="M30" i="161"/>
  <c r="L30" i="161"/>
  <c r="M29" i="161"/>
  <c r="L29" i="161"/>
  <c r="M28" i="161"/>
  <c r="L28" i="161"/>
  <c r="M27" i="161"/>
  <c r="L27" i="161"/>
  <c r="M26" i="161"/>
  <c r="L26" i="161"/>
  <c r="M25" i="161"/>
  <c r="L25" i="161"/>
  <c r="M24" i="161"/>
  <c r="L24" i="161"/>
  <c r="M23" i="161"/>
  <c r="L23" i="161"/>
  <c r="M22" i="161"/>
  <c r="L22" i="161"/>
  <c r="M21" i="161"/>
  <c r="L21" i="161"/>
  <c r="M20" i="161"/>
  <c r="L20" i="161"/>
  <c r="M19" i="161"/>
  <c r="L19" i="161"/>
  <c r="M18" i="161"/>
  <c r="L18" i="161"/>
  <c r="M17" i="161"/>
  <c r="L17" i="161"/>
  <c r="M16" i="161"/>
  <c r="L16" i="161"/>
  <c r="M15" i="161"/>
  <c r="L15" i="161"/>
  <c r="M14" i="161"/>
  <c r="L14" i="161"/>
  <c r="M13" i="161"/>
  <c r="L13" i="161"/>
  <c r="M12" i="161"/>
  <c r="L12" i="161"/>
  <c r="H77" i="161"/>
  <c r="H76" i="161"/>
  <c r="H75" i="161"/>
  <c r="H74" i="161"/>
  <c r="H73" i="161"/>
  <c r="H72" i="161"/>
  <c r="H71" i="161"/>
  <c r="H70" i="161"/>
  <c r="H69" i="161"/>
  <c r="H68" i="161"/>
  <c r="H67" i="161"/>
  <c r="H66" i="161"/>
  <c r="H65" i="161"/>
  <c r="H64" i="161"/>
  <c r="H63" i="161"/>
  <c r="H62" i="161"/>
  <c r="H61" i="161"/>
  <c r="H60" i="161"/>
  <c r="H59" i="161"/>
  <c r="H58" i="161"/>
  <c r="H57" i="161"/>
  <c r="H56" i="161"/>
  <c r="H55" i="161"/>
  <c r="H54" i="161"/>
  <c r="H53" i="161"/>
  <c r="H52" i="161"/>
  <c r="H51" i="161"/>
  <c r="H50" i="161"/>
  <c r="H49" i="161"/>
  <c r="H48" i="161"/>
  <c r="H47" i="161"/>
  <c r="H46" i="161"/>
  <c r="H45" i="161"/>
  <c r="H44" i="161"/>
  <c r="H43" i="161"/>
  <c r="H42" i="161"/>
  <c r="H41" i="161"/>
  <c r="H40" i="161"/>
  <c r="H39" i="161"/>
  <c r="H38" i="161"/>
  <c r="H37" i="161"/>
  <c r="H36" i="161"/>
  <c r="H35" i="161"/>
  <c r="H34" i="161"/>
  <c r="H33" i="161"/>
  <c r="H32" i="161"/>
  <c r="H31" i="161"/>
  <c r="H30" i="161"/>
  <c r="H29" i="161"/>
  <c r="H28" i="161"/>
  <c r="H27" i="161"/>
  <c r="H26" i="161"/>
  <c r="H25" i="161"/>
  <c r="H24" i="161"/>
  <c r="H23" i="161"/>
  <c r="H22" i="161"/>
  <c r="H21" i="161"/>
  <c r="H20" i="161"/>
  <c r="H19" i="161"/>
  <c r="H17" i="161"/>
  <c r="H16" i="161"/>
  <c r="H15" i="161"/>
  <c r="H14" i="161"/>
  <c r="H13" i="161"/>
  <c r="H12" i="161"/>
  <c r="F10" i="264" l="1"/>
  <c r="C34" i="278"/>
  <c r="C58" i="278"/>
  <c r="C87" i="278"/>
  <c r="C51" i="278"/>
  <c r="C76" i="278"/>
  <c r="C52" i="278"/>
  <c r="C38" i="278"/>
  <c r="C47" i="278"/>
  <c r="C82" i="278"/>
  <c r="C72" i="278"/>
  <c r="C37" i="278"/>
  <c r="C89" i="278"/>
  <c r="C46" i="278"/>
  <c r="C74" i="278"/>
  <c r="C48" i="278"/>
  <c r="C78" i="278"/>
  <c r="C88" i="278"/>
  <c r="C71" i="278"/>
  <c r="C49" i="278"/>
  <c r="C35" i="278"/>
  <c r="C92" i="278"/>
  <c r="C62" i="278"/>
  <c r="C29" i="278"/>
  <c r="C64" i="278"/>
  <c r="C28" i="278"/>
  <c r="C60" i="278"/>
  <c r="C45" i="278"/>
  <c r="C91" i="278"/>
  <c r="C56" i="278"/>
  <c r="C83" i="278"/>
  <c r="C36" i="278"/>
  <c r="C93" i="278"/>
  <c r="C85" i="278"/>
  <c r="C26" i="278"/>
  <c r="F11" i="264" l="1"/>
  <c r="C1" i="318"/>
  <c r="D29" i="264"/>
  <c r="C1" i="254"/>
  <c r="L84" i="271"/>
  <c r="M84" i="271" s="1"/>
  <c r="M80" i="271"/>
  <c r="P73" i="271"/>
  <c r="O73" i="271"/>
  <c r="K74" i="271"/>
  <c r="L74" i="271" s="1"/>
  <c r="M74" i="271" s="1"/>
  <c r="D17" i="318" l="1"/>
  <c r="D15" i="318" s="1"/>
  <c r="D13" i="318" s="1"/>
  <c r="L50" i="278"/>
  <c r="G109" i="278" l="1"/>
  <c r="C10" i="278"/>
  <c r="C17" i="278"/>
  <c r="C24" i="278"/>
  <c r="C16" i="278"/>
  <c r="C23" i="278"/>
  <c r="C11" i="278"/>
  <c r="C18" i="278"/>
  <c r="C9" i="278"/>
  <c r="C12" i="278"/>
  <c r="C21" i="278"/>
  <c r="C15" i="278"/>
  <c r="C25" i="278"/>
  <c r="M58" i="272" l="1"/>
  <c r="K42" i="272"/>
  <c r="K40" i="272"/>
  <c r="K36" i="272"/>
  <c r="K34" i="272"/>
  <c r="H113" i="272"/>
  <c r="C8" i="278"/>
  <c r="H24" i="272" l="1"/>
  <c r="L116" i="272"/>
  <c r="H116" i="272"/>
  <c r="L85" i="272"/>
  <c r="H85" i="272"/>
  <c r="L28" i="272"/>
  <c r="H28" i="272"/>
  <c r="H118" i="272"/>
  <c r="L118" i="272"/>
  <c r="M85" i="272" l="1"/>
  <c r="M116" i="272"/>
  <c r="M118" i="272"/>
  <c r="M28" i="272"/>
  <c r="K36" i="271"/>
  <c r="K121" i="282"/>
  <c r="L121" i="282" s="1"/>
  <c r="M121" i="282" s="1"/>
  <c r="K107" i="282"/>
  <c r="L107" i="282" s="1"/>
  <c r="M107" i="282" s="1"/>
  <c r="K105" i="282"/>
  <c r="L105" i="282" s="1"/>
  <c r="M105" i="282" s="1"/>
  <c r="K97" i="282"/>
  <c r="L97" i="282" s="1"/>
  <c r="M97" i="282" s="1"/>
  <c r="L95" i="282"/>
  <c r="M95" i="282" s="1"/>
  <c r="K87" i="282"/>
  <c r="L87" i="282" s="1"/>
  <c r="M87" i="282" s="1"/>
  <c r="K85" i="282"/>
  <c r="L85" i="282" s="1"/>
  <c r="M85" i="282" s="1"/>
  <c r="K54" i="282"/>
  <c r="K44" i="282"/>
  <c r="K42" i="282"/>
  <c r="K40" i="282"/>
  <c r="K34" i="282"/>
  <c r="K24" i="282"/>
  <c r="K20" i="282"/>
  <c r="K18" i="282"/>
  <c r="K48" i="271"/>
  <c r="K44" i="271"/>
  <c r="K32" i="271"/>
  <c r="K20" i="271"/>
  <c r="K18" i="271"/>
  <c r="K24" i="281"/>
  <c r="K18" i="281"/>
  <c r="M200" i="282"/>
  <c r="M139" i="282"/>
  <c r="L139" i="282"/>
  <c r="L16" i="287" l="1"/>
  <c r="M16" i="287" s="1"/>
  <c r="L56" i="292"/>
  <c r="M56" i="292" s="1"/>
  <c r="L54" i="292"/>
  <c r="M54" i="292" s="1"/>
  <c r="L48" i="292"/>
  <c r="M48" i="292" s="1"/>
  <c r="L46" i="292"/>
  <c r="M46" i="292" s="1"/>
  <c r="L42" i="292"/>
  <c r="M42" i="292" s="1"/>
  <c r="L38" i="292"/>
  <c r="M38" i="292" s="1"/>
  <c r="L36" i="292"/>
  <c r="M36" i="292" s="1"/>
  <c r="L32" i="292"/>
  <c r="M32" i="292" s="1"/>
  <c r="L30" i="292"/>
  <c r="M30" i="292" s="1"/>
  <c r="L26" i="292"/>
  <c r="M26" i="292" s="1"/>
  <c r="L24" i="292"/>
  <c r="M24" i="292" s="1"/>
  <c r="L20" i="292"/>
  <c r="M20" i="292" s="1"/>
  <c r="L18" i="292"/>
  <c r="M18" i="292" s="1"/>
  <c r="C35" i="318"/>
  <c r="C21" i="318"/>
  <c r="C19" i="318"/>
  <c r="C17" i="318"/>
  <c r="C15" i="318"/>
  <c r="B19" i="318"/>
  <c r="B17" i="318"/>
  <c r="B15" i="318"/>
  <c r="C11" i="318"/>
  <c r="C13" i="318"/>
  <c r="B13" i="318"/>
  <c r="B11" i="264"/>
  <c r="B10" i="264"/>
  <c r="B59" i="318"/>
  <c r="B57" i="318"/>
  <c r="D56" i="318"/>
  <c r="B56" i="318"/>
  <c r="B5" i="318"/>
  <c r="B3" i="318"/>
  <c r="B2" i="318"/>
  <c r="B19" i="254"/>
  <c r="B15" i="254"/>
  <c r="B17" i="254"/>
  <c r="B13" i="254"/>
  <c r="B11" i="254"/>
  <c r="C11" i="254"/>
  <c r="C15" i="254"/>
  <c r="C19" i="254"/>
  <c r="C17" i="254"/>
  <c r="C13" i="254"/>
  <c r="L20" i="198" l="1"/>
  <c r="M20" i="198" s="1"/>
  <c r="L32" i="200"/>
  <c r="M32" i="200" s="1"/>
  <c r="L28" i="200"/>
  <c r="M28" i="200" s="1"/>
  <c r="L26" i="200"/>
  <c r="M26" i="200" s="1"/>
  <c r="L22" i="200"/>
  <c r="M22" i="200" s="1"/>
  <c r="L20" i="200"/>
  <c r="M20" i="200" s="1"/>
  <c r="L18" i="198"/>
  <c r="M18" i="198" s="1"/>
  <c r="L32" i="198"/>
  <c r="M32" i="198" s="1"/>
  <c r="L38" i="199"/>
  <c r="M38" i="199" s="1"/>
  <c r="L36" i="199"/>
  <c r="M36" i="199" s="1"/>
  <c r="L30" i="199"/>
  <c r="M30" i="199" s="1"/>
  <c r="L26" i="199"/>
  <c r="M26" i="199" s="1"/>
  <c r="L24" i="199"/>
  <c r="M24" i="199" s="1"/>
  <c r="L18" i="199"/>
  <c r="M18" i="199" s="1"/>
  <c r="K27" i="199"/>
  <c r="L36" i="193"/>
  <c r="L34" i="193"/>
  <c r="K52" i="193"/>
  <c r="K50" i="193"/>
  <c r="K46" i="193"/>
  <c r="K44" i="193"/>
  <c r="K42" i="193"/>
  <c r="K40" i="193"/>
  <c r="K30" i="193"/>
  <c r="K28" i="193"/>
  <c r="K24" i="168"/>
  <c r="K26" i="168"/>
  <c r="K32" i="168"/>
  <c r="K28" i="168"/>
  <c r="K22" i="168"/>
  <c r="K20" i="168"/>
  <c r="K40" i="166"/>
  <c r="K34" i="166"/>
  <c r="K24" i="166"/>
  <c r="L24" i="166" s="1"/>
  <c r="M24" i="166" s="1"/>
  <c r="M66" i="163"/>
  <c r="M65" i="163"/>
  <c r="L65" i="163"/>
  <c r="M27" i="163"/>
  <c r="L27" i="163"/>
  <c r="M25" i="163"/>
  <c r="L25" i="163"/>
  <c r="M24" i="163"/>
  <c r="L24" i="163"/>
  <c r="M23" i="163"/>
  <c r="L23" i="163"/>
  <c r="M22" i="163"/>
  <c r="L22" i="163"/>
  <c r="M21" i="163"/>
  <c r="L21" i="163"/>
  <c r="M20" i="163"/>
  <c r="L20" i="163"/>
  <c r="M19" i="163"/>
  <c r="L19" i="163"/>
  <c r="M18" i="163"/>
  <c r="L18" i="163"/>
  <c r="M17" i="163"/>
  <c r="L17" i="163"/>
  <c r="M15" i="163"/>
  <c r="L15" i="163"/>
  <c r="L14" i="163"/>
  <c r="M13" i="163"/>
  <c r="L13" i="163"/>
  <c r="M12" i="163"/>
  <c r="L12" i="163"/>
  <c r="M81" i="307" l="1"/>
  <c r="L81" i="307"/>
  <c r="M69" i="307"/>
  <c r="L38" i="307"/>
  <c r="M38" i="307" s="1"/>
  <c r="L34" i="307"/>
  <c r="M34" i="307" s="1"/>
  <c r="L30" i="307"/>
  <c r="M30" i="307" s="1"/>
  <c r="L28" i="307"/>
  <c r="M28" i="307" s="1"/>
  <c r="L26" i="307"/>
  <c r="M26" i="307" s="1"/>
  <c r="L22" i="307"/>
  <c r="M22" i="307" s="1"/>
  <c r="L16" i="307"/>
  <c r="M16" i="307" s="1"/>
  <c r="M11" i="306"/>
  <c r="L36" i="306"/>
  <c r="M36" i="306" s="1"/>
  <c r="K35" i="306"/>
  <c r="K34" i="306"/>
  <c r="L32" i="306"/>
  <c r="M32" i="306" s="1"/>
  <c r="L26" i="306"/>
  <c r="M26" i="306" s="1"/>
  <c r="K25" i="306"/>
  <c r="L24" i="306"/>
  <c r="M24" i="306" s="1"/>
  <c r="L18" i="306"/>
  <c r="M18" i="306" s="1"/>
  <c r="L16" i="306"/>
  <c r="M16" i="306" s="1"/>
  <c r="L30" i="304"/>
  <c r="M30" i="304" s="1"/>
  <c r="K28" i="304"/>
  <c r="L28" i="304" s="1"/>
  <c r="M28" i="304" s="1"/>
  <c r="L38" i="303"/>
  <c r="M38" i="303" s="1"/>
  <c r="L36" i="303"/>
  <c r="M36" i="303" s="1"/>
  <c r="L32" i="303"/>
  <c r="M32" i="303" s="1"/>
  <c r="L30" i="303"/>
  <c r="M30" i="303" s="1"/>
  <c r="L26" i="303"/>
  <c r="M26" i="303" s="1"/>
  <c r="L24" i="303"/>
  <c r="M24" i="303" s="1"/>
  <c r="M200" i="301"/>
  <c r="M143" i="301"/>
  <c r="L143" i="301"/>
  <c r="M78" i="301"/>
  <c r="L78" i="301"/>
  <c r="K50" i="301"/>
  <c r="L50" i="301" s="1"/>
  <c r="M50" i="301" s="1"/>
  <c r="K48" i="301"/>
  <c r="L48" i="301" s="1"/>
  <c r="M48" i="301" s="1"/>
  <c r="K44" i="301"/>
  <c r="L44" i="301" s="1"/>
  <c r="M44" i="301" s="1"/>
  <c r="K42" i="301"/>
  <c r="L42" i="301" s="1"/>
  <c r="M42" i="301" s="1"/>
  <c r="K40" i="301"/>
  <c r="L40" i="301" s="1"/>
  <c r="M40" i="301" s="1"/>
  <c r="K39" i="301"/>
  <c r="K38" i="301"/>
  <c r="L38" i="301" s="1"/>
  <c r="M38" i="301" s="1"/>
  <c r="L28" i="301"/>
  <c r="M28" i="301" s="1"/>
  <c r="K27" i="301"/>
  <c r="K26" i="301"/>
  <c r="L26" i="301" s="1"/>
  <c r="M26" i="301" s="1"/>
  <c r="K25" i="301"/>
  <c r="K24" i="301"/>
  <c r="L24" i="301" s="1"/>
  <c r="M24" i="301" s="1"/>
  <c r="K20" i="301"/>
  <c r="L20" i="301" s="1"/>
  <c r="M20" i="301" s="1"/>
  <c r="K18" i="301"/>
  <c r="L18" i="301" s="1"/>
  <c r="M18" i="301" s="1"/>
  <c r="L76" i="298"/>
  <c r="L208" i="297"/>
  <c r="L153" i="297"/>
  <c r="K153" i="297"/>
  <c r="E24" i="297"/>
  <c r="G24" i="297" s="1"/>
  <c r="E18" i="297"/>
  <c r="G18" i="297" s="1"/>
  <c r="E16" i="297"/>
  <c r="G16" i="297" s="1"/>
  <c r="M81" i="314"/>
  <c r="L81" i="314"/>
  <c r="L38" i="314"/>
  <c r="M38" i="314" s="1"/>
  <c r="L34" i="314"/>
  <c r="M34" i="314" s="1"/>
  <c r="L30" i="314"/>
  <c r="M30" i="314" s="1"/>
  <c r="L28" i="314"/>
  <c r="M28" i="314" s="1"/>
  <c r="L26" i="314"/>
  <c r="M26" i="314" s="1"/>
  <c r="L22" i="314"/>
  <c r="M22" i="314" s="1"/>
  <c r="L16" i="314"/>
  <c r="M16" i="314" s="1"/>
  <c r="M83" i="313"/>
  <c r="L83" i="313"/>
  <c r="K34" i="313"/>
  <c r="K33" i="313"/>
  <c r="L26" i="313"/>
  <c r="M26" i="313" s="1"/>
  <c r="K25" i="313"/>
  <c r="L24" i="313"/>
  <c r="M24" i="313" s="1"/>
  <c r="L18" i="313"/>
  <c r="M18" i="313" s="1"/>
  <c r="L16" i="313"/>
  <c r="M16" i="313" s="1"/>
  <c r="L30" i="311"/>
  <c r="M30" i="311" s="1"/>
  <c r="K28" i="311"/>
  <c r="L28" i="311" s="1"/>
  <c r="M28" i="311" s="1"/>
  <c r="L38" i="310"/>
  <c r="M38" i="310" s="1"/>
  <c r="L36" i="310"/>
  <c r="M36" i="310" s="1"/>
  <c r="L32" i="310"/>
  <c r="M32" i="310" s="1"/>
  <c r="L30" i="310"/>
  <c r="M30" i="310" s="1"/>
  <c r="L26" i="310"/>
  <c r="M26" i="310" s="1"/>
  <c r="L24" i="310"/>
  <c r="M24" i="310" s="1"/>
  <c r="M129" i="308"/>
  <c r="M76" i="308"/>
  <c r="L76" i="308"/>
  <c r="M64" i="308"/>
  <c r="K50" i="308"/>
  <c r="L50" i="308" s="1"/>
  <c r="M50" i="308" s="1"/>
  <c r="K48" i="308"/>
  <c r="L48" i="308" s="1"/>
  <c r="M48" i="308" s="1"/>
  <c r="K44" i="308"/>
  <c r="L44" i="308" s="1"/>
  <c r="M44" i="308" s="1"/>
  <c r="K42" i="308"/>
  <c r="L42" i="308" s="1"/>
  <c r="M42" i="308" s="1"/>
  <c r="K40" i="308"/>
  <c r="L40" i="308" s="1"/>
  <c r="M40" i="308" s="1"/>
  <c r="K39" i="308"/>
  <c r="K38" i="308"/>
  <c r="L38" i="308" s="1"/>
  <c r="M38" i="308" s="1"/>
  <c r="L28" i="308"/>
  <c r="M28" i="308" s="1"/>
  <c r="K27" i="308"/>
  <c r="K26" i="308"/>
  <c r="L26" i="308" s="1"/>
  <c r="M26" i="308" s="1"/>
  <c r="K25" i="308"/>
  <c r="K24" i="308"/>
  <c r="L24" i="308" s="1"/>
  <c r="M24" i="308" s="1"/>
  <c r="L211" i="299"/>
  <c r="L155" i="299"/>
  <c r="K155" i="299"/>
  <c r="L143" i="299"/>
  <c r="L72" i="299"/>
  <c r="E24" i="299"/>
  <c r="G24" i="299" s="1"/>
  <c r="E18" i="299"/>
  <c r="G18" i="299" s="1"/>
  <c r="E16" i="299"/>
  <c r="G16" i="299" s="1"/>
  <c r="L76" i="300"/>
  <c r="J1" i="300"/>
  <c r="M72" i="292"/>
  <c r="M11" i="292"/>
  <c r="L11" i="292"/>
  <c r="L72" i="292" l="1"/>
  <c r="L1" i="292" s="1"/>
  <c r="K88" i="278"/>
  <c r="M137" i="296" l="1"/>
  <c r="M73" i="296"/>
  <c r="L73" i="296"/>
  <c r="M62" i="296"/>
  <c r="L46" i="296"/>
  <c r="M46" i="296" s="1"/>
  <c r="L38" i="296"/>
  <c r="M38" i="296" s="1"/>
  <c r="L34" i="296"/>
  <c r="M34" i="296" s="1"/>
  <c r="L28" i="296"/>
  <c r="M28" i="296" s="1"/>
  <c r="K25" i="296"/>
  <c r="L24" i="296"/>
  <c r="M24" i="296" s="1"/>
  <c r="K23" i="296"/>
  <c r="L22" i="296"/>
  <c r="M22" i="296" s="1"/>
  <c r="L16" i="296"/>
  <c r="M16" i="296" s="1"/>
  <c r="M75" i="294"/>
  <c r="L16" i="294"/>
  <c r="M16" i="294" s="1"/>
  <c r="L34" i="295" l="1"/>
  <c r="M34" i="295" s="1"/>
  <c r="L36" i="295"/>
  <c r="M36" i="295" s="1"/>
  <c r="L28" i="295"/>
  <c r="M28" i="295" s="1"/>
  <c r="L24" i="295"/>
  <c r="M24" i="295" s="1"/>
  <c r="K23" i="295"/>
  <c r="L22" i="295"/>
  <c r="M22" i="295" s="1"/>
  <c r="K38" i="293"/>
  <c r="L38" i="293" s="1"/>
  <c r="M38" i="293" s="1"/>
  <c r="M209" i="290"/>
  <c r="M153" i="290"/>
  <c r="L153" i="290"/>
  <c r="K28" i="290"/>
  <c r="L28" i="290" s="1"/>
  <c r="M28" i="290" s="1"/>
  <c r="K26" i="290"/>
  <c r="L26" i="290" s="1"/>
  <c r="M26" i="290" s="1"/>
  <c r="K22" i="290"/>
  <c r="L22" i="290" s="1"/>
  <c r="M22" i="290" s="1"/>
  <c r="K20" i="290"/>
  <c r="L20" i="290" s="1"/>
  <c r="M20" i="290" s="1"/>
  <c r="K18" i="290"/>
  <c r="L18" i="290" s="1"/>
  <c r="M18" i="290" s="1"/>
  <c r="M74" i="289"/>
  <c r="F24" i="288"/>
  <c r="H24" i="288" s="1"/>
  <c r="F18" i="288"/>
  <c r="H18" i="288" s="1"/>
  <c r="F16" i="288"/>
  <c r="H16" i="288" s="1"/>
  <c r="M211" i="288"/>
  <c r="M154" i="288"/>
  <c r="L154" i="288"/>
  <c r="M143" i="288"/>
  <c r="M73" i="288"/>
  <c r="M144" i="286"/>
  <c r="M73" i="286"/>
  <c r="L36" i="286"/>
  <c r="M36" i="286" s="1"/>
  <c r="L34" i="286"/>
  <c r="M34" i="286" s="1"/>
  <c r="L28" i="286"/>
  <c r="M28" i="286" s="1"/>
  <c r="L26" i="286"/>
  <c r="M26" i="286" s="1"/>
  <c r="L22" i="286"/>
  <c r="M22" i="286" s="1"/>
  <c r="F16" i="286"/>
  <c r="H16" i="286" s="1"/>
  <c r="K42" i="275"/>
  <c r="L42" i="275" s="1"/>
  <c r="M42" i="275" s="1"/>
  <c r="K40" i="275"/>
  <c r="L40" i="275" s="1"/>
  <c r="M40" i="275" s="1"/>
  <c r="K34" i="275"/>
  <c r="L34" i="275" s="1"/>
  <c r="M34" i="275" s="1"/>
  <c r="M158" i="285"/>
  <c r="M122" i="285"/>
  <c r="L34" i="285"/>
  <c r="M34" i="285" s="1"/>
  <c r="L32" i="285"/>
  <c r="M32" i="285" s="1"/>
  <c r="L28" i="285"/>
  <c r="M28" i="285" s="1"/>
  <c r="K24" i="285"/>
  <c r="K23" i="285"/>
  <c r="L22" i="285"/>
  <c r="M22" i="285" s="1"/>
  <c r="K21" i="285"/>
  <c r="L20" i="285"/>
  <c r="M20" i="285" s="1"/>
  <c r="M59" i="271"/>
  <c r="M129" i="282"/>
  <c r="M62" i="282"/>
  <c r="L16" i="286" l="1"/>
  <c r="M16" i="286" s="1"/>
  <c r="L54" i="282"/>
  <c r="H54" i="282"/>
  <c r="H89" i="282"/>
  <c r="H111" i="282"/>
  <c r="F113" i="282"/>
  <c r="H113" i="282" l="1"/>
  <c r="M54" i="282"/>
  <c r="C11" i="261"/>
  <c r="B8" i="261" s="1"/>
  <c r="C11" i="263"/>
  <c r="B11" i="263"/>
  <c r="B8" i="263" s="1"/>
  <c r="B12" i="264" l="1"/>
  <c r="B13" i="264"/>
  <c r="K50" i="284" l="1"/>
  <c r="K48" i="284"/>
  <c r="L48" i="284" s="1"/>
  <c r="M48" i="284" s="1"/>
  <c r="K47" i="284"/>
  <c r="K46" i="284"/>
  <c r="L46" i="284" s="1"/>
  <c r="M46" i="284" s="1"/>
  <c r="K45" i="284"/>
  <c r="K44" i="284"/>
  <c r="L44" i="284" s="1"/>
  <c r="M44" i="284" s="1"/>
  <c r="K43" i="284"/>
  <c r="K42" i="284"/>
  <c r="L42" i="284" s="1"/>
  <c r="M42" i="284" s="1"/>
  <c r="K36" i="284"/>
  <c r="L36" i="284" s="1"/>
  <c r="M36" i="284" s="1"/>
  <c r="K28" i="284"/>
  <c r="L28" i="284" s="1"/>
  <c r="M28" i="284" s="1"/>
  <c r="K27" i="284"/>
  <c r="K24" i="284"/>
  <c r="K20" i="284"/>
  <c r="L20" i="284" s="1"/>
  <c r="M20" i="284" s="1"/>
  <c r="K20" i="279"/>
  <c r="L20" i="279" s="1"/>
  <c r="M20" i="279" s="1"/>
  <c r="M71" i="279"/>
  <c r="M78" i="283"/>
  <c r="K20" i="283"/>
  <c r="L20" i="283" s="1"/>
  <c r="M20" i="283" s="1"/>
  <c r="K18" i="283"/>
  <c r="L18" i="283" s="1"/>
  <c r="M18" i="283" s="1"/>
  <c r="M72" i="282"/>
  <c r="L72" i="282"/>
  <c r="M11" i="282"/>
  <c r="L11" i="282"/>
  <c r="M72" i="281"/>
  <c r="K30" i="270"/>
  <c r="L30" i="270" s="1"/>
  <c r="H30" i="270"/>
  <c r="M29" i="270"/>
  <c r="L29" i="270"/>
  <c r="H29" i="270"/>
  <c r="H28" i="270"/>
  <c r="M27" i="270"/>
  <c r="L27" i="270"/>
  <c r="H27" i="270"/>
  <c r="M26" i="270"/>
  <c r="L26" i="270"/>
  <c r="H26" i="270"/>
  <c r="M23" i="270"/>
  <c r="L23" i="270"/>
  <c r="H23" i="270"/>
  <c r="K22" i="270"/>
  <c r="M21" i="270"/>
  <c r="L21" i="270"/>
  <c r="H21" i="270"/>
  <c r="M20" i="270"/>
  <c r="L20" i="270"/>
  <c r="H20" i="270"/>
  <c r="L42" i="282" l="1"/>
  <c r="H42" i="282"/>
  <c r="H58" i="282"/>
  <c r="L40" i="282"/>
  <c r="H40" i="282"/>
  <c r="L44" i="282"/>
  <c r="H44" i="282"/>
  <c r="H60" i="282"/>
  <c r="M30" i="270"/>
  <c r="H54" i="284" l="1"/>
  <c r="L54" i="284"/>
  <c r="M44" i="282"/>
  <c r="M40" i="282"/>
  <c r="M42" i="282"/>
  <c r="L50" i="284" l="1"/>
  <c r="H50" i="284"/>
  <c r="M54" i="284"/>
  <c r="F18" i="268"/>
  <c r="M77" i="267"/>
  <c r="M50" i="284" l="1"/>
  <c r="H18" i="268"/>
  <c r="H150" i="250"/>
  <c r="H151" i="250"/>
  <c r="H152" i="250"/>
  <c r="H153" i="250"/>
  <c r="H154" i="250"/>
  <c r="H155" i="250"/>
  <c r="H156" i="250"/>
  <c r="H157" i="250"/>
  <c r="H158" i="250"/>
  <c r="H159" i="250"/>
  <c r="M123" i="262"/>
  <c r="M54" i="262"/>
  <c r="M68" i="260"/>
  <c r="M73" i="200"/>
  <c r="M13" i="200"/>
  <c r="L13" i="200"/>
  <c r="M73" i="199"/>
  <c r="M13" i="199"/>
  <c r="L13" i="199"/>
  <c r="M75" i="198"/>
  <c r="M13" i="198"/>
  <c r="L13" i="198"/>
  <c r="H26" i="198"/>
  <c r="F26" i="198"/>
  <c r="M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3" i="193"/>
  <c r="L53" i="193"/>
  <c r="L52" i="193"/>
  <c r="M51" i="193"/>
  <c r="L51" i="193"/>
  <c r="L50" i="193"/>
  <c r="M49" i="193"/>
  <c r="L49" i="193"/>
  <c r="M48" i="193"/>
  <c r="L48" i="193"/>
  <c r="M47" i="193"/>
  <c r="L47" i="193"/>
  <c r="L46" i="193"/>
  <c r="M45" i="193"/>
  <c r="L45" i="193"/>
  <c r="L44" i="193"/>
  <c r="M43" i="193"/>
  <c r="L43" i="193"/>
  <c r="L42" i="193"/>
  <c r="M41" i="193"/>
  <c r="L41" i="193"/>
  <c r="L40" i="193"/>
  <c r="M39" i="193"/>
  <c r="L39" i="193"/>
  <c r="M38" i="193"/>
  <c r="L38" i="193"/>
  <c r="M37" i="193"/>
  <c r="L37" i="193"/>
  <c r="M35" i="193"/>
  <c r="L35" i="193"/>
  <c r="M33" i="193"/>
  <c r="L33" i="193"/>
  <c r="M32" i="193"/>
  <c r="L32" i="193"/>
  <c r="M31" i="193"/>
  <c r="L31" i="193"/>
  <c r="L30" i="193"/>
  <c r="M29" i="193"/>
  <c r="L29" i="193"/>
  <c r="L28" i="193"/>
  <c r="M27" i="193"/>
  <c r="L27" i="193"/>
  <c r="M13" i="193"/>
  <c r="L13" i="193"/>
  <c r="H34" i="193"/>
  <c r="M34" i="193" s="1"/>
  <c r="H33" i="193"/>
  <c r="H32" i="193"/>
  <c r="L81" i="316"/>
  <c r="L81" i="315"/>
  <c r="L13" i="315"/>
  <c r="K13" i="315"/>
  <c r="B215" i="316"/>
  <c r="G214" i="316"/>
  <c r="G213" i="316"/>
  <c r="G212" i="316"/>
  <c r="G211" i="316"/>
  <c r="G210" i="316"/>
  <c r="G209" i="316"/>
  <c r="G208" i="316"/>
  <c r="G207" i="316"/>
  <c r="G206" i="316"/>
  <c r="G205" i="316"/>
  <c r="G204" i="316"/>
  <c r="G203" i="316"/>
  <c r="G202" i="316"/>
  <c r="G201" i="316"/>
  <c r="G200" i="316"/>
  <c r="G199" i="316"/>
  <c r="G198" i="316"/>
  <c r="G197" i="316"/>
  <c r="G196" i="316"/>
  <c r="G195" i="316"/>
  <c r="G194" i="316"/>
  <c r="G193" i="316"/>
  <c r="G192" i="316"/>
  <c r="G191" i="316"/>
  <c r="G190" i="316"/>
  <c r="G189" i="316"/>
  <c r="G188" i="316"/>
  <c r="G187" i="316"/>
  <c r="G186" i="316"/>
  <c r="G185" i="316"/>
  <c r="G184" i="316"/>
  <c r="G183" i="316"/>
  <c r="G182" i="316"/>
  <c r="G181" i="316"/>
  <c r="G180" i="316"/>
  <c r="G179" i="316"/>
  <c r="G178" i="316"/>
  <c r="G177" i="316"/>
  <c r="G176" i="316"/>
  <c r="G175" i="316"/>
  <c r="G174" i="316"/>
  <c r="G173" i="316"/>
  <c r="G172" i="316"/>
  <c r="G171" i="316"/>
  <c r="G170" i="316"/>
  <c r="G169" i="316"/>
  <c r="G168" i="316"/>
  <c r="G167" i="316"/>
  <c r="G166" i="316"/>
  <c r="G165" i="316"/>
  <c r="G164" i="316"/>
  <c r="G163" i="316"/>
  <c r="G162" i="316"/>
  <c r="G161" i="316"/>
  <c r="G160" i="316"/>
  <c r="G159" i="316"/>
  <c r="G158" i="316"/>
  <c r="G157" i="316"/>
  <c r="B151" i="316"/>
  <c r="B148" i="316"/>
  <c r="E147" i="316"/>
  <c r="B147" i="316"/>
  <c r="B146" i="316"/>
  <c r="G145" i="316"/>
  <c r="G144" i="316"/>
  <c r="G143" i="316"/>
  <c r="G142" i="316"/>
  <c r="G141" i="316"/>
  <c r="G140" i="316"/>
  <c r="G139" i="316"/>
  <c r="G138" i="316"/>
  <c r="G137" i="316"/>
  <c r="G136" i="316"/>
  <c r="G134" i="316"/>
  <c r="G132" i="316"/>
  <c r="G130" i="316"/>
  <c r="G128" i="316"/>
  <c r="G126" i="316"/>
  <c r="G125" i="316"/>
  <c r="G124" i="316"/>
  <c r="G123" i="316"/>
  <c r="G122" i="316"/>
  <c r="G120" i="316"/>
  <c r="G118" i="316"/>
  <c r="G116" i="316"/>
  <c r="G114" i="316"/>
  <c r="G112" i="316"/>
  <c r="G111" i="316"/>
  <c r="G110" i="316"/>
  <c r="G109" i="316"/>
  <c r="G108" i="316"/>
  <c r="G107" i="316"/>
  <c r="G106" i="316"/>
  <c r="G105" i="316"/>
  <c r="G104" i="316"/>
  <c r="G103" i="316"/>
  <c r="G102" i="316"/>
  <c r="G101" i="316"/>
  <c r="G100" i="316"/>
  <c r="G99" i="316"/>
  <c r="G98" i="316"/>
  <c r="G97" i="316"/>
  <c r="G96" i="316"/>
  <c r="G95" i="316"/>
  <c r="G94" i="316"/>
  <c r="G93" i="316"/>
  <c r="G92" i="316"/>
  <c r="B86" i="316"/>
  <c r="B83" i="316"/>
  <c r="E82" i="316"/>
  <c r="B82" i="316"/>
  <c r="B81" i="316"/>
  <c r="G13" i="316"/>
  <c r="B7" i="316"/>
  <c r="G6" i="316"/>
  <c r="G150" i="316" s="1"/>
  <c r="B4" i="316"/>
  <c r="E3" i="316"/>
  <c r="B3" i="316"/>
  <c r="H1" i="316"/>
  <c r="B215" i="315"/>
  <c r="G214" i="315"/>
  <c r="G213" i="315"/>
  <c r="G212" i="315"/>
  <c r="G211" i="315"/>
  <c r="G210" i="315"/>
  <c r="G209" i="315"/>
  <c r="G208" i="315"/>
  <c r="G207" i="315"/>
  <c r="G206" i="315"/>
  <c r="G205" i="315"/>
  <c r="G204" i="315"/>
  <c r="G203" i="315"/>
  <c r="G202" i="315"/>
  <c r="G201" i="315"/>
  <c r="G200" i="315"/>
  <c r="G199" i="315"/>
  <c r="G198" i="315"/>
  <c r="G197" i="315"/>
  <c r="G196" i="315"/>
  <c r="G195" i="315"/>
  <c r="G194" i="315"/>
  <c r="G193" i="315"/>
  <c r="G192" i="315"/>
  <c r="G191" i="315"/>
  <c r="G190" i="315"/>
  <c r="G189" i="315"/>
  <c r="G188" i="315"/>
  <c r="G187" i="315"/>
  <c r="G186" i="315"/>
  <c r="G185" i="315"/>
  <c r="G184" i="315"/>
  <c r="G183" i="315"/>
  <c r="G182" i="315"/>
  <c r="G181" i="315"/>
  <c r="G180" i="315"/>
  <c r="G179" i="315"/>
  <c r="G178" i="315"/>
  <c r="G177" i="315"/>
  <c r="G176" i="315"/>
  <c r="G175" i="315"/>
  <c r="G174" i="315"/>
  <c r="G173" i="315"/>
  <c r="G172" i="315"/>
  <c r="G171" i="315"/>
  <c r="G170" i="315"/>
  <c r="G169" i="315"/>
  <c r="G168" i="315"/>
  <c r="G167" i="315"/>
  <c r="G166" i="315"/>
  <c r="G165" i="315"/>
  <c r="G164" i="315"/>
  <c r="G163" i="315"/>
  <c r="G162" i="315"/>
  <c r="G161" i="315"/>
  <c r="G160" i="315"/>
  <c r="G159" i="315"/>
  <c r="G158" i="315"/>
  <c r="G157" i="315"/>
  <c r="B151" i="315"/>
  <c r="B148" i="315"/>
  <c r="E147" i="315"/>
  <c r="B147" i="315"/>
  <c r="B146" i="315"/>
  <c r="G145" i="315"/>
  <c r="G144" i="315"/>
  <c r="G143" i="315"/>
  <c r="G142" i="315"/>
  <c r="G141" i="315"/>
  <c r="G140" i="315"/>
  <c r="G139" i="315"/>
  <c r="G138" i="315"/>
  <c r="G137" i="315"/>
  <c r="G136" i="315"/>
  <c r="G134" i="315"/>
  <c r="G132" i="315"/>
  <c r="G130" i="315"/>
  <c r="G128" i="315"/>
  <c r="G126" i="315"/>
  <c r="G125" i="315"/>
  <c r="G124" i="315"/>
  <c r="G123" i="315"/>
  <c r="G122" i="315"/>
  <c r="G120" i="315"/>
  <c r="G118" i="315"/>
  <c r="G116" i="315"/>
  <c r="G114" i="315"/>
  <c r="G112" i="315"/>
  <c r="G111" i="315"/>
  <c r="G110" i="315"/>
  <c r="G109" i="315"/>
  <c r="G108" i="315"/>
  <c r="G107" i="315"/>
  <c r="G106" i="315"/>
  <c r="G105" i="315"/>
  <c r="G104" i="315"/>
  <c r="G103" i="315"/>
  <c r="G102" i="315"/>
  <c r="G101" i="315"/>
  <c r="G100" i="315"/>
  <c r="G99" i="315"/>
  <c r="G98" i="315"/>
  <c r="G97" i="315"/>
  <c r="G96" i="315"/>
  <c r="G95" i="315"/>
  <c r="G94" i="315"/>
  <c r="G93" i="315"/>
  <c r="G92" i="315"/>
  <c r="B86" i="315"/>
  <c r="B83" i="315"/>
  <c r="E82" i="315"/>
  <c r="B82" i="315"/>
  <c r="B81" i="315"/>
  <c r="G13" i="315"/>
  <c r="B7" i="315"/>
  <c r="G6" i="315"/>
  <c r="G150" i="315" s="1"/>
  <c r="B4" i="315"/>
  <c r="E3" i="315"/>
  <c r="B3" i="315"/>
  <c r="H1" i="315"/>
  <c r="F20" i="192"/>
  <c r="M263" i="247"/>
  <c r="M262" i="247"/>
  <c r="L262" i="247"/>
  <c r="M261" i="247"/>
  <c r="L261" i="247"/>
  <c r="M260" i="247"/>
  <c r="L260" i="247"/>
  <c r="M259" i="247"/>
  <c r="L259" i="247"/>
  <c r="M258" i="247"/>
  <c r="L258" i="247"/>
  <c r="M257" i="247"/>
  <c r="L257" i="247"/>
  <c r="M256" i="247"/>
  <c r="L256" i="247"/>
  <c r="M255" i="247"/>
  <c r="L255" i="247"/>
  <c r="M254" i="247"/>
  <c r="L254" i="247"/>
  <c r="M253" i="247"/>
  <c r="L253" i="247"/>
  <c r="M252" i="247"/>
  <c r="L252" i="247"/>
  <c r="M251" i="247"/>
  <c r="L251" i="247"/>
  <c r="M250" i="247"/>
  <c r="L250" i="247"/>
  <c r="M249" i="247"/>
  <c r="L249" i="247"/>
  <c r="M248" i="247"/>
  <c r="L248" i="247"/>
  <c r="M247" i="247"/>
  <c r="L247" i="247"/>
  <c r="M246" i="247"/>
  <c r="L246" i="247"/>
  <c r="M245" i="247"/>
  <c r="L245" i="247"/>
  <c r="M244" i="247"/>
  <c r="L244" i="247"/>
  <c r="M243" i="247"/>
  <c r="L243" i="247"/>
  <c r="M242" i="247"/>
  <c r="L242" i="247"/>
  <c r="M241" i="247"/>
  <c r="L241" i="247"/>
  <c r="M240" i="247"/>
  <c r="L240" i="247"/>
  <c r="M239" i="247"/>
  <c r="L239" i="247"/>
  <c r="M238" i="247"/>
  <c r="L238" i="247"/>
  <c r="M237" i="247"/>
  <c r="L237" i="247"/>
  <c r="M236" i="247"/>
  <c r="L236" i="247"/>
  <c r="M235" i="247"/>
  <c r="L235" i="247"/>
  <c r="M234" i="247"/>
  <c r="L234" i="247"/>
  <c r="M233" i="247"/>
  <c r="L233" i="247"/>
  <c r="M232" i="247"/>
  <c r="L232" i="247"/>
  <c r="M231" i="247"/>
  <c r="L231" i="247"/>
  <c r="M230" i="247"/>
  <c r="L230" i="247"/>
  <c r="M229" i="247"/>
  <c r="L229" i="247"/>
  <c r="M228" i="247"/>
  <c r="L228" i="247"/>
  <c r="M227" i="247"/>
  <c r="L227" i="247"/>
  <c r="M226" i="247"/>
  <c r="L226" i="247"/>
  <c r="M225" i="247"/>
  <c r="L225" i="247"/>
  <c r="M224" i="247"/>
  <c r="L224" i="247"/>
  <c r="M223" i="247"/>
  <c r="L223" i="247"/>
  <c r="M222" i="247"/>
  <c r="L222" i="247"/>
  <c r="M221" i="247"/>
  <c r="L221" i="247"/>
  <c r="M220" i="247"/>
  <c r="L220" i="247"/>
  <c r="M219" i="247"/>
  <c r="L219" i="247"/>
  <c r="M218" i="247"/>
  <c r="L218" i="247"/>
  <c r="M217" i="247"/>
  <c r="L217" i="247"/>
  <c r="M216" i="247"/>
  <c r="L216" i="247"/>
  <c r="M215" i="247"/>
  <c r="L215" i="247"/>
  <c r="M214" i="247"/>
  <c r="L214" i="247"/>
  <c r="M213" i="247"/>
  <c r="L213" i="247"/>
  <c r="M212" i="247"/>
  <c r="L212" i="247"/>
  <c r="M211" i="247"/>
  <c r="L211" i="247"/>
  <c r="M210" i="247"/>
  <c r="L210" i="247"/>
  <c r="M200" i="247"/>
  <c r="M199" i="247"/>
  <c r="L199" i="247"/>
  <c r="M198" i="247"/>
  <c r="L198" i="247"/>
  <c r="M197" i="247"/>
  <c r="L197" i="247"/>
  <c r="M196" i="247"/>
  <c r="L196" i="247"/>
  <c r="M195" i="247"/>
  <c r="L195" i="247"/>
  <c r="M194" i="247"/>
  <c r="L194" i="247"/>
  <c r="M193" i="247"/>
  <c r="L193" i="247"/>
  <c r="M192" i="247"/>
  <c r="L192" i="247"/>
  <c r="M191" i="247"/>
  <c r="L191" i="247"/>
  <c r="M190" i="247"/>
  <c r="L190" i="247"/>
  <c r="M189" i="247"/>
  <c r="L189" i="247"/>
  <c r="M188" i="247"/>
  <c r="L188" i="247"/>
  <c r="M187" i="247"/>
  <c r="L187" i="247"/>
  <c r="M186" i="247"/>
  <c r="L186" i="247"/>
  <c r="M185" i="247"/>
  <c r="L185" i="247"/>
  <c r="M184" i="247"/>
  <c r="L184" i="247"/>
  <c r="M183" i="247"/>
  <c r="L183" i="247"/>
  <c r="M182" i="247"/>
  <c r="L182" i="247"/>
  <c r="M181" i="247"/>
  <c r="L181" i="247"/>
  <c r="M180" i="247"/>
  <c r="L180" i="247"/>
  <c r="M179" i="247"/>
  <c r="L179" i="247"/>
  <c r="M178" i="247"/>
  <c r="L178" i="247"/>
  <c r="M177" i="247"/>
  <c r="L177" i="247"/>
  <c r="M176" i="247"/>
  <c r="L176" i="247"/>
  <c r="M175" i="247"/>
  <c r="L175" i="247"/>
  <c r="M174" i="247"/>
  <c r="L174" i="247"/>
  <c r="M173" i="247"/>
  <c r="L173" i="247"/>
  <c r="M172" i="247"/>
  <c r="L172" i="247"/>
  <c r="M171" i="247"/>
  <c r="L171" i="247"/>
  <c r="M170" i="247"/>
  <c r="L170" i="247"/>
  <c r="M169" i="247"/>
  <c r="L169" i="247"/>
  <c r="M168" i="247"/>
  <c r="L168" i="247"/>
  <c r="M167" i="247"/>
  <c r="L167" i="247"/>
  <c r="M166" i="247"/>
  <c r="L166" i="247"/>
  <c r="M165" i="247"/>
  <c r="L165" i="247"/>
  <c r="M164" i="247"/>
  <c r="L164" i="247"/>
  <c r="M163" i="247"/>
  <c r="L163" i="247"/>
  <c r="M162" i="247"/>
  <c r="L162" i="247"/>
  <c r="M161" i="247"/>
  <c r="L161" i="247"/>
  <c r="M160" i="247"/>
  <c r="L160" i="247"/>
  <c r="M159" i="247"/>
  <c r="L159" i="247"/>
  <c r="M158" i="247"/>
  <c r="L158" i="247"/>
  <c r="M157" i="247"/>
  <c r="L157" i="247"/>
  <c r="M156" i="247"/>
  <c r="L156" i="247"/>
  <c r="M155" i="247"/>
  <c r="L155" i="247"/>
  <c r="M154" i="247"/>
  <c r="L154" i="247"/>
  <c r="M153" i="247"/>
  <c r="L153" i="247"/>
  <c r="M152" i="247"/>
  <c r="L152" i="247"/>
  <c r="M151" i="247"/>
  <c r="L151" i="247"/>
  <c r="M150" i="247"/>
  <c r="L150" i="247"/>
  <c r="M149" i="247"/>
  <c r="L149" i="247"/>
  <c r="M148" i="247"/>
  <c r="L148" i="247"/>
  <c r="M147" i="247"/>
  <c r="L147" i="247"/>
  <c r="M146" i="247"/>
  <c r="L146" i="247"/>
  <c r="M145" i="247"/>
  <c r="L145" i="247"/>
  <c r="M144" i="247"/>
  <c r="L144" i="247"/>
  <c r="M143" i="247"/>
  <c r="L143" i="247"/>
  <c r="M142" i="247"/>
  <c r="L142" i="247"/>
  <c r="M141" i="247"/>
  <c r="L141" i="247"/>
  <c r="M131" i="247"/>
  <c r="M130" i="247"/>
  <c r="L130" i="247"/>
  <c r="M129" i="247"/>
  <c r="L129" i="247"/>
  <c r="M128" i="247"/>
  <c r="L128" i="247"/>
  <c r="M127" i="247"/>
  <c r="L127" i="247"/>
  <c r="M126" i="247"/>
  <c r="L126" i="247"/>
  <c r="M125" i="247"/>
  <c r="L125" i="247"/>
  <c r="M124" i="247"/>
  <c r="L124" i="247"/>
  <c r="M123" i="247"/>
  <c r="L123" i="247"/>
  <c r="M122" i="247"/>
  <c r="L122" i="247"/>
  <c r="M121" i="247"/>
  <c r="L121" i="247"/>
  <c r="M120" i="247"/>
  <c r="L120" i="247"/>
  <c r="M119" i="247"/>
  <c r="L119" i="247"/>
  <c r="M118" i="247"/>
  <c r="L118" i="247"/>
  <c r="M117" i="247"/>
  <c r="L117" i="247"/>
  <c r="M116" i="247"/>
  <c r="L116" i="247"/>
  <c r="M115" i="247"/>
  <c r="L115" i="247"/>
  <c r="M114" i="247"/>
  <c r="L114" i="247"/>
  <c r="M113" i="247"/>
  <c r="L113" i="247"/>
  <c r="M112" i="247"/>
  <c r="L112" i="247"/>
  <c r="M111" i="247"/>
  <c r="L111" i="247"/>
  <c r="M110" i="247"/>
  <c r="L110" i="247"/>
  <c r="M109" i="247"/>
  <c r="L109" i="247"/>
  <c r="M108" i="247"/>
  <c r="L108" i="247"/>
  <c r="M107" i="247"/>
  <c r="L107" i="247"/>
  <c r="M106" i="247"/>
  <c r="L106" i="247"/>
  <c r="M105" i="247"/>
  <c r="L105" i="247"/>
  <c r="M104" i="247"/>
  <c r="L104" i="247"/>
  <c r="M103" i="247"/>
  <c r="L103" i="247"/>
  <c r="M102" i="247"/>
  <c r="L102" i="247"/>
  <c r="M101" i="247"/>
  <c r="L101" i="247"/>
  <c r="M100" i="247"/>
  <c r="L100" i="247"/>
  <c r="M99" i="247"/>
  <c r="L99" i="247"/>
  <c r="M98" i="247"/>
  <c r="L98" i="247"/>
  <c r="M97" i="247"/>
  <c r="L97" i="247"/>
  <c r="M96" i="247"/>
  <c r="L96" i="247"/>
  <c r="M95" i="247"/>
  <c r="L95" i="247"/>
  <c r="M94" i="247"/>
  <c r="L94" i="247"/>
  <c r="M93" i="247"/>
  <c r="L93" i="247"/>
  <c r="M92" i="247"/>
  <c r="L92" i="247"/>
  <c r="M91" i="247"/>
  <c r="L91" i="247"/>
  <c r="M90" i="247"/>
  <c r="L90" i="247"/>
  <c r="M89" i="247"/>
  <c r="L89" i="247"/>
  <c r="M88" i="247"/>
  <c r="L88" i="247"/>
  <c r="M87" i="247"/>
  <c r="L87" i="247"/>
  <c r="M86" i="247"/>
  <c r="L86" i="247"/>
  <c r="M85" i="247"/>
  <c r="L85" i="247"/>
  <c r="M84" i="247"/>
  <c r="L84" i="247"/>
  <c r="M83" i="247"/>
  <c r="L83" i="247"/>
  <c r="M82" i="247"/>
  <c r="L82" i="247"/>
  <c r="M81" i="247"/>
  <c r="L81" i="247"/>
  <c r="M80" i="247"/>
  <c r="L80" i="247"/>
  <c r="M79" i="247"/>
  <c r="L79" i="247"/>
  <c r="M69" i="247"/>
  <c r="M11" i="247"/>
  <c r="L11" i="247"/>
  <c r="H174" i="247"/>
  <c r="H173" i="247"/>
  <c r="H172" i="247"/>
  <c r="H171" i="247"/>
  <c r="H170" i="247"/>
  <c r="H169" i="247"/>
  <c r="H168" i="247"/>
  <c r="H167" i="247"/>
  <c r="H166" i="247"/>
  <c r="H165" i="247"/>
  <c r="H164" i="247"/>
  <c r="H163" i="247"/>
  <c r="H162" i="247"/>
  <c r="H161" i="247"/>
  <c r="M77" i="171"/>
  <c r="M73" i="171"/>
  <c r="M76" i="171"/>
  <c r="L76" i="171"/>
  <c r="M75" i="171"/>
  <c r="L75" i="171"/>
  <c r="M74" i="171"/>
  <c r="L74" i="171"/>
  <c r="L73" i="171"/>
  <c r="M72" i="171"/>
  <c r="L72" i="171"/>
  <c r="M71" i="171"/>
  <c r="L71" i="171"/>
  <c r="M70" i="171"/>
  <c r="L70" i="171"/>
  <c r="M69" i="171"/>
  <c r="L69" i="171"/>
  <c r="M68" i="171"/>
  <c r="L68" i="171"/>
  <c r="M67" i="171"/>
  <c r="L67" i="171"/>
  <c r="M66" i="171"/>
  <c r="L66" i="171"/>
  <c r="M65" i="171"/>
  <c r="L65" i="171"/>
  <c r="M64" i="171"/>
  <c r="L64" i="171"/>
  <c r="M63" i="171"/>
  <c r="L63" i="171"/>
  <c r="M62" i="171"/>
  <c r="L62" i="171"/>
  <c r="M61" i="171"/>
  <c r="L61" i="171"/>
  <c r="M60" i="171"/>
  <c r="L60" i="171"/>
  <c r="M59" i="171"/>
  <c r="L59" i="171"/>
  <c r="M58" i="171"/>
  <c r="L58" i="171"/>
  <c r="M57" i="171"/>
  <c r="L57" i="171"/>
  <c r="M56" i="171"/>
  <c r="L56" i="171"/>
  <c r="M55" i="171"/>
  <c r="L55" i="171"/>
  <c r="M54" i="171"/>
  <c r="L54" i="171"/>
  <c r="M53" i="171"/>
  <c r="L53" i="171"/>
  <c r="M52" i="171"/>
  <c r="L52" i="171"/>
  <c r="M51" i="171"/>
  <c r="L51" i="171"/>
  <c r="M50" i="171"/>
  <c r="L50" i="171"/>
  <c r="M49" i="171"/>
  <c r="L49" i="171"/>
  <c r="M48" i="171"/>
  <c r="L48" i="171"/>
  <c r="M47" i="171"/>
  <c r="L47" i="171"/>
  <c r="M46" i="171"/>
  <c r="L46" i="171"/>
  <c r="M45" i="171"/>
  <c r="L45" i="171"/>
  <c r="M44" i="171"/>
  <c r="L44" i="171"/>
  <c r="M43" i="171"/>
  <c r="L43" i="171"/>
  <c r="M42" i="171"/>
  <c r="L42" i="171"/>
  <c r="M41" i="171"/>
  <c r="L41" i="171"/>
  <c r="M40" i="171"/>
  <c r="L40" i="171"/>
  <c r="M39" i="171"/>
  <c r="L39" i="171"/>
  <c r="M38" i="171"/>
  <c r="L38" i="171"/>
  <c r="M37" i="171"/>
  <c r="L37" i="171"/>
  <c r="M36" i="171"/>
  <c r="L36" i="171"/>
  <c r="M35" i="171"/>
  <c r="L35" i="171"/>
  <c r="M34" i="171"/>
  <c r="L34" i="171"/>
  <c r="M33" i="171"/>
  <c r="L33" i="171"/>
  <c r="M32" i="171"/>
  <c r="L32" i="171"/>
  <c r="M31" i="171"/>
  <c r="L31" i="171"/>
  <c r="M30" i="171"/>
  <c r="L30" i="171"/>
  <c r="M29" i="171"/>
  <c r="L29" i="171"/>
  <c r="M28" i="171"/>
  <c r="L28" i="171"/>
  <c r="M27" i="171"/>
  <c r="L27" i="171"/>
  <c r="M26" i="171"/>
  <c r="L26" i="171"/>
  <c r="M25" i="171"/>
  <c r="L25" i="171"/>
  <c r="L24" i="171"/>
  <c r="M23" i="171"/>
  <c r="L23" i="171"/>
  <c r="M22" i="171"/>
  <c r="L22" i="171"/>
  <c r="M21" i="171"/>
  <c r="L21" i="171"/>
  <c r="M20" i="171"/>
  <c r="L20" i="171"/>
  <c r="M19" i="171"/>
  <c r="L19" i="171"/>
  <c r="M18" i="171"/>
  <c r="L18" i="171"/>
  <c r="M17" i="171"/>
  <c r="L17" i="171"/>
  <c r="M16" i="171"/>
  <c r="L16" i="171"/>
  <c r="M15" i="171"/>
  <c r="L15" i="171"/>
  <c r="M14" i="171"/>
  <c r="L14" i="171"/>
  <c r="M13" i="171"/>
  <c r="L13" i="171"/>
  <c r="M12" i="171"/>
  <c r="L12" i="171"/>
  <c r="M11" i="171"/>
  <c r="L11" i="171"/>
  <c r="M146" i="169"/>
  <c r="M145" i="169"/>
  <c r="L145" i="169"/>
  <c r="M144" i="169"/>
  <c r="L144" i="169"/>
  <c r="M143" i="169"/>
  <c r="L143" i="169"/>
  <c r="M142" i="169"/>
  <c r="L142" i="169"/>
  <c r="M141" i="169"/>
  <c r="L141" i="169"/>
  <c r="M140" i="169"/>
  <c r="L140" i="169"/>
  <c r="M139" i="169"/>
  <c r="L139" i="169"/>
  <c r="M138" i="169"/>
  <c r="L138" i="169"/>
  <c r="M137" i="169"/>
  <c r="L137" i="169"/>
  <c r="M136" i="169"/>
  <c r="L136" i="169"/>
  <c r="M135" i="169"/>
  <c r="L135" i="169"/>
  <c r="M134" i="169"/>
  <c r="L134" i="169"/>
  <c r="M133" i="169"/>
  <c r="L133" i="169"/>
  <c r="M132" i="169"/>
  <c r="L132" i="169"/>
  <c r="M131" i="169"/>
  <c r="L131" i="169"/>
  <c r="M130" i="169"/>
  <c r="L130" i="169"/>
  <c r="M129" i="169"/>
  <c r="L129" i="169"/>
  <c r="M128" i="169"/>
  <c r="L128" i="169"/>
  <c r="M127" i="169"/>
  <c r="L127" i="169"/>
  <c r="M126" i="169"/>
  <c r="L126" i="169"/>
  <c r="M125" i="169"/>
  <c r="L125" i="169"/>
  <c r="M124" i="169"/>
  <c r="L124" i="169"/>
  <c r="M123" i="169"/>
  <c r="L123" i="169"/>
  <c r="M122" i="169"/>
  <c r="L122" i="169"/>
  <c r="M121" i="169"/>
  <c r="L121" i="169"/>
  <c r="M120" i="169"/>
  <c r="L120" i="169"/>
  <c r="M119" i="169"/>
  <c r="L119" i="169"/>
  <c r="M118" i="169"/>
  <c r="L118" i="169"/>
  <c r="M117" i="169"/>
  <c r="L117" i="169"/>
  <c r="M116" i="169"/>
  <c r="L116" i="169"/>
  <c r="M115" i="169"/>
  <c r="L115" i="169"/>
  <c r="M114" i="169"/>
  <c r="L114" i="169"/>
  <c r="M113" i="169"/>
  <c r="L113" i="169"/>
  <c r="M112" i="169"/>
  <c r="L112" i="169"/>
  <c r="M111" i="169"/>
  <c r="L111" i="169"/>
  <c r="M110" i="169"/>
  <c r="L110" i="169"/>
  <c r="M109" i="169"/>
  <c r="L109" i="169"/>
  <c r="M108" i="169"/>
  <c r="L108" i="169"/>
  <c r="M107" i="169"/>
  <c r="L107" i="169"/>
  <c r="M106" i="169"/>
  <c r="L106" i="169"/>
  <c r="M105" i="169"/>
  <c r="L105" i="169"/>
  <c r="M104" i="169"/>
  <c r="L104" i="169"/>
  <c r="M103" i="169"/>
  <c r="L103" i="169"/>
  <c r="M102" i="169"/>
  <c r="L102" i="169"/>
  <c r="M101" i="169"/>
  <c r="L101" i="169"/>
  <c r="M100" i="169"/>
  <c r="L100" i="169"/>
  <c r="M99" i="169"/>
  <c r="L99" i="169"/>
  <c r="M98" i="169"/>
  <c r="L98" i="169"/>
  <c r="M97" i="169"/>
  <c r="L97" i="169"/>
  <c r="M96" i="169"/>
  <c r="L96" i="169"/>
  <c r="M95" i="169"/>
  <c r="L95" i="169"/>
  <c r="M94" i="169"/>
  <c r="L94" i="169"/>
  <c r="M93" i="169"/>
  <c r="L93" i="169"/>
  <c r="M92" i="169"/>
  <c r="L92" i="169"/>
  <c r="M91" i="169"/>
  <c r="L91" i="169"/>
  <c r="M90" i="169"/>
  <c r="L90" i="169"/>
  <c r="M89" i="169"/>
  <c r="L89" i="169"/>
  <c r="M88" i="169"/>
  <c r="L88" i="169"/>
  <c r="M87" i="169"/>
  <c r="L87" i="169"/>
  <c r="L86" i="169"/>
  <c r="M86" i="169"/>
  <c r="M76" i="169"/>
  <c r="M35" i="169"/>
  <c r="L35" i="169"/>
  <c r="M33" i="169"/>
  <c r="L33" i="169"/>
  <c r="M32" i="169"/>
  <c r="L32" i="169"/>
  <c r="M31" i="169"/>
  <c r="L31" i="169"/>
  <c r="M30" i="169"/>
  <c r="L30" i="169"/>
  <c r="M21" i="169"/>
  <c r="L21" i="169"/>
  <c r="M19" i="169"/>
  <c r="L19" i="169"/>
  <c r="M17" i="169"/>
  <c r="L17" i="169"/>
  <c r="M16" i="169"/>
  <c r="L16" i="169"/>
  <c r="M15" i="169"/>
  <c r="L15" i="169"/>
  <c r="M14" i="169"/>
  <c r="L14" i="169"/>
  <c r="M13" i="169"/>
  <c r="L13" i="169"/>
  <c r="M12" i="169"/>
  <c r="L12" i="169"/>
  <c r="M11" i="169"/>
  <c r="L11" i="169"/>
  <c r="H20" i="192" l="1"/>
  <c r="H58" i="250"/>
  <c r="H52" i="250"/>
  <c r="L36" i="168"/>
  <c r="H38" i="250"/>
  <c r="G81" i="315"/>
  <c r="G81" i="316"/>
  <c r="H40" i="250"/>
  <c r="L75" i="198"/>
  <c r="L1" i="198" s="1"/>
  <c r="K81" i="316"/>
  <c r="K1" i="316" s="1"/>
  <c r="K81" i="315"/>
  <c r="K1" i="315" s="1"/>
  <c r="L73" i="200"/>
  <c r="L1" i="200" s="1"/>
  <c r="L73" i="199"/>
  <c r="G85" i="316"/>
  <c r="G85" i="315"/>
  <c r="L77" i="171"/>
  <c r="L1" i="171" s="1"/>
  <c r="K26" i="278"/>
  <c r="K24" i="278"/>
  <c r="K17" i="278"/>
  <c r="G90" i="315" l="1"/>
  <c r="G146" i="315" s="1"/>
  <c r="G155" i="315" s="1"/>
  <c r="G215" i="315" s="1"/>
  <c r="G90" i="316"/>
  <c r="G146" i="316" s="1"/>
  <c r="G155" i="316" s="1"/>
  <c r="G215" i="316" s="1"/>
  <c r="G1" i="315"/>
  <c r="C146" i="315" s="1"/>
  <c r="M36" i="168"/>
  <c r="M246" i="168"/>
  <c r="M245" i="168"/>
  <c r="L245" i="168"/>
  <c r="M244" i="168"/>
  <c r="L244" i="168"/>
  <c r="M243" i="168"/>
  <c r="L243" i="168"/>
  <c r="M242" i="168"/>
  <c r="L242" i="168"/>
  <c r="M241" i="168"/>
  <c r="L241" i="168"/>
  <c r="M240" i="168"/>
  <c r="L240" i="168"/>
  <c r="M239" i="168"/>
  <c r="L239" i="168"/>
  <c r="M238" i="168"/>
  <c r="L238" i="168"/>
  <c r="M237" i="168"/>
  <c r="L237" i="168"/>
  <c r="M236" i="168"/>
  <c r="L236" i="168"/>
  <c r="M235" i="168"/>
  <c r="L235" i="168"/>
  <c r="M234" i="168"/>
  <c r="L234" i="168"/>
  <c r="M233" i="168"/>
  <c r="L233" i="168"/>
  <c r="M232" i="168"/>
  <c r="L232" i="168"/>
  <c r="M231" i="168"/>
  <c r="L231" i="168"/>
  <c r="M230" i="168"/>
  <c r="L230" i="168"/>
  <c r="M229" i="168"/>
  <c r="L229" i="168"/>
  <c r="M228" i="168"/>
  <c r="L228" i="168"/>
  <c r="M227" i="168"/>
  <c r="L227" i="168"/>
  <c r="M226" i="168"/>
  <c r="L226" i="168"/>
  <c r="M225" i="168"/>
  <c r="L225" i="168"/>
  <c r="M224" i="168"/>
  <c r="L224" i="168"/>
  <c r="M223" i="168"/>
  <c r="L223" i="168"/>
  <c r="M222" i="168"/>
  <c r="L222" i="168"/>
  <c r="M221" i="168"/>
  <c r="L221" i="168"/>
  <c r="M220" i="168"/>
  <c r="L220" i="168"/>
  <c r="M219" i="168"/>
  <c r="L219" i="168"/>
  <c r="M218" i="168"/>
  <c r="L218" i="168"/>
  <c r="M217" i="168"/>
  <c r="L217" i="168"/>
  <c r="M216" i="168"/>
  <c r="L216" i="168"/>
  <c r="M215" i="168"/>
  <c r="L215" i="168"/>
  <c r="M214" i="168"/>
  <c r="L214" i="168"/>
  <c r="M213" i="168"/>
  <c r="L213" i="168"/>
  <c r="M212" i="168"/>
  <c r="L212" i="168"/>
  <c r="M211" i="168"/>
  <c r="L211" i="168"/>
  <c r="M210" i="168"/>
  <c r="L210" i="168"/>
  <c r="M209" i="168"/>
  <c r="L209" i="168"/>
  <c r="M208" i="168"/>
  <c r="L208" i="168"/>
  <c r="M207" i="168"/>
  <c r="L207" i="168"/>
  <c r="M206" i="168"/>
  <c r="L206" i="168"/>
  <c r="M205" i="168"/>
  <c r="L205" i="168"/>
  <c r="M204" i="168"/>
  <c r="L204" i="168"/>
  <c r="M203" i="168"/>
  <c r="L203" i="168"/>
  <c r="M202" i="168"/>
  <c r="L202" i="168"/>
  <c r="M201" i="168"/>
  <c r="L201" i="168"/>
  <c r="M200" i="168"/>
  <c r="L200" i="168"/>
  <c r="M199" i="168"/>
  <c r="L199" i="168"/>
  <c r="M198" i="168"/>
  <c r="L198" i="168"/>
  <c r="M197" i="168"/>
  <c r="L197" i="168"/>
  <c r="M196" i="168"/>
  <c r="L196" i="168"/>
  <c r="M186" i="168"/>
  <c r="M185" i="168"/>
  <c r="L185" i="168"/>
  <c r="M184" i="168"/>
  <c r="L184" i="168"/>
  <c r="M183" i="168"/>
  <c r="L183" i="168"/>
  <c r="M182" i="168"/>
  <c r="L182" i="168"/>
  <c r="M181" i="168"/>
  <c r="L181" i="168"/>
  <c r="M180" i="168"/>
  <c r="L180" i="168"/>
  <c r="M179" i="168"/>
  <c r="L179" i="168"/>
  <c r="M178" i="168"/>
  <c r="L178" i="168"/>
  <c r="M177" i="168"/>
  <c r="L177" i="168"/>
  <c r="M176" i="168"/>
  <c r="L176" i="168"/>
  <c r="M175" i="168"/>
  <c r="L175" i="168"/>
  <c r="M174" i="168"/>
  <c r="L174" i="168"/>
  <c r="M173" i="168"/>
  <c r="L173" i="168"/>
  <c r="M172" i="168"/>
  <c r="L172" i="168"/>
  <c r="M171" i="168"/>
  <c r="L171" i="168"/>
  <c r="M170" i="168"/>
  <c r="L170" i="168"/>
  <c r="M169" i="168"/>
  <c r="L169" i="168"/>
  <c r="M168" i="168"/>
  <c r="L168" i="168"/>
  <c r="M167" i="168"/>
  <c r="L167" i="168"/>
  <c r="M166" i="168"/>
  <c r="L166" i="168"/>
  <c r="M165" i="168"/>
  <c r="L165" i="168"/>
  <c r="M164" i="168"/>
  <c r="L164" i="168"/>
  <c r="M163" i="168"/>
  <c r="L163" i="168"/>
  <c r="M162" i="168"/>
  <c r="L162" i="168"/>
  <c r="M161" i="168"/>
  <c r="L161" i="168"/>
  <c r="M160" i="168"/>
  <c r="L160" i="168"/>
  <c r="M159" i="168"/>
  <c r="L159" i="168"/>
  <c r="M158" i="168"/>
  <c r="L158" i="168"/>
  <c r="M157" i="168"/>
  <c r="L157" i="168"/>
  <c r="M156" i="168"/>
  <c r="L156" i="168"/>
  <c r="M155" i="168"/>
  <c r="L155" i="168"/>
  <c r="M154" i="168"/>
  <c r="L154" i="168"/>
  <c r="M153" i="168"/>
  <c r="L153" i="168"/>
  <c r="M152" i="168"/>
  <c r="L152" i="168"/>
  <c r="M151" i="168"/>
  <c r="L151" i="168"/>
  <c r="M150" i="168"/>
  <c r="L150" i="168"/>
  <c r="M149" i="168"/>
  <c r="L149" i="168"/>
  <c r="M148" i="168"/>
  <c r="L148" i="168"/>
  <c r="M147" i="168"/>
  <c r="L147" i="168"/>
  <c r="M146" i="168"/>
  <c r="L146" i="168"/>
  <c r="M145" i="168"/>
  <c r="L145" i="168"/>
  <c r="M144" i="168"/>
  <c r="L144" i="168"/>
  <c r="M143" i="168"/>
  <c r="L143" i="168"/>
  <c r="M142" i="168"/>
  <c r="L142" i="168"/>
  <c r="M141" i="168"/>
  <c r="L141" i="168"/>
  <c r="M140" i="168"/>
  <c r="L140" i="168"/>
  <c r="M139" i="168"/>
  <c r="L139" i="168"/>
  <c r="M138" i="168"/>
  <c r="L138" i="168"/>
  <c r="M137" i="168"/>
  <c r="L137" i="168"/>
  <c r="M136" i="168"/>
  <c r="L136" i="168"/>
  <c r="M135" i="168"/>
  <c r="L135" i="168"/>
  <c r="M134" i="168"/>
  <c r="L134" i="168"/>
  <c r="M124" i="168"/>
  <c r="M123" i="168"/>
  <c r="L123" i="168"/>
  <c r="M122" i="168"/>
  <c r="L122" i="168"/>
  <c r="M121" i="168"/>
  <c r="L121" i="168"/>
  <c r="M120" i="168"/>
  <c r="L120" i="168"/>
  <c r="M119" i="168"/>
  <c r="L119" i="168"/>
  <c r="M118" i="168"/>
  <c r="L118" i="168"/>
  <c r="M117" i="168"/>
  <c r="L117" i="168"/>
  <c r="M116" i="168"/>
  <c r="L116" i="168"/>
  <c r="M115" i="168"/>
  <c r="L115" i="168"/>
  <c r="M114" i="168"/>
  <c r="L114" i="168"/>
  <c r="M113" i="168"/>
  <c r="L113" i="168"/>
  <c r="M112" i="168"/>
  <c r="L112" i="168"/>
  <c r="M111" i="168"/>
  <c r="L111" i="168"/>
  <c r="M110" i="168"/>
  <c r="L110" i="168"/>
  <c r="M109" i="168"/>
  <c r="L109" i="168"/>
  <c r="M108" i="168"/>
  <c r="L108" i="168"/>
  <c r="M107" i="168"/>
  <c r="L107" i="168"/>
  <c r="M106" i="168"/>
  <c r="L106" i="168"/>
  <c r="M105" i="168"/>
  <c r="L105" i="168"/>
  <c r="M104" i="168"/>
  <c r="L104" i="168"/>
  <c r="M103" i="168"/>
  <c r="L103" i="168"/>
  <c r="M102" i="168"/>
  <c r="L102" i="168"/>
  <c r="M101" i="168"/>
  <c r="L101" i="168"/>
  <c r="M100" i="168"/>
  <c r="L100" i="168"/>
  <c r="M99" i="168"/>
  <c r="L99" i="168"/>
  <c r="M98" i="168"/>
  <c r="L98" i="168"/>
  <c r="M97" i="168"/>
  <c r="L97" i="168"/>
  <c r="M96" i="168"/>
  <c r="L96" i="168"/>
  <c r="M95" i="168"/>
  <c r="L95" i="168"/>
  <c r="M94" i="168"/>
  <c r="L94" i="168"/>
  <c r="M93" i="168"/>
  <c r="L93" i="168"/>
  <c r="M92" i="168"/>
  <c r="L92" i="168"/>
  <c r="M91" i="168"/>
  <c r="L91" i="168"/>
  <c r="M90" i="168"/>
  <c r="L90" i="168"/>
  <c r="M89" i="168"/>
  <c r="L89" i="168"/>
  <c r="M88" i="168"/>
  <c r="L88" i="168"/>
  <c r="M87" i="168"/>
  <c r="L87" i="168"/>
  <c r="M86" i="168"/>
  <c r="L86" i="168"/>
  <c r="M85" i="168"/>
  <c r="L85" i="168"/>
  <c r="M84" i="168"/>
  <c r="L84" i="168"/>
  <c r="M83" i="168"/>
  <c r="L83" i="168"/>
  <c r="M82" i="168"/>
  <c r="L82" i="168"/>
  <c r="M81" i="168"/>
  <c r="L81" i="168"/>
  <c r="M80" i="168"/>
  <c r="L80" i="168"/>
  <c r="M79" i="168"/>
  <c r="L79" i="168"/>
  <c r="M11" i="168"/>
  <c r="L11" i="168"/>
  <c r="M144" i="167"/>
  <c r="M143" i="167"/>
  <c r="L143" i="167"/>
  <c r="M142" i="167"/>
  <c r="L142" i="167"/>
  <c r="M141" i="167"/>
  <c r="L141" i="167"/>
  <c r="M140" i="167"/>
  <c r="L140" i="167"/>
  <c r="M139" i="167"/>
  <c r="L139" i="167"/>
  <c r="M138" i="167"/>
  <c r="L138" i="167"/>
  <c r="M137" i="167"/>
  <c r="L137" i="167"/>
  <c r="M136" i="167"/>
  <c r="L136" i="167"/>
  <c r="M135" i="167"/>
  <c r="L135" i="167"/>
  <c r="M134" i="167"/>
  <c r="L134" i="167"/>
  <c r="M133" i="167"/>
  <c r="L133" i="167"/>
  <c r="M132" i="167"/>
  <c r="L132" i="167"/>
  <c r="M131" i="167"/>
  <c r="L131" i="167"/>
  <c r="M130" i="167"/>
  <c r="L130" i="167"/>
  <c r="M129" i="167"/>
  <c r="L129" i="167"/>
  <c r="M128" i="167"/>
  <c r="L128" i="167"/>
  <c r="M127" i="167"/>
  <c r="L127" i="167"/>
  <c r="M126" i="167"/>
  <c r="L126" i="167"/>
  <c r="M125" i="167"/>
  <c r="L125" i="167"/>
  <c r="M124" i="167"/>
  <c r="L124" i="167"/>
  <c r="M123" i="167"/>
  <c r="L123" i="167"/>
  <c r="M122" i="167"/>
  <c r="L122" i="167"/>
  <c r="M121" i="167"/>
  <c r="L121" i="167"/>
  <c r="M120" i="167"/>
  <c r="L120" i="167"/>
  <c r="M119" i="167"/>
  <c r="L119" i="167"/>
  <c r="M118" i="167"/>
  <c r="L118" i="167"/>
  <c r="M117" i="167"/>
  <c r="L117" i="167"/>
  <c r="M116" i="167"/>
  <c r="L116" i="167"/>
  <c r="M115" i="167"/>
  <c r="L115" i="167"/>
  <c r="M114" i="167"/>
  <c r="L114" i="167"/>
  <c r="M113" i="167"/>
  <c r="L113" i="167"/>
  <c r="M112" i="167"/>
  <c r="L112" i="167"/>
  <c r="M111" i="167"/>
  <c r="L111" i="167"/>
  <c r="M110" i="167"/>
  <c r="L110" i="167"/>
  <c r="M109" i="167"/>
  <c r="L109" i="167"/>
  <c r="M108" i="167"/>
  <c r="L108" i="167"/>
  <c r="M107" i="167"/>
  <c r="L107" i="167"/>
  <c r="M106" i="167"/>
  <c r="L106" i="167"/>
  <c r="M105" i="167"/>
  <c r="L105" i="167"/>
  <c r="M104" i="167"/>
  <c r="L104" i="167"/>
  <c r="M103" i="167"/>
  <c r="L103" i="167"/>
  <c r="M102" i="167"/>
  <c r="L102" i="167"/>
  <c r="M101" i="167"/>
  <c r="L101" i="167"/>
  <c r="M100" i="167"/>
  <c r="L100" i="167"/>
  <c r="M99" i="167"/>
  <c r="L99" i="167"/>
  <c r="M98" i="167"/>
  <c r="L98" i="167"/>
  <c r="M97" i="167"/>
  <c r="L97" i="167"/>
  <c r="M96" i="167"/>
  <c r="L96" i="167"/>
  <c r="M95" i="167"/>
  <c r="L95" i="167"/>
  <c r="M94" i="167"/>
  <c r="L94" i="167"/>
  <c r="M93" i="167"/>
  <c r="L93" i="167"/>
  <c r="M92" i="167"/>
  <c r="L92" i="167"/>
  <c r="M91" i="167"/>
  <c r="L91" i="167"/>
  <c r="M90" i="167"/>
  <c r="L90" i="167"/>
  <c r="M89" i="167"/>
  <c r="L89" i="167"/>
  <c r="M88" i="167"/>
  <c r="L88" i="167"/>
  <c r="M87" i="167"/>
  <c r="L87" i="167"/>
  <c r="M86" i="167"/>
  <c r="L86" i="167"/>
  <c r="M85" i="167"/>
  <c r="L85" i="167"/>
  <c r="M84" i="167"/>
  <c r="L84" i="167"/>
  <c r="M83" i="167"/>
  <c r="L83" i="167"/>
  <c r="M82" i="167"/>
  <c r="L82" i="167"/>
  <c r="M11" i="167"/>
  <c r="L11" i="167"/>
  <c r="M305" i="166"/>
  <c r="M304" i="166"/>
  <c r="L304" i="166"/>
  <c r="M303" i="166"/>
  <c r="L303" i="166"/>
  <c r="M302" i="166"/>
  <c r="L302" i="166"/>
  <c r="M301" i="166"/>
  <c r="L301" i="166"/>
  <c r="M300" i="166"/>
  <c r="L300" i="166"/>
  <c r="M299" i="166"/>
  <c r="L299" i="166"/>
  <c r="M298" i="166"/>
  <c r="L298" i="166"/>
  <c r="M297" i="166"/>
  <c r="L297" i="166"/>
  <c r="M296" i="166"/>
  <c r="L296" i="166"/>
  <c r="M295" i="166"/>
  <c r="L295" i="166"/>
  <c r="M294" i="166"/>
  <c r="L294" i="166"/>
  <c r="M293" i="166"/>
  <c r="L293" i="166"/>
  <c r="M292" i="166"/>
  <c r="L292" i="166"/>
  <c r="M291" i="166"/>
  <c r="L291" i="166"/>
  <c r="M290" i="166"/>
  <c r="L290" i="166"/>
  <c r="M289" i="166"/>
  <c r="L289" i="166"/>
  <c r="M288" i="166"/>
  <c r="L288" i="166"/>
  <c r="M287" i="166"/>
  <c r="L287" i="166"/>
  <c r="M286" i="166"/>
  <c r="L286" i="166"/>
  <c r="M285" i="166"/>
  <c r="L285" i="166"/>
  <c r="M284" i="166"/>
  <c r="L284" i="166"/>
  <c r="M283" i="166"/>
  <c r="L283" i="166"/>
  <c r="M282" i="166"/>
  <c r="L282" i="166"/>
  <c r="M281" i="166"/>
  <c r="L281" i="166"/>
  <c r="M280" i="166"/>
  <c r="L280" i="166"/>
  <c r="M279" i="166"/>
  <c r="L279" i="166"/>
  <c r="M278" i="166"/>
  <c r="L278" i="166"/>
  <c r="M277" i="166"/>
  <c r="L277" i="166"/>
  <c r="M276" i="166"/>
  <c r="L276" i="166"/>
  <c r="M275" i="166"/>
  <c r="L275" i="166"/>
  <c r="M274" i="166"/>
  <c r="L274" i="166"/>
  <c r="M273" i="166"/>
  <c r="L273" i="166"/>
  <c r="M272" i="166"/>
  <c r="L272" i="166"/>
  <c r="M271" i="166"/>
  <c r="L271" i="166"/>
  <c r="M270" i="166"/>
  <c r="L270" i="166"/>
  <c r="M269" i="166"/>
  <c r="L269" i="166"/>
  <c r="M268" i="166"/>
  <c r="L268" i="166"/>
  <c r="M267" i="166"/>
  <c r="L267" i="166"/>
  <c r="M266" i="166"/>
  <c r="L266" i="166"/>
  <c r="M265" i="166"/>
  <c r="L265" i="166"/>
  <c r="M264" i="166"/>
  <c r="L264" i="166"/>
  <c r="M263" i="166"/>
  <c r="L263" i="166"/>
  <c r="M262" i="166"/>
  <c r="L262" i="166"/>
  <c r="M261" i="166"/>
  <c r="L261" i="166"/>
  <c r="M260" i="166"/>
  <c r="L260" i="166"/>
  <c r="M259" i="166"/>
  <c r="L259" i="166"/>
  <c r="M258" i="166"/>
  <c r="L258" i="166"/>
  <c r="M257" i="166"/>
  <c r="L257" i="166"/>
  <c r="M256" i="166"/>
  <c r="L256" i="166"/>
  <c r="M255" i="166"/>
  <c r="L255" i="166"/>
  <c r="M254" i="166"/>
  <c r="L254" i="166"/>
  <c r="M253" i="166"/>
  <c r="L253" i="166"/>
  <c r="M252" i="166"/>
  <c r="L252" i="166"/>
  <c r="M251" i="166"/>
  <c r="L251" i="166"/>
  <c r="M250" i="166"/>
  <c r="L250" i="166"/>
  <c r="M249" i="166"/>
  <c r="L249" i="166"/>
  <c r="M248" i="166"/>
  <c r="L248" i="166"/>
  <c r="M247" i="166"/>
  <c r="L247" i="166"/>
  <c r="M246" i="166"/>
  <c r="L246" i="166"/>
  <c r="M245" i="166"/>
  <c r="L245" i="166"/>
  <c r="M244" i="166"/>
  <c r="L244" i="166"/>
  <c r="M243" i="166"/>
  <c r="L243" i="166"/>
  <c r="M242" i="166"/>
  <c r="L242" i="166"/>
  <c r="M241" i="166"/>
  <c r="L241" i="166"/>
  <c r="M240" i="166"/>
  <c r="L240" i="166"/>
  <c r="M239" i="166"/>
  <c r="L239" i="166"/>
  <c r="M238" i="166"/>
  <c r="M229" i="166"/>
  <c r="M228" i="166"/>
  <c r="L228" i="166"/>
  <c r="M227" i="166"/>
  <c r="L227" i="166"/>
  <c r="M226" i="166"/>
  <c r="L226" i="166"/>
  <c r="M225" i="166"/>
  <c r="L225" i="166"/>
  <c r="M224" i="166"/>
  <c r="L224" i="166"/>
  <c r="M223" i="166"/>
  <c r="L223" i="166"/>
  <c r="M222" i="166"/>
  <c r="L222" i="166"/>
  <c r="M212" i="166"/>
  <c r="L212" i="166"/>
  <c r="M211" i="166"/>
  <c r="L211" i="166"/>
  <c r="M210" i="166"/>
  <c r="L210" i="166"/>
  <c r="M209" i="166"/>
  <c r="L209" i="166"/>
  <c r="M208" i="166"/>
  <c r="L208" i="166"/>
  <c r="M207" i="166"/>
  <c r="L207" i="166"/>
  <c r="M206" i="166"/>
  <c r="L206" i="166"/>
  <c r="M205" i="166"/>
  <c r="L205" i="166"/>
  <c r="M204" i="166"/>
  <c r="L204" i="166"/>
  <c r="M203" i="166"/>
  <c r="L203" i="166"/>
  <c r="M202" i="166"/>
  <c r="L202" i="166"/>
  <c r="M201" i="166"/>
  <c r="L201" i="166"/>
  <c r="M200" i="166"/>
  <c r="L200" i="166"/>
  <c r="M199" i="166"/>
  <c r="L199" i="166"/>
  <c r="M198" i="166"/>
  <c r="L198" i="166"/>
  <c r="M197" i="166"/>
  <c r="L197" i="166"/>
  <c r="M196" i="166"/>
  <c r="L196" i="166"/>
  <c r="M195" i="166"/>
  <c r="L195" i="166"/>
  <c r="M194" i="166"/>
  <c r="L194" i="166"/>
  <c r="M193" i="166"/>
  <c r="L193" i="166"/>
  <c r="M192" i="166"/>
  <c r="L192" i="166"/>
  <c r="M191" i="166"/>
  <c r="L191" i="166"/>
  <c r="M190" i="166"/>
  <c r="L190" i="166"/>
  <c r="M189" i="166"/>
  <c r="L189" i="166"/>
  <c r="M188" i="166"/>
  <c r="L188" i="166"/>
  <c r="M187" i="166"/>
  <c r="L187" i="166"/>
  <c r="M186" i="166"/>
  <c r="L186" i="166"/>
  <c r="M185" i="166"/>
  <c r="L185" i="166"/>
  <c r="M184" i="166"/>
  <c r="L184" i="166"/>
  <c r="M183" i="166"/>
  <c r="L183" i="166"/>
  <c r="M182" i="166"/>
  <c r="L182" i="166"/>
  <c r="M181" i="166"/>
  <c r="L181" i="166"/>
  <c r="M180" i="166"/>
  <c r="L180" i="166"/>
  <c r="M179" i="166"/>
  <c r="L179" i="166"/>
  <c r="M178" i="166"/>
  <c r="L178" i="166"/>
  <c r="M177" i="166"/>
  <c r="L177" i="166"/>
  <c r="M176" i="166"/>
  <c r="L176" i="166"/>
  <c r="M175" i="166"/>
  <c r="L175" i="166"/>
  <c r="M174" i="166"/>
  <c r="L174" i="166"/>
  <c r="M173" i="166"/>
  <c r="L173" i="166"/>
  <c r="M172" i="166"/>
  <c r="L172" i="166"/>
  <c r="M171" i="166"/>
  <c r="L171" i="166"/>
  <c r="M170" i="166"/>
  <c r="L170" i="166"/>
  <c r="M169" i="166"/>
  <c r="L169" i="166"/>
  <c r="M168" i="166"/>
  <c r="L168" i="166"/>
  <c r="M167" i="166"/>
  <c r="L167" i="166"/>
  <c r="M166" i="166"/>
  <c r="L166" i="166"/>
  <c r="M165" i="166"/>
  <c r="L165" i="166"/>
  <c r="M164" i="166"/>
  <c r="L164" i="166"/>
  <c r="M163" i="166"/>
  <c r="L163" i="166"/>
  <c r="M162" i="166"/>
  <c r="L162" i="166"/>
  <c r="M161" i="166"/>
  <c r="L161" i="166"/>
  <c r="M160" i="166"/>
  <c r="M151" i="166"/>
  <c r="M150" i="166"/>
  <c r="L150" i="166"/>
  <c r="M149" i="166"/>
  <c r="L149" i="166"/>
  <c r="M148" i="166"/>
  <c r="L148" i="166"/>
  <c r="M147" i="166"/>
  <c r="L147" i="166"/>
  <c r="M146" i="166"/>
  <c r="L146" i="166"/>
  <c r="M145" i="166"/>
  <c r="L145" i="166"/>
  <c r="M144" i="166"/>
  <c r="L144" i="166"/>
  <c r="M143" i="166"/>
  <c r="L143" i="166"/>
  <c r="M142" i="166"/>
  <c r="L142" i="166"/>
  <c r="M141" i="166"/>
  <c r="L141" i="166"/>
  <c r="M140" i="166"/>
  <c r="L140" i="166"/>
  <c r="M131" i="166"/>
  <c r="L131" i="166"/>
  <c r="M130" i="166"/>
  <c r="L130" i="166"/>
  <c r="M129" i="166"/>
  <c r="L129" i="166"/>
  <c r="M128" i="166"/>
  <c r="L128" i="166"/>
  <c r="M127" i="166"/>
  <c r="L127" i="166"/>
  <c r="M126" i="166"/>
  <c r="L126" i="166"/>
  <c r="M125" i="166"/>
  <c r="L125" i="166"/>
  <c r="M124" i="166"/>
  <c r="L124" i="166"/>
  <c r="M123" i="166"/>
  <c r="L123" i="166"/>
  <c r="M122" i="166"/>
  <c r="L122" i="166"/>
  <c r="M121" i="166"/>
  <c r="L121" i="166"/>
  <c r="M120" i="166"/>
  <c r="L120" i="166"/>
  <c r="M119" i="166"/>
  <c r="L119" i="166"/>
  <c r="M118" i="166"/>
  <c r="L118" i="166"/>
  <c r="M117" i="166"/>
  <c r="L117" i="166"/>
  <c r="M116" i="166"/>
  <c r="L116" i="166"/>
  <c r="M115" i="166"/>
  <c r="L115" i="166"/>
  <c r="M114" i="166"/>
  <c r="L114" i="166"/>
  <c r="M113" i="166"/>
  <c r="L113" i="166"/>
  <c r="M112" i="166"/>
  <c r="L112" i="166"/>
  <c r="M111" i="166"/>
  <c r="L111" i="166"/>
  <c r="M110" i="166"/>
  <c r="L110" i="166"/>
  <c r="M109" i="166"/>
  <c r="L109" i="166"/>
  <c r="M108" i="166"/>
  <c r="L108" i="166"/>
  <c r="M107" i="166"/>
  <c r="L107" i="166"/>
  <c r="M106" i="166"/>
  <c r="L106" i="166"/>
  <c r="M105" i="166"/>
  <c r="L105" i="166"/>
  <c r="M104" i="166"/>
  <c r="L104" i="166"/>
  <c r="M103" i="166"/>
  <c r="L103" i="166"/>
  <c r="M102" i="166"/>
  <c r="L102" i="166"/>
  <c r="M101" i="166"/>
  <c r="L101" i="166"/>
  <c r="M100" i="166"/>
  <c r="L100" i="166"/>
  <c r="M99" i="166"/>
  <c r="L99" i="166"/>
  <c r="M98" i="166"/>
  <c r="L98" i="166"/>
  <c r="M97" i="166"/>
  <c r="L97" i="166"/>
  <c r="M96" i="166"/>
  <c r="L96" i="166"/>
  <c r="M95" i="166"/>
  <c r="L95" i="166"/>
  <c r="M94" i="166"/>
  <c r="L94" i="166"/>
  <c r="M93" i="166"/>
  <c r="L93" i="166"/>
  <c r="M92" i="166"/>
  <c r="L92" i="166"/>
  <c r="M91" i="166"/>
  <c r="L91" i="166"/>
  <c r="M90" i="166"/>
  <c r="L90" i="166"/>
  <c r="M89" i="166"/>
  <c r="L89" i="166"/>
  <c r="M88" i="166"/>
  <c r="L88" i="166"/>
  <c r="M87" i="166"/>
  <c r="L87" i="166"/>
  <c r="M86" i="166"/>
  <c r="L86" i="166"/>
  <c r="M85" i="166"/>
  <c r="L85" i="166"/>
  <c r="M84" i="166"/>
  <c r="L84" i="166"/>
  <c r="M83" i="166"/>
  <c r="L83" i="166"/>
  <c r="M82" i="166"/>
  <c r="M73" i="166"/>
  <c r="M11" i="166"/>
  <c r="L11" i="166"/>
  <c r="K16" i="211"/>
  <c r="L16" i="211" s="1"/>
  <c r="M16" i="211" s="1"/>
  <c r="M218" i="211"/>
  <c r="L218" i="211"/>
  <c r="M217" i="211"/>
  <c r="L217" i="211"/>
  <c r="M216" i="211"/>
  <c r="L216" i="211"/>
  <c r="M215" i="211"/>
  <c r="L215" i="211"/>
  <c r="M214" i="211"/>
  <c r="L214" i="211"/>
  <c r="M213" i="211"/>
  <c r="L213" i="211"/>
  <c r="M212" i="211"/>
  <c r="L212" i="211"/>
  <c r="M211" i="211"/>
  <c r="L211" i="211"/>
  <c r="M210" i="211"/>
  <c r="L210" i="211"/>
  <c r="M209" i="211"/>
  <c r="L209" i="211"/>
  <c r="M208" i="211"/>
  <c r="L208" i="211"/>
  <c r="M207" i="211"/>
  <c r="L207" i="211"/>
  <c r="M206" i="211"/>
  <c r="L206" i="211"/>
  <c r="M205" i="211"/>
  <c r="L205" i="211"/>
  <c r="M204" i="211"/>
  <c r="L204" i="211"/>
  <c r="M203" i="211"/>
  <c r="L203" i="211"/>
  <c r="M202" i="211"/>
  <c r="L202" i="211"/>
  <c r="M201" i="211"/>
  <c r="L201" i="211"/>
  <c r="M200" i="211"/>
  <c r="L200" i="211"/>
  <c r="M199" i="211"/>
  <c r="L199" i="211"/>
  <c r="M198" i="211"/>
  <c r="L198" i="211"/>
  <c r="M197" i="211"/>
  <c r="L197" i="211"/>
  <c r="M196" i="211"/>
  <c r="L196" i="211"/>
  <c r="M195" i="211"/>
  <c r="L195" i="211"/>
  <c r="M194" i="211"/>
  <c r="L194" i="211"/>
  <c r="M193" i="211"/>
  <c r="L193" i="211"/>
  <c r="M192" i="211"/>
  <c r="L192" i="211"/>
  <c r="M191" i="211"/>
  <c r="L191" i="211"/>
  <c r="M190" i="211"/>
  <c r="L190" i="211"/>
  <c r="M189" i="211"/>
  <c r="L189" i="211"/>
  <c r="M188" i="211"/>
  <c r="L188" i="211"/>
  <c r="M187" i="211"/>
  <c r="L187" i="211"/>
  <c r="M186" i="211"/>
  <c r="L186" i="211"/>
  <c r="M185" i="211"/>
  <c r="L185" i="211"/>
  <c r="M184" i="211"/>
  <c r="L184" i="211"/>
  <c r="M183" i="211"/>
  <c r="L183" i="211"/>
  <c r="M182" i="211"/>
  <c r="L182" i="211"/>
  <c r="M181" i="211"/>
  <c r="L181" i="211"/>
  <c r="M180" i="211"/>
  <c r="L180" i="211"/>
  <c r="M179" i="211"/>
  <c r="L179" i="211"/>
  <c r="M178" i="211"/>
  <c r="L178" i="211"/>
  <c r="M177" i="211"/>
  <c r="L177" i="211"/>
  <c r="M176" i="211"/>
  <c r="L176" i="211"/>
  <c r="M175" i="211"/>
  <c r="L175" i="211"/>
  <c r="M174" i="211"/>
  <c r="L174" i="211"/>
  <c r="M173" i="211"/>
  <c r="L173" i="211"/>
  <c r="M172" i="211"/>
  <c r="L172" i="211"/>
  <c r="M171" i="211"/>
  <c r="L171" i="211"/>
  <c r="M170" i="211"/>
  <c r="L170" i="211"/>
  <c r="M169" i="211"/>
  <c r="L169" i="211"/>
  <c r="M168" i="211"/>
  <c r="L168" i="211"/>
  <c r="M167" i="211"/>
  <c r="L167" i="211"/>
  <c r="M166" i="211"/>
  <c r="L166" i="211"/>
  <c r="M165" i="211"/>
  <c r="L165" i="211"/>
  <c r="M164" i="211"/>
  <c r="L164" i="211"/>
  <c r="M163" i="211"/>
  <c r="L163" i="211"/>
  <c r="M162" i="211"/>
  <c r="L162" i="211"/>
  <c r="M161" i="211"/>
  <c r="L161" i="211"/>
  <c r="M160" i="211"/>
  <c r="L160" i="211"/>
  <c r="M159" i="211"/>
  <c r="L159" i="211"/>
  <c r="M148" i="211"/>
  <c r="M147" i="211"/>
  <c r="L147" i="211"/>
  <c r="M146" i="211"/>
  <c r="L146" i="211"/>
  <c r="M145" i="211"/>
  <c r="L145" i="211"/>
  <c r="M144" i="211"/>
  <c r="L144" i="211"/>
  <c r="M143" i="211"/>
  <c r="L143" i="211"/>
  <c r="M142" i="211"/>
  <c r="L142" i="211"/>
  <c r="M141" i="211"/>
  <c r="L141" i="211"/>
  <c r="M140" i="211"/>
  <c r="L140" i="211"/>
  <c r="M139" i="211"/>
  <c r="L139" i="211"/>
  <c r="M138" i="211"/>
  <c r="L138" i="211"/>
  <c r="M137" i="211"/>
  <c r="L137" i="211"/>
  <c r="M136" i="211"/>
  <c r="L136" i="211"/>
  <c r="M135" i="211"/>
  <c r="L135" i="211"/>
  <c r="M134" i="211"/>
  <c r="L134" i="211"/>
  <c r="M133" i="211"/>
  <c r="L133" i="211"/>
  <c r="M132" i="211"/>
  <c r="L132" i="211"/>
  <c r="M131" i="211"/>
  <c r="L131" i="211"/>
  <c r="M130" i="211"/>
  <c r="L130" i="211"/>
  <c r="M129" i="211"/>
  <c r="L129" i="211"/>
  <c r="M128" i="211"/>
  <c r="L128" i="211"/>
  <c r="M127" i="211"/>
  <c r="L127" i="211"/>
  <c r="M126" i="211"/>
  <c r="L126" i="211"/>
  <c r="M125" i="211"/>
  <c r="L125" i="211"/>
  <c r="M124" i="211"/>
  <c r="L124" i="211"/>
  <c r="M123" i="211"/>
  <c r="L123" i="211"/>
  <c r="M122" i="211"/>
  <c r="L122" i="211"/>
  <c r="M121" i="211"/>
  <c r="L121" i="211"/>
  <c r="M120" i="211"/>
  <c r="L120" i="211"/>
  <c r="M119" i="211"/>
  <c r="L119" i="211"/>
  <c r="M118" i="211"/>
  <c r="L118" i="211"/>
  <c r="M117" i="211"/>
  <c r="L117" i="211"/>
  <c r="M116" i="211"/>
  <c r="L116" i="211"/>
  <c r="M115" i="211"/>
  <c r="L115" i="211"/>
  <c r="M114" i="211"/>
  <c r="L114" i="211"/>
  <c r="M113" i="211"/>
  <c r="L113" i="211"/>
  <c r="M112" i="211"/>
  <c r="L112" i="211"/>
  <c r="M111" i="211"/>
  <c r="L111" i="211"/>
  <c r="M110" i="211"/>
  <c r="L110" i="211"/>
  <c r="M109" i="211"/>
  <c r="L109" i="211"/>
  <c r="M108" i="211"/>
  <c r="L108" i="211"/>
  <c r="M107" i="211"/>
  <c r="L107" i="211"/>
  <c r="M106" i="211"/>
  <c r="L106" i="211"/>
  <c r="M105" i="211"/>
  <c r="L105" i="211"/>
  <c r="M104" i="211"/>
  <c r="L104" i="211"/>
  <c r="M103" i="211"/>
  <c r="L103" i="211"/>
  <c r="M102" i="211"/>
  <c r="L102" i="211"/>
  <c r="M101" i="211"/>
  <c r="L101" i="211"/>
  <c r="M100" i="211"/>
  <c r="L100" i="211"/>
  <c r="M99" i="211"/>
  <c r="L99" i="211"/>
  <c r="M98" i="211"/>
  <c r="L98" i="211"/>
  <c r="M97" i="211"/>
  <c r="L97" i="211"/>
  <c r="M96" i="211"/>
  <c r="L96" i="211"/>
  <c r="M95" i="211"/>
  <c r="L95" i="211"/>
  <c r="M94" i="211"/>
  <c r="L94" i="211"/>
  <c r="M93" i="211"/>
  <c r="L93" i="211"/>
  <c r="M92" i="211"/>
  <c r="L92" i="211"/>
  <c r="M91" i="211"/>
  <c r="L91" i="211"/>
  <c r="M90" i="211"/>
  <c r="L90" i="211"/>
  <c r="M89" i="211"/>
  <c r="L89" i="211"/>
  <c r="M88" i="211"/>
  <c r="L88" i="211"/>
  <c r="M87" i="211"/>
  <c r="L87" i="211"/>
  <c r="M86" i="211"/>
  <c r="L86" i="211"/>
  <c r="M85" i="211"/>
  <c r="L85" i="211"/>
  <c r="M84" i="211"/>
  <c r="L84" i="211"/>
  <c r="M83" i="211"/>
  <c r="L83" i="211"/>
  <c r="M82" i="211"/>
  <c r="L82" i="211"/>
  <c r="M71" i="211"/>
  <c r="F54" i="211"/>
  <c r="G1" i="316" l="1"/>
  <c r="C81" i="316" s="1"/>
  <c r="C215" i="315"/>
  <c r="C81" i="315"/>
  <c r="H54" i="211"/>
  <c r="C215" i="316" l="1"/>
  <c r="C146" i="316"/>
  <c r="L16" i="163"/>
  <c r="M206" i="162"/>
  <c r="L206" i="162"/>
  <c r="M205" i="162"/>
  <c r="L205" i="162"/>
  <c r="M204" i="162"/>
  <c r="L204" i="162"/>
  <c r="M203" i="162"/>
  <c r="L203" i="162"/>
  <c r="M202" i="162"/>
  <c r="L202" i="162"/>
  <c r="M201" i="162"/>
  <c r="L201" i="162"/>
  <c r="M200" i="162"/>
  <c r="L200" i="162"/>
  <c r="M199" i="162"/>
  <c r="L199" i="162"/>
  <c r="M198" i="162"/>
  <c r="L198" i="162"/>
  <c r="M197" i="162"/>
  <c r="L197" i="162"/>
  <c r="M196" i="162"/>
  <c r="L196" i="162"/>
  <c r="M195" i="162"/>
  <c r="L195" i="162"/>
  <c r="M194" i="162"/>
  <c r="L194" i="162"/>
  <c r="M193" i="162"/>
  <c r="L193" i="162"/>
  <c r="M192" i="162"/>
  <c r="L192" i="162"/>
  <c r="M191" i="162"/>
  <c r="L191" i="162"/>
  <c r="M190" i="162"/>
  <c r="L190" i="162"/>
  <c r="M189" i="162"/>
  <c r="L189" i="162"/>
  <c r="M188" i="162"/>
  <c r="L188" i="162"/>
  <c r="M187" i="162"/>
  <c r="L187" i="162"/>
  <c r="M186" i="162"/>
  <c r="L186" i="162"/>
  <c r="M185" i="162"/>
  <c r="L185" i="162"/>
  <c r="M184" i="162"/>
  <c r="L184" i="162"/>
  <c r="M183" i="162"/>
  <c r="L183" i="162"/>
  <c r="M182" i="162"/>
  <c r="L182" i="162"/>
  <c r="M181" i="162"/>
  <c r="L181" i="162"/>
  <c r="M180" i="162"/>
  <c r="L180" i="162"/>
  <c r="M179" i="162"/>
  <c r="L179" i="162"/>
  <c r="M178" i="162"/>
  <c r="L178" i="162"/>
  <c r="M177" i="162"/>
  <c r="L177" i="162"/>
  <c r="M176" i="162"/>
  <c r="L176" i="162"/>
  <c r="M175" i="162"/>
  <c r="L175" i="162"/>
  <c r="M174" i="162"/>
  <c r="L174" i="162"/>
  <c r="M173" i="162"/>
  <c r="L173" i="162"/>
  <c r="M172" i="162"/>
  <c r="L172" i="162"/>
  <c r="M171" i="162"/>
  <c r="L171" i="162"/>
  <c r="M170" i="162"/>
  <c r="L170" i="162"/>
  <c r="M169" i="162"/>
  <c r="L169" i="162"/>
  <c r="M168" i="162"/>
  <c r="L168" i="162"/>
  <c r="M167" i="162"/>
  <c r="L167" i="162"/>
  <c r="M166" i="162"/>
  <c r="L166" i="162"/>
  <c r="M165" i="162"/>
  <c r="L165" i="162"/>
  <c r="M164" i="162"/>
  <c r="L164" i="162"/>
  <c r="M163" i="162"/>
  <c r="L163" i="162"/>
  <c r="M162" i="162"/>
  <c r="L162" i="162"/>
  <c r="M161" i="162"/>
  <c r="L161" i="162"/>
  <c r="M160" i="162"/>
  <c r="L160" i="162"/>
  <c r="M159" i="162"/>
  <c r="L159" i="162"/>
  <c r="M158" i="162"/>
  <c r="L158" i="162"/>
  <c r="M157" i="162"/>
  <c r="L157" i="162"/>
  <c r="M156" i="162"/>
  <c r="L156" i="162"/>
  <c r="M155" i="162"/>
  <c r="L155" i="162"/>
  <c r="M154" i="162"/>
  <c r="L154" i="162"/>
  <c r="M153" i="162"/>
  <c r="L153" i="162"/>
  <c r="M152" i="162"/>
  <c r="L152" i="162"/>
  <c r="M275" i="162"/>
  <c r="M274" i="162"/>
  <c r="L274" i="162"/>
  <c r="M273" i="162"/>
  <c r="L273" i="162"/>
  <c r="M272" i="162"/>
  <c r="L272" i="162"/>
  <c r="M271" i="162"/>
  <c r="L271" i="162"/>
  <c r="M270" i="162"/>
  <c r="L270" i="162"/>
  <c r="M269" i="162"/>
  <c r="L269" i="162"/>
  <c r="M268" i="162"/>
  <c r="L268" i="162"/>
  <c r="M267" i="162"/>
  <c r="L267" i="162"/>
  <c r="M266" i="162"/>
  <c r="L266" i="162"/>
  <c r="M265" i="162"/>
  <c r="L265" i="162"/>
  <c r="M264" i="162"/>
  <c r="L264" i="162"/>
  <c r="M263" i="162"/>
  <c r="L263" i="162"/>
  <c r="M262" i="162"/>
  <c r="L262" i="162"/>
  <c r="M261" i="162"/>
  <c r="L261" i="162"/>
  <c r="M260" i="162"/>
  <c r="L260" i="162"/>
  <c r="M259" i="162"/>
  <c r="L259" i="162"/>
  <c r="M258" i="162"/>
  <c r="L258" i="162"/>
  <c r="M257" i="162"/>
  <c r="L257" i="162"/>
  <c r="M256" i="162"/>
  <c r="L256" i="162"/>
  <c r="M255" i="162"/>
  <c r="L255" i="162"/>
  <c r="M254" i="162"/>
  <c r="L254" i="162"/>
  <c r="M253" i="162"/>
  <c r="L253" i="162"/>
  <c r="M252" i="162"/>
  <c r="L252" i="162"/>
  <c r="M251" i="162"/>
  <c r="L251" i="162"/>
  <c r="M250" i="162"/>
  <c r="L250" i="162"/>
  <c r="M249" i="162"/>
  <c r="L249" i="162"/>
  <c r="M248" i="162"/>
  <c r="L248" i="162"/>
  <c r="M247" i="162"/>
  <c r="L247" i="162"/>
  <c r="M246" i="162"/>
  <c r="L246" i="162"/>
  <c r="M245" i="162"/>
  <c r="L245" i="162"/>
  <c r="M244" i="162"/>
  <c r="L244" i="162"/>
  <c r="M243" i="162"/>
  <c r="L243" i="162"/>
  <c r="M242" i="162"/>
  <c r="L242" i="162"/>
  <c r="M241" i="162"/>
  <c r="L241" i="162"/>
  <c r="M240" i="162"/>
  <c r="L240" i="162"/>
  <c r="M239" i="162"/>
  <c r="L239" i="162"/>
  <c r="M238" i="162"/>
  <c r="L238" i="162"/>
  <c r="M237" i="162"/>
  <c r="L237" i="162"/>
  <c r="M236" i="162"/>
  <c r="L236" i="162"/>
  <c r="M235" i="162"/>
  <c r="L235" i="162"/>
  <c r="M234" i="162"/>
  <c r="L234" i="162"/>
  <c r="M233" i="162"/>
  <c r="L233" i="162"/>
  <c r="M232" i="162"/>
  <c r="L232" i="162"/>
  <c r="M231" i="162"/>
  <c r="L231" i="162"/>
  <c r="M230" i="162"/>
  <c r="L230" i="162"/>
  <c r="M229" i="162"/>
  <c r="L229" i="162"/>
  <c r="M228" i="162"/>
  <c r="L228" i="162"/>
  <c r="M227" i="162"/>
  <c r="L227" i="162"/>
  <c r="M226" i="162"/>
  <c r="L226" i="162"/>
  <c r="M225" i="162"/>
  <c r="L225" i="162"/>
  <c r="M224" i="162"/>
  <c r="L224" i="162"/>
  <c r="M223" i="162"/>
  <c r="L223" i="162"/>
  <c r="M212" i="162"/>
  <c r="M211" i="162"/>
  <c r="L211" i="162"/>
  <c r="M210" i="162"/>
  <c r="L210" i="162"/>
  <c r="M209" i="162"/>
  <c r="L209" i="162"/>
  <c r="M208" i="162"/>
  <c r="L208" i="162"/>
  <c r="M207" i="162"/>
  <c r="L207" i="162"/>
  <c r="M151" i="162"/>
  <c r="L151" i="162"/>
  <c r="M150" i="162"/>
  <c r="L150" i="162"/>
  <c r="M149" i="162"/>
  <c r="L149" i="162"/>
  <c r="M148" i="162"/>
  <c r="L148" i="162"/>
  <c r="M147" i="162"/>
  <c r="L147" i="162"/>
  <c r="M146" i="162"/>
  <c r="L146" i="162"/>
  <c r="M145" i="162"/>
  <c r="L145" i="162"/>
  <c r="M134" i="162"/>
  <c r="M128" i="162"/>
  <c r="L128" i="162"/>
  <c r="M127" i="162"/>
  <c r="L127" i="162"/>
  <c r="M126" i="162"/>
  <c r="L126" i="162"/>
  <c r="M125" i="162"/>
  <c r="L125" i="162"/>
  <c r="M124" i="162"/>
  <c r="L124" i="162"/>
  <c r="M123" i="162"/>
  <c r="L123" i="162"/>
  <c r="M122" i="162"/>
  <c r="L122" i="162"/>
  <c r="M121" i="162"/>
  <c r="L121" i="162"/>
  <c r="M120" i="162"/>
  <c r="L120" i="162"/>
  <c r="M119" i="162"/>
  <c r="L119" i="162"/>
  <c r="L118" i="162"/>
  <c r="M117" i="162"/>
  <c r="L117" i="162"/>
  <c r="M116" i="162"/>
  <c r="L116" i="162"/>
  <c r="M115" i="162"/>
  <c r="L115" i="162"/>
  <c r="M114" i="162"/>
  <c r="L114" i="162"/>
  <c r="M113" i="162"/>
  <c r="L113" i="162"/>
  <c r="M112" i="162"/>
  <c r="L112" i="162"/>
  <c r="M111" i="162"/>
  <c r="L111" i="162"/>
  <c r="M110" i="162"/>
  <c r="L110" i="162"/>
  <c r="M109" i="162"/>
  <c r="L109" i="162"/>
  <c r="M108" i="162"/>
  <c r="L108" i="162"/>
  <c r="M107" i="162"/>
  <c r="L107" i="162"/>
  <c r="M106" i="162"/>
  <c r="L106" i="162"/>
  <c r="M105" i="162"/>
  <c r="L105" i="162"/>
  <c r="L104" i="162"/>
  <c r="M103" i="162"/>
  <c r="L103" i="162"/>
  <c r="M102" i="162"/>
  <c r="L102" i="162"/>
  <c r="M101" i="162"/>
  <c r="L101" i="162"/>
  <c r="M100" i="162"/>
  <c r="L100" i="162"/>
  <c r="M99" i="162"/>
  <c r="L99" i="162"/>
  <c r="M98" i="162"/>
  <c r="L98" i="162"/>
  <c r="M97" i="162"/>
  <c r="L97" i="162"/>
  <c r="M96" i="162"/>
  <c r="L96" i="162"/>
  <c r="M95" i="162"/>
  <c r="L95" i="162"/>
  <c r="M94" i="162"/>
  <c r="L94" i="162"/>
  <c r="M93" i="162"/>
  <c r="L93" i="162"/>
  <c r="M92" i="162"/>
  <c r="L92" i="162"/>
  <c r="M91" i="162"/>
  <c r="L91" i="162"/>
  <c r="M90" i="162"/>
  <c r="L90" i="162"/>
  <c r="M89" i="162"/>
  <c r="L89" i="162"/>
  <c r="M88" i="162"/>
  <c r="L88" i="162"/>
  <c r="M87" i="162"/>
  <c r="L87" i="162"/>
  <c r="M86" i="162"/>
  <c r="L86" i="162"/>
  <c r="M85" i="162"/>
  <c r="L85" i="162"/>
  <c r="M84" i="162"/>
  <c r="L84" i="162"/>
  <c r="M83" i="162"/>
  <c r="L83" i="162"/>
  <c r="M82" i="162"/>
  <c r="L82" i="162"/>
  <c r="M71" i="162"/>
  <c r="M158" i="211"/>
  <c r="L158" i="211"/>
  <c r="M157" i="211"/>
  <c r="M81" i="211"/>
  <c r="L81" i="211"/>
  <c r="M80" i="211"/>
  <c r="M11" i="211"/>
  <c r="L11" i="211"/>
  <c r="M16" i="163" l="1"/>
  <c r="L71" i="211"/>
  <c r="L80" i="211" l="1"/>
  <c r="L148" i="211" s="1"/>
  <c r="L157" i="211" s="1"/>
  <c r="L219" i="211" s="1"/>
  <c r="F18" i="161"/>
  <c r="M76" i="159"/>
  <c r="M142" i="159"/>
  <c r="M201" i="159"/>
  <c r="M200" i="159"/>
  <c r="M199" i="159"/>
  <c r="F26" i="159" l="1"/>
  <c r="H26" i="159" s="1"/>
  <c r="F28" i="159"/>
  <c r="F48" i="159"/>
  <c r="H48" i="159" s="1"/>
  <c r="H18" i="161"/>
  <c r="L1" i="211"/>
  <c r="K12" i="278"/>
  <c r="H28" i="159" l="1"/>
  <c r="F30" i="159"/>
  <c r="H30" i="159" s="1"/>
  <c r="B67" i="296"/>
  <c r="B7" i="296"/>
  <c r="B74" i="295"/>
  <c r="B7" i="295"/>
  <c r="B7" i="294"/>
  <c r="B129" i="293"/>
  <c r="B70" i="293"/>
  <c r="B7" i="293"/>
  <c r="B7" i="292"/>
  <c r="B7" i="291"/>
  <c r="B145" i="290"/>
  <c r="B80" i="290"/>
  <c r="B7" i="290"/>
  <c r="B7" i="289"/>
  <c r="B148" i="288"/>
  <c r="B78" i="288"/>
  <c r="B7" i="288"/>
  <c r="B75" i="314"/>
  <c r="B7" i="314"/>
  <c r="B76" i="313"/>
  <c r="B7" i="313"/>
  <c r="B135" i="311"/>
  <c r="B76" i="311"/>
  <c r="B7" i="311"/>
  <c r="B7" i="310"/>
  <c r="B7" i="309"/>
  <c r="B134" i="308"/>
  <c r="B69" i="308"/>
  <c r="B7" i="308"/>
  <c r="B7" i="300"/>
  <c r="B148" i="299"/>
  <c r="B77" i="299"/>
  <c r="B7" i="299"/>
  <c r="B74" i="307"/>
  <c r="B7" i="307"/>
  <c r="B77" i="306"/>
  <c r="B7" i="306"/>
  <c r="B75" i="304"/>
  <c r="B7" i="304"/>
  <c r="B7" i="303"/>
  <c r="B7" i="302"/>
  <c r="B136" i="301"/>
  <c r="B71" i="301"/>
  <c r="B7" i="301"/>
  <c r="B7" i="298"/>
  <c r="B145" i="297"/>
  <c r="B78" i="297"/>
  <c r="B7" i="297"/>
  <c r="L140" i="297"/>
  <c r="L73" i="297"/>
  <c r="M145" i="314" l="1"/>
  <c r="B145" i="314"/>
  <c r="H81" i="314"/>
  <c r="B72" i="314"/>
  <c r="F71" i="314"/>
  <c r="B71" i="314"/>
  <c r="M70" i="314"/>
  <c r="B70" i="314"/>
  <c r="M11" i="314"/>
  <c r="L11" i="314"/>
  <c r="H11" i="314"/>
  <c r="H6" i="314"/>
  <c r="H74" i="314" s="1"/>
  <c r="B4" i="314"/>
  <c r="F3" i="314"/>
  <c r="B3" i="314"/>
  <c r="I1" i="314"/>
  <c r="M146" i="313"/>
  <c r="B146" i="313"/>
  <c r="H83" i="313"/>
  <c r="M80" i="313"/>
  <c r="B73" i="313"/>
  <c r="F72" i="313"/>
  <c r="B72" i="313"/>
  <c r="M71" i="313"/>
  <c r="B71" i="313"/>
  <c r="K40" i="313"/>
  <c r="K39" i="313"/>
  <c r="K38" i="313"/>
  <c r="K37" i="313"/>
  <c r="M11" i="313"/>
  <c r="L11" i="313"/>
  <c r="H11" i="313"/>
  <c r="H6" i="313"/>
  <c r="H75" i="313" s="1"/>
  <c r="B4" i="313"/>
  <c r="F3" i="313"/>
  <c r="B3" i="313"/>
  <c r="I1" i="313"/>
  <c r="B191" i="311"/>
  <c r="H141" i="311"/>
  <c r="M139" i="311"/>
  <c r="K139" i="311"/>
  <c r="B132" i="311"/>
  <c r="F131" i="311"/>
  <c r="B131" i="311"/>
  <c r="B130" i="311"/>
  <c r="K129" i="311"/>
  <c r="K83" i="311"/>
  <c r="K82" i="311"/>
  <c r="H82" i="311"/>
  <c r="K81" i="311"/>
  <c r="M80" i="311"/>
  <c r="K80" i="311"/>
  <c r="B73" i="311"/>
  <c r="F72" i="311"/>
  <c r="B72" i="311"/>
  <c r="B71" i="311"/>
  <c r="K70" i="311"/>
  <c r="K34" i="311"/>
  <c r="K33" i="311"/>
  <c r="K31" i="311"/>
  <c r="K29" i="311"/>
  <c r="K25" i="311"/>
  <c r="K24" i="311"/>
  <c r="L24" i="311" s="1"/>
  <c r="M24" i="311" s="1"/>
  <c r="K23" i="311"/>
  <c r="K22" i="311"/>
  <c r="L22" i="311" s="1"/>
  <c r="M22" i="311" s="1"/>
  <c r="K21" i="311"/>
  <c r="K20" i="311"/>
  <c r="L20" i="311" s="1"/>
  <c r="M20" i="311" s="1"/>
  <c r="K19" i="311"/>
  <c r="K18" i="311"/>
  <c r="L18" i="311" s="1"/>
  <c r="M18" i="311" s="1"/>
  <c r="K17" i="311"/>
  <c r="K16" i="311"/>
  <c r="K15" i="311"/>
  <c r="K14" i="311"/>
  <c r="K13" i="311"/>
  <c r="K12" i="311"/>
  <c r="K11" i="311"/>
  <c r="H11" i="311"/>
  <c r="H6" i="311"/>
  <c r="B4" i="311"/>
  <c r="F3" i="311"/>
  <c r="B3" i="311"/>
  <c r="I1" i="311"/>
  <c r="B72" i="310"/>
  <c r="L20" i="310"/>
  <c r="M20" i="310" s="1"/>
  <c r="K19" i="310"/>
  <c r="L18" i="310"/>
  <c r="M18" i="310" s="1"/>
  <c r="M11" i="310"/>
  <c r="L11" i="310"/>
  <c r="H11" i="310"/>
  <c r="H6" i="310"/>
  <c r="B4" i="310"/>
  <c r="F3" i="310"/>
  <c r="B3" i="310"/>
  <c r="I1" i="310"/>
  <c r="M74" i="309"/>
  <c r="B74" i="309"/>
  <c r="M11" i="309"/>
  <c r="L11" i="309"/>
  <c r="H11" i="309"/>
  <c r="H6" i="309"/>
  <c r="B4" i="309"/>
  <c r="F3" i="309"/>
  <c r="B3" i="309"/>
  <c r="I1" i="309"/>
  <c r="B198" i="308"/>
  <c r="M138" i="308"/>
  <c r="B131" i="308"/>
  <c r="F130" i="308"/>
  <c r="B130" i="308"/>
  <c r="B129" i="308"/>
  <c r="H76" i="308"/>
  <c r="M73" i="308"/>
  <c r="B66" i="308"/>
  <c r="F65" i="308"/>
  <c r="B65" i="308"/>
  <c r="B64" i="308"/>
  <c r="M11" i="308"/>
  <c r="L11" i="308"/>
  <c r="H11" i="308"/>
  <c r="H6" i="308"/>
  <c r="B4" i="308"/>
  <c r="F3" i="308"/>
  <c r="B3" i="308"/>
  <c r="I1" i="308"/>
  <c r="M144" i="307"/>
  <c r="B144" i="307"/>
  <c r="H81" i="307"/>
  <c r="B71" i="307"/>
  <c r="F70" i="307"/>
  <c r="B70" i="307"/>
  <c r="B69" i="307"/>
  <c r="M11" i="307"/>
  <c r="L11" i="307"/>
  <c r="H11" i="307"/>
  <c r="H6" i="307"/>
  <c r="H73" i="307" s="1"/>
  <c r="B4" i="307"/>
  <c r="F3" i="307"/>
  <c r="B3" i="307"/>
  <c r="I1" i="307"/>
  <c r="M147" i="306"/>
  <c r="B147" i="306"/>
  <c r="M83" i="306"/>
  <c r="L83" i="306"/>
  <c r="H83" i="306"/>
  <c r="M81" i="306"/>
  <c r="B74" i="306"/>
  <c r="F73" i="306"/>
  <c r="B73" i="306"/>
  <c r="M72" i="306"/>
  <c r="B72" i="306"/>
  <c r="K41" i="306"/>
  <c r="K40" i="306"/>
  <c r="K39" i="306"/>
  <c r="L11" i="306"/>
  <c r="H11" i="306"/>
  <c r="H6" i="306"/>
  <c r="H76" i="306" s="1"/>
  <c r="B4" i="306"/>
  <c r="F3" i="306"/>
  <c r="B3" i="306"/>
  <c r="I1" i="306"/>
  <c r="B190" i="304"/>
  <c r="B134" i="304"/>
  <c r="B131" i="304"/>
  <c r="F130" i="304"/>
  <c r="B130" i="304"/>
  <c r="B129" i="304"/>
  <c r="M79" i="304"/>
  <c r="K79" i="304"/>
  <c r="B72" i="304"/>
  <c r="F71" i="304"/>
  <c r="B71" i="304"/>
  <c r="B70" i="304"/>
  <c r="K69" i="304"/>
  <c r="K24" i="304"/>
  <c r="L24" i="304" s="1"/>
  <c r="M24" i="304" s="1"/>
  <c r="K23" i="304"/>
  <c r="K22" i="304"/>
  <c r="L22" i="304" s="1"/>
  <c r="M22" i="304" s="1"/>
  <c r="K21" i="304"/>
  <c r="K20" i="304"/>
  <c r="L20" i="304" s="1"/>
  <c r="M20" i="304" s="1"/>
  <c r="K19" i="304"/>
  <c r="K18" i="304"/>
  <c r="L18" i="304" s="1"/>
  <c r="M18" i="304" s="1"/>
  <c r="K17" i="304"/>
  <c r="K16" i="304"/>
  <c r="K15" i="304"/>
  <c r="K14" i="304"/>
  <c r="K13" i="304"/>
  <c r="K12" i="304"/>
  <c r="K11" i="304"/>
  <c r="H11" i="304"/>
  <c r="H6" i="304"/>
  <c r="B4" i="304"/>
  <c r="F3" i="304"/>
  <c r="B3" i="304"/>
  <c r="I1" i="304"/>
  <c r="L20" i="303"/>
  <c r="M20" i="303" s="1"/>
  <c r="L18" i="303"/>
  <c r="M18" i="303" s="1"/>
  <c r="M71" i="303"/>
  <c r="M11" i="303"/>
  <c r="L11" i="303"/>
  <c r="K19" i="303"/>
  <c r="H74" i="304" l="1"/>
  <c r="H133" i="304"/>
  <c r="H71" i="313"/>
  <c r="H80" i="313" s="1"/>
  <c r="H146" i="313" s="1"/>
  <c r="H75" i="311"/>
  <c r="H134" i="311"/>
  <c r="H64" i="308"/>
  <c r="H73" i="308" s="1"/>
  <c r="H129" i="308" s="1"/>
  <c r="H138" i="308" s="1"/>
  <c r="H198" i="308" s="1"/>
  <c r="H70" i="314"/>
  <c r="H79" i="314" s="1"/>
  <c r="H71" i="311"/>
  <c r="H80" i="311" s="1"/>
  <c r="H72" i="310"/>
  <c r="H1" i="310" s="1"/>
  <c r="H74" i="309"/>
  <c r="H1" i="309" s="1"/>
  <c r="L71" i="311"/>
  <c r="L80" i="311" s="1"/>
  <c r="L130" i="311" s="1"/>
  <c r="L139" i="311" s="1"/>
  <c r="L191" i="311" s="1"/>
  <c r="L71" i="313"/>
  <c r="L80" i="313" s="1"/>
  <c r="L146" i="313" s="1"/>
  <c r="H68" i="308"/>
  <c r="H133" i="308"/>
  <c r="L70" i="314"/>
  <c r="L79" i="314" s="1"/>
  <c r="L145" i="314" s="1"/>
  <c r="H69" i="307"/>
  <c r="H78" i="307" s="1"/>
  <c r="H72" i="306"/>
  <c r="H81" i="306" s="1"/>
  <c r="H147" i="306" s="1"/>
  <c r="L72" i="306"/>
  <c r="L81" i="306" s="1"/>
  <c r="L147" i="306" s="1"/>
  <c r="H70" i="304"/>
  <c r="H79" i="304" s="1"/>
  <c r="H129" i="304" s="1"/>
  <c r="H138" i="304" s="1"/>
  <c r="H190" i="304" s="1"/>
  <c r="L70" i="304"/>
  <c r="L79" i="304" s="1"/>
  <c r="L129" i="304" s="1"/>
  <c r="L138" i="304" s="1"/>
  <c r="L190" i="304" s="1"/>
  <c r="D35" i="278"/>
  <c r="E27" i="318"/>
  <c r="D34" i="278"/>
  <c r="E25" i="318"/>
  <c r="G35" i="278" l="1"/>
  <c r="H1" i="313"/>
  <c r="H1" i="308"/>
  <c r="L1" i="314"/>
  <c r="L1" i="313"/>
  <c r="H145" i="314"/>
  <c r="H1" i="314" s="1"/>
  <c r="H130" i="311"/>
  <c r="H139" i="311" s="1"/>
  <c r="H191" i="311" s="1"/>
  <c r="L1" i="304"/>
  <c r="L1" i="311"/>
  <c r="H144" i="307"/>
  <c r="H1" i="307" s="1"/>
  <c r="L1" i="306"/>
  <c r="H1" i="306"/>
  <c r="H1" i="304"/>
  <c r="K37" i="278"/>
  <c r="E23" i="318"/>
  <c r="E33" i="318"/>
  <c r="D38" i="278"/>
  <c r="D47" i="278"/>
  <c r="E45" i="318"/>
  <c r="D33" i="278"/>
  <c r="E43" i="318"/>
  <c r="E31" i="318"/>
  <c r="K38" i="278"/>
  <c r="D37" i="278"/>
  <c r="K48" i="278"/>
  <c r="K36" i="278"/>
  <c r="D48" i="278"/>
  <c r="K47" i="278"/>
  <c r="D49" i="278"/>
  <c r="E47" i="318"/>
  <c r="G49" i="278" l="1"/>
  <c r="G38" i="278"/>
  <c r="G37" i="278"/>
  <c r="I33" i="278"/>
  <c r="G48" i="278"/>
  <c r="L48" i="278"/>
  <c r="L37" i="278"/>
  <c r="H1" i="311"/>
  <c r="B71" i="303"/>
  <c r="H11" i="303"/>
  <c r="H6" i="303"/>
  <c r="B4" i="303"/>
  <c r="F3" i="303"/>
  <c r="B3" i="303"/>
  <c r="I1" i="303"/>
  <c r="M75" i="302"/>
  <c r="B75" i="302"/>
  <c r="M11" i="302"/>
  <c r="L11" i="302"/>
  <c r="H11" i="302"/>
  <c r="H6" i="302"/>
  <c r="B4" i="302"/>
  <c r="F3" i="302"/>
  <c r="B3" i="302"/>
  <c r="I1" i="302"/>
  <c r="B200" i="301"/>
  <c r="H143" i="301"/>
  <c r="M140" i="301"/>
  <c r="B133" i="301"/>
  <c r="F132" i="301"/>
  <c r="B132" i="301"/>
  <c r="M131" i="301"/>
  <c r="B131" i="301"/>
  <c r="H78" i="301"/>
  <c r="M75" i="301"/>
  <c r="B68" i="301"/>
  <c r="F67" i="301"/>
  <c r="B67" i="301"/>
  <c r="M66" i="301"/>
  <c r="B66" i="301"/>
  <c r="M11" i="301"/>
  <c r="L11" i="301"/>
  <c r="H11" i="301"/>
  <c r="H6" i="301"/>
  <c r="B4" i="301"/>
  <c r="F3" i="301"/>
  <c r="B3" i="301"/>
  <c r="I1" i="301"/>
  <c r="B76" i="300"/>
  <c r="L11" i="300"/>
  <c r="K11" i="300"/>
  <c r="G11" i="300"/>
  <c r="G6" i="300"/>
  <c r="B4" i="300"/>
  <c r="E3" i="300"/>
  <c r="B3" i="300"/>
  <c r="P1" i="300"/>
  <c r="H1" i="300"/>
  <c r="B211" i="299"/>
  <c r="G155" i="299"/>
  <c r="L152" i="299"/>
  <c r="B145" i="299"/>
  <c r="E144" i="299"/>
  <c r="B144" i="299"/>
  <c r="L82" i="299"/>
  <c r="K82" i="299"/>
  <c r="G82" i="299"/>
  <c r="L81" i="299"/>
  <c r="B74" i="299"/>
  <c r="E73" i="299"/>
  <c r="B73" i="299"/>
  <c r="B72" i="299"/>
  <c r="B143" i="299" s="1"/>
  <c r="L11" i="299"/>
  <c r="K11" i="299"/>
  <c r="G11" i="299"/>
  <c r="G6" i="299"/>
  <c r="B4" i="299"/>
  <c r="E3" i="299"/>
  <c r="B3" i="299"/>
  <c r="P1" i="299"/>
  <c r="H1" i="299"/>
  <c r="B76" i="298"/>
  <c r="L11" i="298"/>
  <c r="K11" i="298"/>
  <c r="G11" i="298"/>
  <c r="G6" i="298"/>
  <c r="B4" i="298"/>
  <c r="E3" i="298"/>
  <c r="B3" i="298"/>
  <c r="J1" i="298"/>
  <c r="P1" i="298" s="1"/>
  <c r="H1" i="298"/>
  <c r="B208" i="297"/>
  <c r="G153" i="297"/>
  <c r="L149" i="297"/>
  <c r="B142" i="297"/>
  <c r="E141" i="297"/>
  <c r="B141" i="297"/>
  <c r="L83" i="297"/>
  <c r="K83" i="297"/>
  <c r="G83" i="297"/>
  <c r="L82" i="297"/>
  <c r="B75" i="297"/>
  <c r="E74" i="297"/>
  <c r="B74" i="297"/>
  <c r="B73" i="297"/>
  <c r="B140" i="297" s="1"/>
  <c r="L11" i="297"/>
  <c r="K11" i="297"/>
  <c r="G11" i="297"/>
  <c r="G6" i="297"/>
  <c r="G144" i="297" s="1"/>
  <c r="B4" i="297"/>
  <c r="E3" i="297"/>
  <c r="B3" i="297"/>
  <c r="P1" i="297"/>
  <c r="H1" i="297"/>
  <c r="M73" i="291"/>
  <c r="M11" i="291"/>
  <c r="L11" i="291"/>
  <c r="M11" i="294"/>
  <c r="L11" i="294"/>
  <c r="K45" i="295"/>
  <c r="K25" i="295"/>
  <c r="L16" i="295"/>
  <c r="M16" i="295" s="1"/>
  <c r="M11" i="296"/>
  <c r="L11" i="296"/>
  <c r="M79" i="295"/>
  <c r="L79" i="295"/>
  <c r="M78" i="295"/>
  <c r="M69" i="295"/>
  <c r="M11" i="295"/>
  <c r="L11" i="295"/>
  <c r="E29" i="318"/>
  <c r="D36" i="278"/>
  <c r="H70" i="301" l="1"/>
  <c r="H135" i="301"/>
  <c r="K76" i="300"/>
  <c r="K1" i="300" s="1"/>
  <c r="K72" i="299"/>
  <c r="K81" i="299" s="1"/>
  <c r="K143" i="299" s="1"/>
  <c r="K152" i="299" s="1"/>
  <c r="K211" i="299" s="1"/>
  <c r="G77" i="297"/>
  <c r="K73" i="297"/>
  <c r="K82" i="297" s="1"/>
  <c r="K140" i="297" s="1"/>
  <c r="K149" i="297" s="1"/>
  <c r="K208" i="297" s="1"/>
  <c r="G72" i="299"/>
  <c r="G81" i="299" s="1"/>
  <c r="G143" i="299" s="1"/>
  <c r="G152" i="299" s="1"/>
  <c r="G211" i="299" s="1"/>
  <c r="G76" i="300"/>
  <c r="H71" i="303"/>
  <c r="H1" i="303" s="1"/>
  <c r="H75" i="302"/>
  <c r="H1" i="302" s="1"/>
  <c r="H66" i="301"/>
  <c r="H75" i="301" s="1"/>
  <c r="H131" i="301" s="1"/>
  <c r="H140" i="301" s="1"/>
  <c r="H200" i="301" s="1"/>
  <c r="K76" i="298"/>
  <c r="K1" i="298" s="1"/>
  <c r="G73" i="297"/>
  <c r="G82" i="297" s="1"/>
  <c r="G140" i="297" s="1"/>
  <c r="G149" i="297" s="1"/>
  <c r="G208" i="297" s="1"/>
  <c r="G76" i="298"/>
  <c r="G76" i="299"/>
  <c r="G147" i="299"/>
  <c r="L75" i="294"/>
  <c r="L1" i="294" s="1"/>
  <c r="L69" i="295"/>
  <c r="L78" i="295" s="1"/>
  <c r="L144" i="295" s="1"/>
  <c r="E39" i="318"/>
  <c r="D29" i="278"/>
  <c r="D45" i="278"/>
  <c r="E41" i="318"/>
  <c r="K91" i="278"/>
  <c r="D46" i="278"/>
  <c r="G46" i="278" l="1"/>
  <c r="G45" i="278"/>
  <c r="G41" i="278"/>
  <c r="H1" i="301"/>
  <c r="K1" i="299"/>
  <c r="K1" i="297"/>
  <c r="L1" i="295"/>
  <c r="D43" i="278"/>
  <c r="K92" i="278"/>
  <c r="E37" i="318"/>
  <c r="D28" i="278"/>
  <c r="G43" i="278" l="1"/>
  <c r="I43" i="278" s="1"/>
  <c r="G40" i="278"/>
  <c r="I41" i="278" s="1"/>
  <c r="L28" i="278"/>
  <c r="G28" i="278"/>
  <c r="G47" i="278"/>
  <c r="I49" i="278" s="1"/>
  <c r="G36" i="278"/>
  <c r="L36" i="278"/>
  <c r="M133" i="293"/>
  <c r="K133" i="293"/>
  <c r="K123" i="293"/>
  <c r="K77" i="293"/>
  <c r="K76" i="293"/>
  <c r="K75" i="293"/>
  <c r="M74" i="293"/>
  <c r="K74" i="293"/>
  <c r="H153" i="293"/>
  <c r="H151" i="293"/>
  <c r="K34" i="293"/>
  <c r="L34" i="293" s="1"/>
  <c r="M34" i="293" s="1"/>
  <c r="K32" i="293"/>
  <c r="L32" i="293" s="1"/>
  <c r="M32" i="293" s="1"/>
  <c r="K30" i="293"/>
  <c r="L30" i="293" s="1"/>
  <c r="M30" i="293" s="1"/>
  <c r="K28" i="293"/>
  <c r="L28" i="293" s="1"/>
  <c r="M28" i="293" s="1"/>
  <c r="K26" i="293"/>
  <c r="L26" i="293" s="1"/>
  <c r="M26" i="293" s="1"/>
  <c r="K24" i="293"/>
  <c r="L24" i="293" s="1"/>
  <c r="M24" i="293" s="1"/>
  <c r="K22" i="293"/>
  <c r="L22" i="293" s="1"/>
  <c r="M22" i="293" s="1"/>
  <c r="K20" i="293"/>
  <c r="L20" i="293" s="1"/>
  <c r="M20" i="293" s="1"/>
  <c r="K18" i="293"/>
  <c r="L18" i="293" s="1"/>
  <c r="M18" i="293" s="1"/>
  <c r="K33" i="293"/>
  <c r="K31" i="293"/>
  <c r="K29" i="293"/>
  <c r="K27" i="293"/>
  <c r="K25" i="293"/>
  <c r="K23" i="293"/>
  <c r="K21" i="293"/>
  <c r="K19" i="293"/>
  <c r="K17" i="293"/>
  <c r="K16" i="293"/>
  <c r="K15" i="293"/>
  <c r="K14" i="293"/>
  <c r="K13" i="293"/>
  <c r="K12" i="293"/>
  <c r="K11" i="293"/>
  <c r="B137" i="296"/>
  <c r="H73" i="296"/>
  <c r="B64" i="296"/>
  <c r="F63" i="296"/>
  <c r="B63" i="296"/>
  <c r="B62" i="296"/>
  <c r="H11" i="296"/>
  <c r="H6" i="296"/>
  <c r="H66" i="296" s="1"/>
  <c r="B4" i="296"/>
  <c r="F3" i="296"/>
  <c r="B3" i="296"/>
  <c r="I1" i="296"/>
  <c r="B144" i="295"/>
  <c r="B71" i="295"/>
  <c r="F70" i="295"/>
  <c r="B70" i="295"/>
  <c r="B69" i="295"/>
  <c r="H11" i="295"/>
  <c r="H6" i="295"/>
  <c r="H73" i="295" s="1"/>
  <c r="B4" i="295"/>
  <c r="F3" i="295"/>
  <c r="B3" i="295"/>
  <c r="I1" i="295"/>
  <c r="B75" i="294"/>
  <c r="H11" i="294"/>
  <c r="H6" i="294"/>
  <c r="B4" i="294"/>
  <c r="F3" i="294"/>
  <c r="B3" i="294"/>
  <c r="I1" i="294"/>
  <c r="B185" i="293"/>
  <c r="H169" i="293"/>
  <c r="H168" i="293"/>
  <c r="H167" i="293"/>
  <c r="H166" i="293"/>
  <c r="H165" i="293"/>
  <c r="H164" i="293"/>
  <c r="H163" i="293"/>
  <c r="H162" i="293"/>
  <c r="H161" i="293"/>
  <c r="H160" i="293"/>
  <c r="H159" i="293"/>
  <c r="H158" i="293"/>
  <c r="H157" i="293"/>
  <c r="H156" i="293"/>
  <c r="H155" i="293"/>
  <c r="H154" i="293"/>
  <c r="H152" i="293"/>
  <c r="H150" i="293"/>
  <c r="H149" i="293"/>
  <c r="H148" i="293"/>
  <c r="H147" i="293"/>
  <c r="H146" i="293"/>
  <c r="H145" i="293"/>
  <c r="H144" i="293"/>
  <c r="H143" i="293"/>
  <c r="H142" i="293"/>
  <c r="H141" i="293"/>
  <c r="H140" i="293"/>
  <c r="H139" i="293"/>
  <c r="H138" i="293"/>
  <c r="H137" i="293"/>
  <c r="H136" i="293"/>
  <c r="H135" i="293"/>
  <c r="B126" i="293"/>
  <c r="F125" i="293"/>
  <c r="B125" i="293"/>
  <c r="B124" i="293"/>
  <c r="H123" i="293"/>
  <c r="H118" i="293"/>
  <c r="H117" i="293"/>
  <c r="H116" i="293"/>
  <c r="H115" i="293"/>
  <c r="H114" i="293"/>
  <c r="H113" i="293"/>
  <c r="H112" i="293"/>
  <c r="H111" i="293"/>
  <c r="H110" i="293"/>
  <c r="H109" i="293"/>
  <c r="H108" i="293"/>
  <c r="H107" i="293"/>
  <c r="H106" i="293"/>
  <c r="H105" i="293"/>
  <c r="H104" i="293"/>
  <c r="H103" i="293"/>
  <c r="H102" i="293"/>
  <c r="H101" i="293"/>
  <c r="H100" i="293"/>
  <c r="H99" i="293"/>
  <c r="H98" i="293"/>
  <c r="H97" i="293"/>
  <c r="H96" i="293"/>
  <c r="H95" i="293"/>
  <c r="H94" i="293"/>
  <c r="H93" i="293"/>
  <c r="H92" i="293"/>
  <c r="H91" i="293"/>
  <c r="H90" i="293"/>
  <c r="H89" i="293"/>
  <c r="H88" i="293"/>
  <c r="H87" i="293"/>
  <c r="H86" i="293"/>
  <c r="H85" i="293"/>
  <c r="H84" i="293"/>
  <c r="H83" i="293"/>
  <c r="H82" i="293"/>
  <c r="H81" i="293"/>
  <c r="H80" i="293"/>
  <c r="H79" i="293"/>
  <c r="H78" i="293"/>
  <c r="H77" i="293"/>
  <c r="H76" i="293"/>
  <c r="B67" i="293"/>
  <c r="F66" i="293"/>
  <c r="B66" i="293"/>
  <c r="B65" i="293"/>
  <c r="H11" i="293"/>
  <c r="H6" i="293"/>
  <c r="H128" i="293" s="1"/>
  <c r="B4" i="293"/>
  <c r="F3" i="293"/>
  <c r="B3" i="293"/>
  <c r="I1" i="293"/>
  <c r="B72" i="292"/>
  <c r="H11" i="292"/>
  <c r="H6" i="292"/>
  <c r="B4" i="292"/>
  <c r="F3" i="292"/>
  <c r="B3" i="292"/>
  <c r="I1" i="292"/>
  <c r="B73" i="291"/>
  <c r="H11" i="291"/>
  <c r="H6" i="291"/>
  <c r="B4" i="291"/>
  <c r="F3" i="291"/>
  <c r="B3" i="291"/>
  <c r="I1" i="291"/>
  <c r="K69" i="290"/>
  <c r="M149" i="290"/>
  <c r="M140" i="290"/>
  <c r="M87" i="290"/>
  <c r="L87" i="290"/>
  <c r="M84" i="290"/>
  <c r="M75" i="290"/>
  <c r="M11" i="290"/>
  <c r="L11" i="290"/>
  <c r="B209" i="290"/>
  <c r="H153" i="290"/>
  <c r="B142" i="290"/>
  <c r="F141" i="290"/>
  <c r="B141" i="290"/>
  <c r="B140" i="290"/>
  <c r="H87" i="290"/>
  <c r="B77" i="290"/>
  <c r="F76" i="290"/>
  <c r="B76" i="290"/>
  <c r="B75" i="290"/>
  <c r="H11" i="290"/>
  <c r="H6" i="290"/>
  <c r="H144" i="290" s="1"/>
  <c r="B4" i="290"/>
  <c r="F3" i="290"/>
  <c r="B3" i="290"/>
  <c r="I1" i="290"/>
  <c r="B74" i="289"/>
  <c r="M11" i="289"/>
  <c r="L11" i="289"/>
  <c r="L74" i="289" s="1"/>
  <c r="L1" i="289" s="1"/>
  <c r="H11" i="289"/>
  <c r="H6" i="289"/>
  <c r="B4" i="289"/>
  <c r="F3" i="289"/>
  <c r="B3" i="289"/>
  <c r="K1" i="289"/>
  <c r="Q1" i="289" s="1"/>
  <c r="I1" i="289"/>
  <c r="B211" i="288"/>
  <c r="H154" i="288"/>
  <c r="M152" i="288"/>
  <c r="B145" i="288"/>
  <c r="F144" i="288"/>
  <c r="B144" i="288"/>
  <c r="M83" i="288"/>
  <c r="L83" i="288"/>
  <c r="H83" i="288"/>
  <c r="M82" i="288"/>
  <c r="B75" i="288"/>
  <c r="F74" i="288"/>
  <c r="B74" i="288"/>
  <c r="B73" i="288"/>
  <c r="B143" i="288" s="1"/>
  <c r="M11" i="288"/>
  <c r="L11" i="288"/>
  <c r="H11" i="288"/>
  <c r="H6" i="288"/>
  <c r="H147" i="288" s="1"/>
  <c r="B4" i="288"/>
  <c r="F3" i="288"/>
  <c r="B3" i="288"/>
  <c r="Q1" i="288"/>
  <c r="I1" i="288"/>
  <c r="B78" i="287"/>
  <c r="L20" i="287"/>
  <c r="M20" i="287" s="1"/>
  <c r="M11" i="287"/>
  <c r="L11" i="287"/>
  <c r="H11" i="287"/>
  <c r="B7" i="287"/>
  <c r="H6" i="287"/>
  <c r="B4" i="287"/>
  <c r="F3" i="287"/>
  <c r="B3" i="287"/>
  <c r="I1" i="287"/>
  <c r="M83" i="286"/>
  <c r="L83" i="286"/>
  <c r="M82" i="286"/>
  <c r="M11" i="286"/>
  <c r="L11" i="286"/>
  <c r="B144" i="286"/>
  <c r="B78" i="286"/>
  <c r="B75" i="286"/>
  <c r="F74" i="286"/>
  <c r="B74" i="286"/>
  <c r="B73" i="286"/>
  <c r="B7" i="286"/>
  <c r="H6" i="286"/>
  <c r="H77" i="286" s="1"/>
  <c r="B4" i="286"/>
  <c r="F3" i="286"/>
  <c r="B3" i="286"/>
  <c r="I1" i="286"/>
  <c r="M256" i="275"/>
  <c r="M189" i="275"/>
  <c r="M122" i="275"/>
  <c r="M68" i="275"/>
  <c r="B256" i="275"/>
  <c r="L18" i="285"/>
  <c r="M18" i="285" s="1"/>
  <c r="L14" i="285"/>
  <c r="M132" i="285"/>
  <c r="L132" i="285"/>
  <c r="M62" i="285"/>
  <c r="L62" i="285"/>
  <c r="B158" i="285"/>
  <c r="M131" i="285"/>
  <c r="B127" i="285"/>
  <c r="B124" i="285"/>
  <c r="F123" i="285"/>
  <c r="B123" i="285"/>
  <c r="L47" i="278" l="1"/>
  <c r="M14" i="285"/>
  <c r="H69" i="295"/>
  <c r="H78" i="295" s="1"/>
  <c r="H144" i="295" s="1"/>
  <c r="H72" i="292"/>
  <c r="H1" i="292" s="1"/>
  <c r="H73" i="291"/>
  <c r="H1" i="291" s="1"/>
  <c r="H62" i="296"/>
  <c r="L65" i="293"/>
  <c r="H65" i="293"/>
  <c r="H74" i="293" s="1"/>
  <c r="H124" i="293" s="1"/>
  <c r="H133" i="293" s="1"/>
  <c r="H185" i="293" s="1"/>
  <c r="H75" i="294"/>
  <c r="H1" i="294" s="1"/>
  <c r="H69" i="293"/>
  <c r="L75" i="290"/>
  <c r="H75" i="290"/>
  <c r="H84" i="290" s="1"/>
  <c r="H140" i="290" s="1"/>
  <c r="H149" i="290" s="1"/>
  <c r="H209" i="290" s="1"/>
  <c r="H79" i="290"/>
  <c r="L73" i="288"/>
  <c r="L82" i="288" s="1"/>
  <c r="L143" i="288" s="1"/>
  <c r="L152" i="288" s="1"/>
  <c r="L211" i="288" s="1"/>
  <c r="H74" i="289"/>
  <c r="H1" i="289" s="1"/>
  <c r="H73" i="288"/>
  <c r="H77" i="288"/>
  <c r="H78" i="287"/>
  <c r="H1" i="287" s="1"/>
  <c r="L78" i="287"/>
  <c r="L1" i="287" s="1"/>
  <c r="L73" i="286"/>
  <c r="H73" i="286"/>
  <c r="M61" i="285"/>
  <c r="M11" i="285"/>
  <c r="L11" i="285"/>
  <c r="L52" i="285" s="1"/>
  <c r="B122" i="285"/>
  <c r="B57" i="285"/>
  <c r="B54" i="285"/>
  <c r="F53" i="285"/>
  <c r="B53" i="285"/>
  <c r="H11" i="285"/>
  <c r="H52" i="285" s="1"/>
  <c r="B7" i="285"/>
  <c r="H6" i="285"/>
  <c r="H126" i="285" s="1"/>
  <c r="B4" i="285"/>
  <c r="F3" i="285"/>
  <c r="B3" i="285"/>
  <c r="I1" i="285"/>
  <c r="M151" i="284"/>
  <c r="L151" i="284"/>
  <c r="M150" i="284"/>
  <c r="M79" i="284"/>
  <c r="L79" i="284"/>
  <c r="M78" i="284"/>
  <c r="M11" i="284"/>
  <c r="L11" i="284"/>
  <c r="B213" i="284"/>
  <c r="H155" i="284"/>
  <c r="B146" i="284"/>
  <c r="B143" i="284"/>
  <c r="F142" i="284"/>
  <c r="B142" i="284"/>
  <c r="B141" i="284"/>
  <c r="H80" i="284"/>
  <c r="B74" i="284"/>
  <c r="B71" i="284"/>
  <c r="F70" i="284"/>
  <c r="B70" i="284"/>
  <c r="B69" i="284"/>
  <c r="H11" i="284"/>
  <c r="B7" i="284"/>
  <c r="H6" i="284"/>
  <c r="H145" i="284" s="1"/>
  <c r="B4" i="284"/>
  <c r="F3" i="284"/>
  <c r="B3" i="284"/>
  <c r="I1" i="284"/>
  <c r="E35" i="254"/>
  <c r="D20" i="278"/>
  <c r="K20" i="278"/>
  <c r="D88" i="278"/>
  <c r="D91" i="278"/>
  <c r="H82" i="286" l="1"/>
  <c r="H144" i="286" s="1"/>
  <c r="H82" i="288"/>
  <c r="H143" i="288" s="1"/>
  <c r="G87" i="278"/>
  <c r="L83" i="278"/>
  <c r="G83" i="278"/>
  <c r="G20" i="278"/>
  <c r="C78" i="287"/>
  <c r="L88" i="278"/>
  <c r="G88" i="278"/>
  <c r="H1" i="295"/>
  <c r="H71" i="296"/>
  <c r="H137" i="296" s="1"/>
  <c r="L74" i="293"/>
  <c r="L124" i="293" s="1"/>
  <c r="H1" i="293"/>
  <c r="L84" i="290"/>
  <c r="H1" i="290"/>
  <c r="L1" i="288"/>
  <c r="L82" i="286"/>
  <c r="L144" i="286" s="1"/>
  <c r="H56" i="285"/>
  <c r="H61" i="285"/>
  <c r="H122" i="285" s="1"/>
  <c r="L61" i="285"/>
  <c r="L122" i="285" s="1"/>
  <c r="H73" i="284"/>
  <c r="D89" i="278"/>
  <c r="H131" i="285" l="1"/>
  <c r="H158" i="285" s="1"/>
  <c r="H1" i="286"/>
  <c r="H152" i="288"/>
  <c r="H1" i="296"/>
  <c r="G92" i="278"/>
  <c r="L92" i="278"/>
  <c r="G89" i="278"/>
  <c r="I89" i="278" s="1"/>
  <c r="G85" i="278"/>
  <c r="I85" i="278" s="1"/>
  <c r="G34" i="278"/>
  <c r="I38" i="278" s="1"/>
  <c r="G29" i="278"/>
  <c r="I29" i="278" s="1"/>
  <c r="G91" i="278"/>
  <c r="L91" i="278"/>
  <c r="L133" i="293"/>
  <c r="L185" i="293" s="1"/>
  <c r="L1" i="286"/>
  <c r="L140" i="290"/>
  <c r="L149" i="290" s="1"/>
  <c r="L209" i="290" s="1"/>
  <c r="L1" i="290" s="1"/>
  <c r="L131" i="285"/>
  <c r="L158" i="285" s="1"/>
  <c r="L1" i="285" s="1"/>
  <c r="K18" i="279"/>
  <c r="L18" i="279" s="1"/>
  <c r="M18" i="279" s="1"/>
  <c r="L101" i="283"/>
  <c r="M101" i="283" s="1"/>
  <c r="L99" i="283"/>
  <c r="M99" i="283" s="1"/>
  <c r="M148" i="283"/>
  <c r="L148" i="283"/>
  <c r="M147" i="283"/>
  <c r="L147" i="283"/>
  <c r="M146" i="283"/>
  <c r="L146" i="283"/>
  <c r="M145" i="283"/>
  <c r="L145" i="283"/>
  <c r="M144" i="283"/>
  <c r="L144" i="283"/>
  <c r="M143" i="283"/>
  <c r="L143" i="283"/>
  <c r="M142" i="283"/>
  <c r="L142" i="283"/>
  <c r="M141" i="283"/>
  <c r="L141" i="283"/>
  <c r="M140" i="283"/>
  <c r="L140" i="283"/>
  <c r="M139" i="283"/>
  <c r="L139" i="283"/>
  <c r="M138" i="283"/>
  <c r="L138" i="283"/>
  <c r="M137" i="283"/>
  <c r="L137" i="283"/>
  <c r="M136" i="283"/>
  <c r="L136" i="283"/>
  <c r="M135" i="283"/>
  <c r="L135" i="283"/>
  <c r="M134" i="283"/>
  <c r="L134" i="283"/>
  <c r="M133" i="283"/>
  <c r="L133" i="283"/>
  <c r="M132" i="283"/>
  <c r="L132" i="283"/>
  <c r="M131" i="283"/>
  <c r="L131" i="283"/>
  <c r="M130" i="283"/>
  <c r="L130" i="283"/>
  <c r="M129" i="283"/>
  <c r="L129" i="283"/>
  <c r="M149" i="283"/>
  <c r="K132" i="283"/>
  <c r="M128" i="283"/>
  <c r="L128" i="283"/>
  <c r="M127" i="283"/>
  <c r="L127" i="283"/>
  <c r="M126" i="283"/>
  <c r="L126" i="283"/>
  <c r="K126" i="283"/>
  <c r="M125" i="283"/>
  <c r="L125" i="283"/>
  <c r="M124" i="283"/>
  <c r="L124" i="283"/>
  <c r="M123" i="283"/>
  <c r="L123" i="283"/>
  <c r="M122" i="283"/>
  <c r="L122" i="283"/>
  <c r="M121" i="283"/>
  <c r="L121" i="283"/>
  <c r="M120" i="283"/>
  <c r="L120" i="283"/>
  <c r="M119" i="283"/>
  <c r="L119" i="283"/>
  <c r="M118" i="283"/>
  <c r="L118" i="283"/>
  <c r="M117" i="283"/>
  <c r="L117" i="283"/>
  <c r="M116" i="283"/>
  <c r="L116" i="283"/>
  <c r="M115" i="283"/>
  <c r="L115" i="283"/>
  <c r="M114" i="283"/>
  <c r="L114" i="283"/>
  <c r="M113" i="283"/>
  <c r="L113" i="283"/>
  <c r="M112" i="283"/>
  <c r="L112" i="283"/>
  <c r="M111" i="283"/>
  <c r="L111" i="283"/>
  <c r="M110" i="283"/>
  <c r="L110" i="283"/>
  <c r="M109" i="283"/>
  <c r="L109" i="283"/>
  <c r="M108" i="283"/>
  <c r="L108" i="283"/>
  <c r="M107" i="283"/>
  <c r="L107" i="283"/>
  <c r="M106" i="283"/>
  <c r="L106" i="283"/>
  <c r="M105" i="283"/>
  <c r="L105" i="283"/>
  <c r="M104" i="283"/>
  <c r="L104" i="283"/>
  <c r="M103" i="283"/>
  <c r="L103" i="283"/>
  <c r="M102" i="283"/>
  <c r="L102" i="283"/>
  <c r="M100" i="283"/>
  <c r="L100" i="283"/>
  <c r="M98" i="283"/>
  <c r="L98" i="283"/>
  <c r="M97" i="283"/>
  <c r="L97" i="283"/>
  <c r="M96" i="283"/>
  <c r="L96" i="283"/>
  <c r="M95" i="283"/>
  <c r="L95" i="283"/>
  <c r="M94" i="283"/>
  <c r="L94" i="283"/>
  <c r="K94" i="283"/>
  <c r="M93" i="283"/>
  <c r="L93" i="283"/>
  <c r="M92" i="283"/>
  <c r="L92" i="283"/>
  <c r="M91" i="283"/>
  <c r="L91" i="283"/>
  <c r="M90" i="283"/>
  <c r="L90" i="283"/>
  <c r="M89" i="283"/>
  <c r="L89" i="283"/>
  <c r="M88" i="283"/>
  <c r="L88" i="283"/>
  <c r="M87" i="283"/>
  <c r="M11" i="283"/>
  <c r="L11" i="283"/>
  <c r="H101" i="283"/>
  <c r="H99" i="283"/>
  <c r="D19" i="278"/>
  <c r="E33" i="254"/>
  <c r="K19" i="278"/>
  <c r="K85" i="278"/>
  <c r="K76" i="278"/>
  <c r="C144" i="286" l="1"/>
  <c r="H1" i="285"/>
  <c r="C158" i="285" s="1"/>
  <c r="G19" i="278"/>
  <c r="C73" i="286"/>
  <c r="H211" i="288"/>
  <c r="H1" i="288" s="1"/>
  <c r="L19" i="278"/>
  <c r="G93" i="278"/>
  <c r="I93" i="278" s="1"/>
  <c r="L1" i="293"/>
  <c r="L78" i="283"/>
  <c r="L87" i="283" s="1"/>
  <c r="L149" i="283" s="1"/>
  <c r="K89" i="278"/>
  <c r="C52" i="285" l="1"/>
  <c r="C122" i="285"/>
  <c r="C73" i="288"/>
  <c r="C143" i="288"/>
  <c r="C211" i="288"/>
  <c r="L89" i="278"/>
  <c r="L29" i="278"/>
  <c r="G82" i="278"/>
  <c r="I83" i="278" s="1"/>
  <c r="L1" i="283"/>
  <c r="K71" i="278"/>
  <c r="B149" i="283" l="1"/>
  <c r="H95" i="283"/>
  <c r="H94" i="283"/>
  <c r="H93" i="283"/>
  <c r="H92" i="283"/>
  <c r="H91" i="283"/>
  <c r="H90" i="283"/>
  <c r="H89" i="283"/>
  <c r="B83" i="283"/>
  <c r="B80" i="283"/>
  <c r="F79" i="283"/>
  <c r="B79" i="283"/>
  <c r="B78" i="283"/>
  <c r="H11" i="283"/>
  <c r="B7" i="283"/>
  <c r="H6" i="283"/>
  <c r="H82" i="283" s="1"/>
  <c r="B4" i="283"/>
  <c r="F3" i="283"/>
  <c r="B3" i="283"/>
  <c r="I1" i="283"/>
  <c r="H18" i="272" l="1"/>
  <c r="I64" i="278" s="1"/>
  <c r="H78" i="283"/>
  <c r="H221" i="282"/>
  <c r="B263" i="282"/>
  <c r="H262" i="282"/>
  <c r="H261" i="282"/>
  <c r="H260" i="282"/>
  <c r="H259" i="282"/>
  <c r="H258" i="282"/>
  <c r="H257" i="282"/>
  <c r="H256" i="282"/>
  <c r="H255" i="282"/>
  <c r="H254" i="282"/>
  <c r="H253" i="282"/>
  <c r="H252" i="282"/>
  <c r="H251" i="282"/>
  <c r="H250" i="282"/>
  <c r="H249" i="282"/>
  <c r="H248" i="282"/>
  <c r="H247" i="282"/>
  <c r="H246" i="282"/>
  <c r="H245" i="282"/>
  <c r="H244" i="282"/>
  <c r="H243" i="282"/>
  <c r="H242" i="282"/>
  <c r="H241" i="282"/>
  <c r="H240" i="282"/>
  <c r="H239" i="282"/>
  <c r="H238" i="282"/>
  <c r="H237" i="282"/>
  <c r="H236" i="282"/>
  <c r="H235" i="282"/>
  <c r="H234" i="282"/>
  <c r="H233" i="282"/>
  <c r="H232" i="282"/>
  <c r="H231" i="282"/>
  <c r="H230" i="282"/>
  <c r="H229" i="282"/>
  <c r="H228" i="282"/>
  <c r="H227" i="282"/>
  <c r="H226" i="282"/>
  <c r="H225" i="282"/>
  <c r="H224" i="282"/>
  <c r="H223" i="282"/>
  <c r="H222" i="282"/>
  <c r="H220" i="282"/>
  <c r="H219" i="282"/>
  <c r="H218" i="282"/>
  <c r="H217" i="282"/>
  <c r="H216" i="282"/>
  <c r="H215" i="282"/>
  <c r="H214" i="282"/>
  <c r="H213" i="282"/>
  <c r="H212" i="282"/>
  <c r="H211" i="282"/>
  <c r="B205" i="282"/>
  <c r="B202" i="282"/>
  <c r="F201" i="282"/>
  <c r="B201" i="282"/>
  <c r="B200" i="282"/>
  <c r="B134" i="282"/>
  <c r="B131" i="282"/>
  <c r="F130" i="282"/>
  <c r="B130" i="282"/>
  <c r="B129" i="282"/>
  <c r="H72" i="282"/>
  <c r="B67" i="282"/>
  <c r="B64" i="282"/>
  <c r="F63" i="282"/>
  <c r="B63" i="282"/>
  <c r="B62" i="282"/>
  <c r="H11" i="282"/>
  <c r="B7" i="282"/>
  <c r="H6" i="282"/>
  <c r="B4" i="282"/>
  <c r="F3" i="282"/>
  <c r="B3" i="282"/>
  <c r="I1" i="282"/>
  <c r="H230" i="271"/>
  <c r="H228" i="271"/>
  <c r="H226" i="271"/>
  <c r="H107" i="270"/>
  <c r="H106" i="270"/>
  <c r="H105" i="270"/>
  <c r="H104" i="270"/>
  <c r="H103" i="270"/>
  <c r="H102" i="270"/>
  <c r="H101" i="270"/>
  <c r="K16" i="270"/>
  <c r="H87" i="283" l="1"/>
  <c r="H149" i="283" s="1"/>
  <c r="L18" i="282"/>
  <c r="H18" i="282"/>
  <c r="H66" i="282"/>
  <c r="H133" i="282"/>
  <c r="H204" i="282"/>
  <c r="F28" i="282"/>
  <c r="M417" i="281"/>
  <c r="B417" i="281"/>
  <c r="M416" i="281"/>
  <c r="L416" i="281"/>
  <c r="M415" i="281"/>
  <c r="L415" i="281"/>
  <c r="M414" i="281"/>
  <c r="L414" i="281"/>
  <c r="M413" i="281"/>
  <c r="L413" i="281"/>
  <c r="M412" i="281"/>
  <c r="L412" i="281"/>
  <c r="M411" i="281"/>
  <c r="L411" i="281"/>
  <c r="M410" i="281"/>
  <c r="L410" i="281"/>
  <c r="M409" i="281"/>
  <c r="L409" i="281"/>
  <c r="M408" i="281"/>
  <c r="L408" i="281"/>
  <c r="M407" i="281"/>
  <c r="L407" i="281"/>
  <c r="M406" i="281"/>
  <c r="L406" i="281"/>
  <c r="M405" i="281"/>
  <c r="L405" i="281"/>
  <c r="M404" i="281"/>
  <c r="L404" i="281"/>
  <c r="M403" i="281"/>
  <c r="L403" i="281"/>
  <c r="M402" i="281"/>
  <c r="L402" i="281"/>
  <c r="M401" i="281"/>
  <c r="L401" i="281"/>
  <c r="M400" i="281"/>
  <c r="L400" i="281"/>
  <c r="M399" i="281"/>
  <c r="L399" i="281"/>
  <c r="M398" i="281"/>
  <c r="L398" i="281"/>
  <c r="M397" i="281"/>
  <c r="L397" i="281"/>
  <c r="M396" i="281"/>
  <c r="L396" i="281"/>
  <c r="M395" i="281"/>
  <c r="L395" i="281"/>
  <c r="M394" i="281"/>
  <c r="L394" i="281"/>
  <c r="M393" i="281"/>
  <c r="L393" i="281"/>
  <c r="M392" i="281"/>
  <c r="L392" i="281"/>
  <c r="M391" i="281"/>
  <c r="L391" i="281"/>
  <c r="M390" i="281"/>
  <c r="L390" i="281"/>
  <c r="M389" i="281"/>
  <c r="L389" i="281"/>
  <c r="M388" i="281"/>
  <c r="L388" i="281"/>
  <c r="M387" i="281"/>
  <c r="L387" i="281"/>
  <c r="M386" i="281"/>
  <c r="L386" i="281"/>
  <c r="M385" i="281"/>
  <c r="L385" i="281"/>
  <c r="M384" i="281"/>
  <c r="L384" i="281"/>
  <c r="M383" i="281"/>
  <c r="L383" i="281"/>
  <c r="M382" i="281"/>
  <c r="L382" i="281"/>
  <c r="M381" i="281"/>
  <c r="L381" i="281"/>
  <c r="M380" i="281"/>
  <c r="L380" i="281"/>
  <c r="M379" i="281"/>
  <c r="L379" i="281"/>
  <c r="M378" i="281"/>
  <c r="L378" i="281"/>
  <c r="M377" i="281"/>
  <c r="L377" i="281"/>
  <c r="M376" i="281"/>
  <c r="L376" i="281"/>
  <c r="M375" i="281"/>
  <c r="L375" i="281"/>
  <c r="M374" i="281"/>
  <c r="L374" i="281"/>
  <c r="M373" i="281"/>
  <c r="L373" i="281"/>
  <c r="M372" i="281"/>
  <c r="L372" i="281"/>
  <c r="M371" i="281"/>
  <c r="L371" i="281"/>
  <c r="M370" i="281"/>
  <c r="L370" i="281"/>
  <c r="M369" i="281"/>
  <c r="L369" i="281"/>
  <c r="M368" i="281"/>
  <c r="L368" i="281"/>
  <c r="H368" i="281"/>
  <c r="M367" i="281"/>
  <c r="L367" i="281"/>
  <c r="H367" i="281"/>
  <c r="M366" i="281"/>
  <c r="L366" i="281"/>
  <c r="H366" i="281"/>
  <c r="M365" i="281"/>
  <c r="L365" i="281"/>
  <c r="H365" i="281"/>
  <c r="M364" i="281"/>
  <c r="L364" i="281"/>
  <c r="H364" i="281"/>
  <c r="M363" i="281"/>
  <c r="L363" i="281"/>
  <c r="H363" i="281"/>
  <c r="M362" i="281"/>
  <c r="L362" i="281"/>
  <c r="H362" i="281"/>
  <c r="M361" i="281"/>
  <c r="L361" i="281"/>
  <c r="M360" i="281"/>
  <c r="L360" i="281"/>
  <c r="M359" i="281"/>
  <c r="B355" i="281"/>
  <c r="B352" i="281"/>
  <c r="F351" i="281"/>
  <c r="M350" i="281" s="1"/>
  <c r="B351" i="281"/>
  <c r="B350" i="281"/>
  <c r="M349" i="281"/>
  <c r="L349" i="281"/>
  <c r="M348" i="281"/>
  <c r="L348" i="281"/>
  <c r="H348" i="281"/>
  <c r="M347" i="281"/>
  <c r="L347" i="281"/>
  <c r="H347" i="281"/>
  <c r="M346" i="281"/>
  <c r="L346" i="281"/>
  <c r="H346" i="281"/>
  <c r="M345" i="281"/>
  <c r="L345" i="281"/>
  <c r="H345" i="281"/>
  <c r="M344" i="281"/>
  <c r="L344" i="281"/>
  <c r="H344" i="281"/>
  <c r="M343" i="281"/>
  <c r="L343" i="281"/>
  <c r="H343" i="281"/>
  <c r="M342" i="281"/>
  <c r="L342" i="281"/>
  <c r="H342" i="281"/>
  <c r="M341" i="281"/>
  <c r="L341" i="281"/>
  <c r="H341" i="281"/>
  <c r="M340" i="281"/>
  <c r="L340" i="281"/>
  <c r="H340" i="281"/>
  <c r="M339" i="281"/>
  <c r="L339" i="281"/>
  <c r="H339" i="281"/>
  <c r="M338" i="281"/>
  <c r="L338" i="281"/>
  <c r="H338" i="281"/>
  <c r="M337" i="281"/>
  <c r="L337" i="281"/>
  <c r="H337" i="281"/>
  <c r="M336" i="281"/>
  <c r="L336" i="281"/>
  <c r="H336" i="281"/>
  <c r="M335" i="281"/>
  <c r="L335" i="281"/>
  <c r="H335" i="281"/>
  <c r="M334" i="281"/>
  <c r="L334" i="281"/>
  <c r="H334" i="281"/>
  <c r="M333" i="281"/>
  <c r="L333" i="281"/>
  <c r="H333" i="281"/>
  <c r="M332" i="281"/>
  <c r="L332" i="281"/>
  <c r="H332" i="281"/>
  <c r="M331" i="281"/>
  <c r="L331" i="281"/>
  <c r="H331" i="281"/>
  <c r="M330" i="281"/>
  <c r="L330" i="281"/>
  <c r="H330" i="281"/>
  <c r="M329" i="281"/>
  <c r="L329" i="281"/>
  <c r="H329" i="281"/>
  <c r="M328" i="281"/>
  <c r="L328" i="281"/>
  <c r="H328" i="281"/>
  <c r="M327" i="281"/>
  <c r="L327" i="281"/>
  <c r="H327" i="281"/>
  <c r="M326" i="281"/>
  <c r="L326" i="281"/>
  <c r="H326" i="281"/>
  <c r="M325" i="281"/>
  <c r="L325" i="281"/>
  <c r="H325" i="281"/>
  <c r="M324" i="281"/>
  <c r="L324" i="281"/>
  <c r="H324" i="281"/>
  <c r="M323" i="281"/>
  <c r="L323" i="281"/>
  <c r="H323" i="281"/>
  <c r="M322" i="281"/>
  <c r="L322" i="281"/>
  <c r="H322" i="281"/>
  <c r="M321" i="281"/>
  <c r="L321" i="281"/>
  <c r="H321" i="281"/>
  <c r="M320" i="281"/>
  <c r="L320" i="281"/>
  <c r="H320" i="281"/>
  <c r="M319" i="281"/>
  <c r="L319" i="281"/>
  <c r="H319" i="281"/>
  <c r="M318" i="281"/>
  <c r="L318" i="281"/>
  <c r="H318" i="281"/>
  <c r="M317" i="281"/>
  <c r="L317" i="281"/>
  <c r="H317" i="281"/>
  <c r="M316" i="281"/>
  <c r="L316" i="281"/>
  <c r="H316" i="281"/>
  <c r="M315" i="281"/>
  <c r="L315" i="281"/>
  <c r="H315" i="281"/>
  <c r="M314" i="281"/>
  <c r="L314" i="281"/>
  <c r="H314" i="281"/>
  <c r="M313" i="281"/>
  <c r="L313" i="281"/>
  <c r="H313" i="281"/>
  <c r="M312" i="281"/>
  <c r="L312" i="281"/>
  <c r="H312" i="281"/>
  <c r="M311" i="281"/>
  <c r="L311" i="281"/>
  <c r="H311" i="281"/>
  <c r="M310" i="281"/>
  <c r="L310" i="281"/>
  <c r="H310" i="281"/>
  <c r="M309" i="281"/>
  <c r="L309" i="281"/>
  <c r="H309" i="281"/>
  <c r="M308" i="281"/>
  <c r="L308" i="281"/>
  <c r="H308" i="281"/>
  <c r="M307" i="281"/>
  <c r="L307" i="281"/>
  <c r="H307" i="281"/>
  <c r="M306" i="281"/>
  <c r="L306" i="281"/>
  <c r="H306" i="281"/>
  <c r="M305" i="281"/>
  <c r="L305" i="281"/>
  <c r="H305" i="281"/>
  <c r="M304" i="281"/>
  <c r="L304" i="281"/>
  <c r="H304" i="281"/>
  <c r="M303" i="281"/>
  <c r="L303" i="281"/>
  <c r="H303" i="281"/>
  <c r="M302" i="281"/>
  <c r="B298" i="281"/>
  <c r="B295" i="281"/>
  <c r="F294" i="281"/>
  <c r="B294" i="281"/>
  <c r="M293" i="281"/>
  <c r="B293" i="281"/>
  <c r="M292" i="281"/>
  <c r="L292" i="281"/>
  <c r="M291" i="281"/>
  <c r="L291" i="281"/>
  <c r="H291" i="281"/>
  <c r="M290" i="281"/>
  <c r="L290" i="281"/>
  <c r="H290" i="281"/>
  <c r="M289" i="281"/>
  <c r="L289" i="281"/>
  <c r="H289" i="281"/>
  <c r="M288" i="281"/>
  <c r="L288" i="281"/>
  <c r="H288" i="281"/>
  <c r="M287" i="281"/>
  <c r="L287" i="281"/>
  <c r="H287" i="281"/>
  <c r="M286" i="281"/>
  <c r="L286" i="281"/>
  <c r="H286" i="281"/>
  <c r="M285" i="281"/>
  <c r="L285" i="281"/>
  <c r="H285" i="281"/>
  <c r="M284" i="281"/>
  <c r="L284" i="281"/>
  <c r="H284" i="281"/>
  <c r="M283" i="281"/>
  <c r="L283" i="281"/>
  <c r="H283" i="281"/>
  <c r="M282" i="281"/>
  <c r="L282" i="281"/>
  <c r="H282" i="281"/>
  <c r="M281" i="281"/>
  <c r="L281" i="281"/>
  <c r="H281" i="281"/>
  <c r="M280" i="281"/>
  <c r="L280" i="281"/>
  <c r="H280" i="281"/>
  <c r="M279" i="281"/>
  <c r="L279" i="281"/>
  <c r="H279" i="281"/>
  <c r="M278" i="281"/>
  <c r="L278" i="281"/>
  <c r="H278" i="281"/>
  <c r="M277" i="281"/>
  <c r="L277" i="281"/>
  <c r="H277" i="281"/>
  <c r="M276" i="281"/>
  <c r="L276" i="281"/>
  <c r="H276" i="281"/>
  <c r="M275" i="281"/>
  <c r="L275" i="281"/>
  <c r="H275" i="281"/>
  <c r="M274" i="281"/>
  <c r="L274" i="281"/>
  <c r="H274" i="281"/>
  <c r="M273" i="281"/>
  <c r="L273" i="281"/>
  <c r="H273" i="281"/>
  <c r="M272" i="281"/>
  <c r="L272" i="281"/>
  <c r="H272" i="281"/>
  <c r="M271" i="281"/>
  <c r="L271" i="281"/>
  <c r="H271" i="281"/>
  <c r="M270" i="281"/>
  <c r="L270" i="281"/>
  <c r="H270" i="281"/>
  <c r="M269" i="281"/>
  <c r="L269" i="281"/>
  <c r="H269" i="281"/>
  <c r="M268" i="281"/>
  <c r="L268" i="281"/>
  <c r="H268" i="281"/>
  <c r="M267" i="281"/>
  <c r="L267" i="281"/>
  <c r="H267" i="281"/>
  <c r="M266" i="281"/>
  <c r="L266" i="281"/>
  <c r="H266" i="281"/>
  <c r="M265" i="281"/>
  <c r="L265" i="281"/>
  <c r="H265" i="281"/>
  <c r="M264" i="281"/>
  <c r="L264" i="281"/>
  <c r="H264" i="281"/>
  <c r="M263" i="281"/>
  <c r="L263" i="281"/>
  <c r="H263" i="281"/>
  <c r="M262" i="281"/>
  <c r="L262" i="281"/>
  <c r="H262" i="281"/>
  <c r="M261" i="281"/>
  <c r="L261" i="281"/>
  <c r="H261" i="281"/>
  <c r="M260" i="281"/>
  <c r="L260" i="281"/>
  <c r="H260" i="281"/>
  <c r="M259" i="281"/>
  <c r="L259" i="281"/>
  <c r="H259" i="281"/>
  <c r="M258" i="281"/>
  <c r="L258" i="281"/>
  <c r="H258" i="281"/>
  <c r="M257" i="281"/>
  <c r="L257" i="281"/>
  <c r="H257" i="281"/>
  <c r="M256" i="281"/>
  <c r="L256" i="281"/>
  <c r="H256" i="281"/>
  <c r="M255" i="281"/>
  <c r="L255" i="281"/>
  <c r="H255" i="281"/>
  <c r="M254" i="281"/>
  <c r="L254" i="281"/>
  <c r="M253" i="281"/>
  <c r="B249" i="281"/>
  <c r="B246" i="281"/>
  <c r="F245" i="281"/>
  <c r="B245" i="281"/>
  <c r="M244" i="281"/>
  <c r="B244" i="281"/>
  <c r="M243" i="281"/>
  <c r="L243" i="281"/>
  <c r="M242" i="281"/>
  <c r="L242" i="281"/>
  <c r="H242" i="281"/>
  <c r="M241" i="281"/>
  <c r="L241" i="281"/>
  <c r="H241" i="281"/>
  <c r="M240" i="281"/>
  <c r="L240" i="281"/>
  <c r="H240" i="281"/>
  <c r="M239" i="281"/>
  <c r="L239" i="281"/>
  <c r="H239" i="281"/>
  <c r="M238" i="281"/>
  <c r="L238" i="281"/>
  <c r="H238" i="281"/>
  <c r="M237" i="281"/>
  <c r="L237" i="281"/>
  <c r="H237" i="281"/>
  <c r="M236" i="281"/>
  <c r="L236" i="281"/>
  <c r="H236" i="281"/>
  <c r="M235" i="281"/>
  <c r="L235" i="281"/>
  <c r="H235" i="281"/>
  <c r="M234" i="281"/>
  <c r="L234" i="281"/>
  <c r="H234" i="281"/>
  <c r="M233" i="281"/>
  <c r="L233" i="281"/>
  <c r="H233" i="281"/>
  <c r="M232" i="281"/>
  <c r="L232" i="281"/>
  <c r="H232" i="281"/>
  <c r="M231" i="281"/>
  <c r="L231" i="281"/>
  <c r="H231" i="281"/>
  <c r="M230" i="281"/>
  <c r="L230" i="281"/>
  <c r="H230" i="281"/>
  <c r="M229" i="281"/>
  <c r="L229" i="281"/>
  <c r="H229" i="281"/>
  <c r="M228" i="281"/>
  <c r="L228" i="281"/>
  <c r="H228" i="281"/>
  <c r="M227" i="281"/>
  <c r="L227" i="281"/>
  <c r="H227" i="281"/>
  <c r="M226" i="281"/>
  <c r="L226" i="281"/>
  <c r="H226" i="281"/>
  <c r="M225" i="281"/>
  <c r="L225" i="281"/>
  <c r="H225" i="281"/>
  <c r="M224" i="281"/>
  <c r="L224" i="281"/>
  <c r="H224" i="281"/>
  <c r="M223" i="281"/>
  <c r="L223" i="281"/>
  <c r="H223" i="281"/>
  <c r="M222" i="281"/>
  <c r="L222" i="281"/>
  <c r="H222" i="281"/>
  <c r="M221" i="281"/>
  <c r="L221" i="281"/>
  <c r="H221" i="281"/>
  <c r="M220" i="281"/>
  <c r="L220" i="281"/>
  <c r="H220" i="281"/>
  <c r="M219" i="281"/>
  <c r="L219" i="281"/>
  <c r="H219" i="281"/>
  <c r="M218" i="281"/>
  <c r="L218" i="281"/>
  <c r="H218" i="281"/>
  <c r="M217" i="281"/>
  <c r="L217" i="281"/>
  <c r="H217" i="281"/>
  <c r="M216" i="281"/>
  <c r="L216" i="281"/>
  <c r="H216" i="281"/>
  <c r="M215" i="281"/>
  <c r="L215" i="281"/>
  <c r="H215" i="281"/>
  <c r="M214" i="281"/>
  <c r="L214" i="281"/>
  <c r="H214" i="281"/>
  <c r="M213" i="281"/>
  <c r="L213" i="281"/>
  <c r="H213" i="281"/>
  <c r="M212" i="281"/>
  <c r="L212" i="281"/>
  <c r="H212" i="281"/>
  <c r="M211" i="281"/>
  <c r="L211" i="281"/>
  <c r="H211" i="281"/>
  <c r="M210" i="281"/>
  <c r="L210" i="281"/>
  <c r="H210" i="281"/>
  <c r="M209" i="281"/>
  <c r="L209" i="281"/>
  <c r="H209" i="281"/>
  <c r="M208" i="281"/>
  <c r="L208" i="281"/>
  <c r="H208" i="281"/>
  <c r="M207" i="281"/>
  <c r="L207" i="281"/>
  <c r="H207" i="281"/>
  <c r="M206" i="281"/>
  <c r="L206" i="281"/>
  <c r="H206" i="281"/>
  <c r="M205" i="281"/>
  <c r="L205" i="281"/>
  <c r="H205" i="281"/>
  <c r="M204" i="281"/>
  <c r="L204" i="281"/>
  <c r="H204" i="281"/>
  <c r="M203" i="281"/>
  <c r="L203" i="281"/>
  <c r="H203" i="281"/>
  <c r="M202" i="281"/>
  <c r="L202" i="281"/>
  <c r="H202" i="281"/>
  <c r="M201" i="281"/>
  <c r="L201" i="281"/>
  <c r="H201" i="281"/>
  <c r="M200" i="281"/>
  <c r="L200" i="281"/>
  <c r="M199" i="281"/>
  <c r="B195" i="281"/>
  <c r="B192" i="281"/>
  <c r="F191" i="281"/>
  <c r="M190" i="281" s="1"/>
  <c r="B191" i="281"/>
  <c r="B190" i="281"/>
  <c r="M189" i="281"/>
  <c r="L189" i="281"/>
  <c r="H189" i="281"/>
  <c r="M188" i="281"/>
  <c r="L188" i="281"/>
  <c r="M187" i="281"/>
  <c r="L187" i="281"/>
  <c r="M186" i="281"/>
  <c r="L186" i="281"/>
  <c r="H186" i="281"/>
  <c r="M185" i="281"/>
  <c r="L185" i="281"/>
  <c r="H185" i="281"/>
  <c r="M184" i="281"/>
  <c r="L184" i="281"/>
  <c r="H184" i="281"/>
  <c r="M183" i="281"/>
  <c r="L183" i="281"/>
  <c r="H183" i="281"/>
  <c r="M182" i="281"/>
  <c r="L182" i="281"/>
  <c r="H182" i="281"/>
  <c r="M181" i="281"/>
  <c r="L181" i="281"/>
  <c r="H181" i="281"/>
  <c r="M180" i="281"/>
  <c r="L180" i="281"/>
  <c r="H180" i="281"/>
  <c r="M179" i="281"/>
  <c r="L179" i="281"/>
  <c r="H179" i="281"/>
  <c r="M178" i="281"/>
  <c r="L178" i="281"/>
  <c r="H178" i="281"/>
  <c r="M177" i="281"/>
  <c r="L177" i="281"/>
  <c r="H177" i="281"/>
  <c r="M176" i="281"/>
  <c r="L176" i="281"/>
  <c r="H176" i="281"/>
  <c r="M175" i="281"/>
  <c r="L175" i="281"/>
  <c r="H175" i="281"/>
  <c r="M174" i="281"/>
  <c r="L174" i="281"/>
  <c r="H174" i="281"/>
  <c r="M173" i="281"/>
  <c r="L173" i="281"/>
  <c r="H173" i="281"/>
  <c r="M172" i="281"/>
  <c r="L172" i="281"/>
  <c r="H172" i="281"/>
  <c r="M171" i="281"/>
  <c r="L171" i="281"/>
  <c r="H171" i="281"/>
  <c r="M170" i="281"/>
  <c r="L170" i="281"/>
  <c r="H170" i="281"/>
  <c r="M169" i="281"/>
  <c r="L169" i="281"/>
  <c r="H169" i="281"/>
  <c r="M168" i="281"/>
  <c r="L168" i="281"/>
  <c r="H168" i="281"/>
  <c r="M167" i="281"/>
  <c r="L167" i="281"/>
  <c r="H167" i="281"/>
  <c r="M166" i="281"/>
  <c r="L166" i="281"/>
  <c r="H166" i="281"/>
  <c r="M165" i="281"/>
  <c r="L165" i="281"/>
  <c r="H165" i="281"/>
  <c r="M164" i="281"/>
  <c r="L164" i="281"/>
  <c r="H164" i="281"/>
  <c r="M163" i="281"/>
  <c r="L163" i="281"/>
  <c r="H163" i="281"/>
  <c r="M162" i="281"/>
  <c r="L162" i="281"/>
  <c r="H162" i="281"/>
  <c r="M161" i="281"/>
  <c r="L161" i="281"/>
  <c r="H161" i="281"/>
  <c r="M160" i="281"/>
  <c r="L160" i="281"/>
  <c r="H160" i="281"/>
  <c r="M159" i="281"/>
  <c r="L159" i="281"/>
  <c r="H159" i="281"/>
  <c r="M158" i="281"/>
  <c r="L158" i="281"/>
  <c r="H158" i="281"/>
  <c r="M157" i="281"/>
  <c r="L157" i="281"/>
  <c r="H157" i="281"/>
  <c r="M156" i="281"/>
  <c r="L156" i="281"/>
  <c r="H156" i="281"/>
  <c r="M155" i="281"/>
  <c r="L155" i="281"/>
  <c r="H155" i="281"/>
  <c r="M154" i="281"/>
  <c r="L154" i="281"/>
  <c r="H154" i="281"/>
  <c r="M153" i="281"/>
  <c r="L153" i="281"/>
  <c r="H153" i="281"/>
  <c r="M152" i="281"/>
  <c r="L152" i="281"/>
  <c r="H152" i="281"/>
  <c r="M151" i="281"/>
  <c r="L151" i="281"/>
  <c r="H151" i="281"/>
  <c r="M150" i="281"/>
  <c r="L150" i="281"/>
  <c r="H150" i="281"/>
  <c r="M149" i="281"/>
  <c r="L149" i="281"/>
  <c r="H149" i="281"/>
  <c r="M148" i="281"/>
  <c r="L148" i="281"/>
  <c r="H148" i="281"/>
  <c r="M147" i="281"/>
  <c r="L147" i="281"/>
  <c r="H147" i="281"/>
  <c r="M146" i="281"/>
  <c r="L146" i="281"/>
  <c r="H146" i="281"/>
  <c r="M145" i="281"/>
  <c r="L145" i="281"/>
  <c r="H145" i="281"/>
  <c r="M144" i="281"/>
  <c r="L144" i="281"/>
  <c r="H144" i="281"/>
  <c r="M143" i="281"/>
  <c r="L143" i="281"/>
  <c r="M142" i="281"/>
  <c r="B138" i="281"/>
  <c r="B135" i="281"/>
  <c r="F134" i="281"/>
  <c r="B134" i="281"/>
  <c r="B133" i="281"/>
  <c r="M132" i="281"/>
  <c r="L132" i="281"/>
  <c r="H132" i="281"/>
  <c r="M131" i="281"/>
  <c r="L131" i="281"/>
  <c r="M130" i="281"/>
  <c r="L130" i="281"/>
  <c r="M129" i="281"/>
  <c r="L129" i="281"/>
  <c r="H129" i="281"/>
  <c r="M128" i="281"/>
  <c r="L128" i="281"/>
  <c r="H128" i="281"/>
  <c r="M127" i="281"/>
  <c r="L127" i="281"/>
  <c r="H127" i="281"/>
  <c r="M126" i="281"/>
  <c r="L126" i="281"/>
  <c r="H126" i="281"/>
  <c r="M125" i="281"/>
  <c r="L125" i="281"/>
  <c r="H125" i="281"/>
  <c r="M124" i="281"/>
  <c r="L124" i="281"/>
  <c r="H124" i="281"/>
  <c r="M123" i="281"/>
  <c r="L123" i="281"/>
  <c r="H123" i="281"/>
  <c r="M122" i="281"/>
  <c r="L122" i="281"/>
  <c r="H122" i="281"/>
  <c r="M121" i="281"/>
  <c r="L121" i="281"/>
  <c r="H121" i="281"/>
  <c r="M120" i="281"/>
  <c r="L120" i="281"/>
  <c r="H120" i="281"/>
  <c r="M119" i="281"/>
  <c r="L119" i="281"/>
  <c r="H119" i="281"/>
  <c r="M118" i="281"/>
  <c r="L118" i="281"/>
  <c r="H118" i="281"/>
  <c r="M117" i="281"/>
  <c r="L117" i="281"/>
  <c r="H117" i="281"/>
  <c r="M116" i="281"/>
  <c r="L116" i="281"/>
  <c r="H116" i="281"/>
  <c r="M115" i="281"/>
  <c r="L115" i="281"/>
  <c r="H115" i="281"/>
  <c r="M114" i="281"/>
  <c r="L114" i="281"/>
  <c r="H114" i="281"/>
  <c r="M113" i="281"/>
  <c r="L113" i="281"/>
  <c r="H113" i="281"/>
  <c r="M112" i="281"/>
  <c r="L112" i="281"/>
  <c r="H112" i="281"/>
  <c r="M111" i="281"/>
  <c r="L111" i="281"/>
  <c r="H111" i="281"/>
  <c r="M110" i="281"/>
  <c r="L110" i="281"/>
  <c r="H110" i="281"/>
  <c r="M109" i="281"/>
  <c r="L109" i="281"/>
  <c r="H109" i="281"/>
  <c r="M108" i="281"/>
  <c r="L108" i="281"/>
  <c r="H108" i="281"/>
  <c r="M107" i="281"/>
  <c r="L107" i="281"/>
  <c r="H107" i="281"/>
  <c r="M106" i="281"/>
  <c r="L106" i="281"/>
  <c r="H106" i="281"/>
  <c r="M105" i="281"/>
  <c r="L105" i="281"/>
  <c r="H105" i="281"/>
  <c r="M104" i="281"/>
  <c r="L104" i="281"/>
  <c r="H104" i="281"/>
  <c r="M103" i="281"/>
  <c r="L103" i="281"/>
  <c r="H103" i="281"/>
  <c r="M102" i="281"/>
  <c r="L102" i="281"/>
  <c r="H102" i="281"/>
  <c r="M101" i="281"/>
  <c r="L101" i="281"/>
  <c r="H101" i="281"/>
  <c r="M100" i="281"/>
  <c r="L100" i="281"/>
  <c r="H100" i="281"/>
  <c r="M99" i="281"/>
  <c r="L99" i="281"/>
  <c r="H99" i="281"/>
  <c r="M98" i="281"/>
  <c r="L98" i="281"/>
  <c r="H98" i="281"/>
  <c r="M97" i="281"/>
  <c r="L97" i="281"/>
  <c r="H97" i="281"/>
  <c r="M96" i="281"/>
  <c r="L96" i="281"/>
  <c r="H96" i="281"/>
  <c r="M95" i="281"/>
  <c r="L95" i="281"/>
  <c r="H95" i="281"/>
  <c r="M94" i="281"/>
  <c r="L94" i="281"/>
  <c r="H94" i="281"/>
  <c r="M93" i="281"/>
  <c r="L93" i="281"/>
  <c r="H93" i="281"/>
  <c r="M92" i="281"/>
  <c r="L92" i="281"/>
  <c r="H92" i="281"/>
  <c r="M91" i="281"/>
  <c r="L91" i="281"/>
  <c r="H91" i="281"/>
  <c r="M90" i="281"/>
  <c r="L90" i="281"/>
  <c r="H90" i="281"/>
  <c r="M89" i="281"/>
  <c r="L89" i="281"/>
  <c r="H89" i="281"/>
  <c r="M88" i="281"/>
  <c r="L88" i="281"/>
  <c r="H88" i="281"/>
  <c r="M87" i="281"/>
  <c r="L87" i="281"/>
  <c r="H87" i="281"/>
  <c r="M86" i="281"/>
  <c r="L86" i="281"/>
  <c r="H86" i="281"/>
  <c r="M85" i="281"/>
  <c r="L85" i="281"/>
  <c r="H85" i="281"/>
  <c r="M84" i="281"/>
  <c r="L84" i="281"/>
  <c r="H84" i="281"/>
  <c r="M83" i="281"/>
  <c r="L83" i="281"/>
  <c r="H83" i="281"/>
  <c r="M82" i="281"/>
  <c r="L82" i="281"/>
  <c r="H82" i="281"/>
  <c r="M81" i="281"/>
  <c r="B77" i="281"/>
  <c r="B74" i="281"/>
  <c r="F73" i="281"/>
  <c r="B73" i="281"/>
  <c r="B72" i="281"/>
  <c r="M11" i="281"/>
  <c r="L11" i="281"/>
  <c r="H11" i="281"/>
  <c r="B7" i="281"/>
  <c r="H6" i="281"/>
  <c r="H297" i="281" s="1"/>
  <c r="B4" i="281"/>
  <c r="F3" i="281"/>
  <c r="B3" i="281"/>
  <c r="I1" i="281"/>
  <c r="H27" i="262"/>
  <c r="H25" i="262"/>
  <c r="F66" i="260"/>
  <c r="H64" i="260"/>
  <c r="F54" i="260"/>
  <c r="F48" i="260"/>
  <c r="H1" i="283" l="1"/>
  <c r="C149" i="283" s="1"/>
  <c r="M18" i="282"/>
  <c r="L34" i="282"/>
  <c r="H34" i="282"/>
  <c r="H22" i="282"/>
  <c r="H28" i="282"/>
  <c r="F32" i="282"/>
  <c r="H76" i="281"/>
  <c r="H137" i="281"/>
  <c r="H194" i="281"/>
  <c r="H354" i="281"/>
  <c r="H248" i="281"/>
  <c r="H66" i="260"/>
  <c r="C78" i="283" l="1"/>
  <c r="H32" i="282"/>
  <c r="M34" i="282"/>
  <c r="H83" i="262"/>
  <c r="H62" i="193"/>
  <c r="H60" i="193"/>
  <c r="G76" i="278" l="1"/>
  <c r="I76" i="278" s="1"/>
  <c r="H215" i="247"/>
  <c r="H90" i="247"/>
  <c r="H86" i="247"/>
  <c r="H84" i="247"/>
  <c r="H92" i="211" l="1"/>
  <c r="H88" i="211"/>
  <c r="H86" i="211"/>
  <c r="H138" i="211"/>
  <c r="H191" i="159" l="1"/>
  <c r="B1343" i="280"/>
  <c r="B1342" i="280"/>
  <c r="B1341" i="280"/>
  <c r="R1337" i="280"/>
  <c r="S1337" i="280" s="1"/>
  <c r="B1333" i="280"/>
  <c r="B1330" i="280"/>
  <c r="B1327" i="280"/>
  <c r="I1313" i="280"/>
  <c r="K1313" i="280" s="1"/>
  <c r="K1311" i="280"/>
  <c r="K1310" i="280"/>
  <c r="K1312" i="280" s="1"/>
  <c r="K1308" i="280"/>
  <c r="K1306" i="280"/>
  <c r="C1306" i="280"/>
  <c r="K1305" i="280"/>
  <c r="Q1290" i="280"/>
  <c r="Q1291" i="280" s="1"/>
  <c r="Q1289" i="280"/>
  <c r="Q1288" i="280"/>
  <c r="B1275" i="280"/>
  <c r="B1272" i="280"/>
  <c r="B1269" i="280"/>
  <c r="B1266" i="280"/>
  <c r="B1235" i="280"/>
  <c r="B1205" i="280"/>
  <c r="B1176" i="280"/>
  <c r="B1147" i="280"/>
  <c r="B1119" i="280"/>
  <c r="B1089" i="280"/>
  <c r="B1058" i="280"/>
  <c r="B1049" i="280"/>
  <c r="S1039" i="280"/>
  <c r="B1014" i="280"/>
  <c r="N991" i="280"/>
  <c r="B985" i="280"/>
  <c r="B956" i="280"/>
  <c r="B918" i="280"/>
  <c r="S904" i="280"/>
  <c r="F24" i="284" s="1"/>
  <c r="F900" i="280"/>
  <c r="F899" i="280"/>
  <c r="F898" i="280"/>
  <c r="F897" i="280"/>
  <c r="F896" i="280"/>
  <c r="F895" i="280"/>
  <c r="F894" i="280"/>
  <c r="F893" i="280"/>
  <c r="B888" i="280"/>
  <c r="B885" i="280"/>
  <c r="B880" i="280"/>
  <c r="B874" i="280"/>
  <c r="B871" i="280"/>
  <c r="B868" i="280"/>
  <c r="B860" i="280"/>
  <c r="B857" i="280"/>
  <c r="S847" i="280"/>
  <c r="F16" i="250" s="1"/>
  <c r="B842" i="280"/>
  <c r="B839" i="280"/>
  <c r="B834" i="280"/>
  <c r="B830" i="280"/>
  <c r="S824" i="280"/>
  <c r="O825" i="280" s="1"/>
  <c r="S825" i="280" s="1"/>
  <c r="F16" i="171" s="1"/>
  <c r="B818" i="280"/>
  <c r="B815" i="280"/>
  <c r="B811" i="280"/>
  <c r="B808" i="280"/>
  <c r="B804" i="280"/>
  <c r="S795" i="280"/>
  <c r="F34" i="169" s="1"/>
  <c r="S790" i="280"/>
  <c r="O791" i="280" s="1"/>
  <c r="S791" i="280" s="1"/>
  <c r="S792" i="280" s="1"/>
  <c r="F32" i="169" s="1"/>
  <c r="Q785" i="280"/>
  <c r="S783" i="280"/>
  <c r="O784" i="280" s="1"/>
  <c r="S784" i="280" s="1"/>
  <c r="N785" i="280" s="1"/>
  <c r="G777" i="280"/>
  <c r="M774" i="280"/>
  <c r="S769" i="280"/>
  <c r="S764" i="280"/>
  <c r="B760" i="280"/>
  <c r="S732" i="280"/>
  <c r="F24" i="168" s="1"/>
  <c r="S726" i="280"/>
  <c r="S720" i="280"/>
  <c r="S712" i="280"/>
  <c r="S707" i="280"/>
  <c r="S704" i="280"/>
  <c r="F22" i="168" s="1"/>
  <c r="S701" i="280"/>
  <c r="F20" i="168" s="1"/>
  <c r="L20" i="168" s="1"/>
  <c r="B694" i="280"/>
  <c r="Q685" i="280"/>
  <c r="S685" i="280" s="1"/>
  <c r="S688" i="280" s="1"/>
  <c r="S689" i="280" s="1"/>
  <c r="S677" i="280"/>
  <c r="O678" i="280" s="1"/>
  <c r="S678" i="280" s="1"/>
  <c r="S679" i="280" s="1"/>
  <c r="F34" i="167" s="1"/>
  <c r="S671" i="280"/>
  <c r="O672" i="280" s="1"/>
  <c r="S672" i="280" s="1"/>
  <c r="S673" i="280" s="1"/>
  <c r="F44" i="212" s="1"/>
  <c r="P664" i="280"/>
  <c r="S664" i="280" s="1"/>
  <c r="S665" i="280" s="1"/>
  <c r="P659" i="280"/>
  <c r="S659" i="280" s="1"/>
  <c r="P653" i="280"/>
  <c r="S647" i="280"/>
  <c r="F34" i="166" s="1"/>
  <c r="S640" i="280"/>
  <c r="F22" i="166" s="1"/>
  <c r="H22" i="166" s="1"/>
  <c r="S634" i="280"/>
  <c r="P628" i="280"/>
  <c r="S628" i="280" s="1"/>
  <c r="P629" i="280" s="1"/>
  <c r="S629" i="280" s="1"/>
  <c r="S617" i="280"/>
  <c r="S616" i="280"/>
  <c r="B608" i="280"/>
  <c r="S597" i="280"/>
  <c r="S596" i="280"/>
  <c r="S598" i="280" s="1"/>
  <c r="R600" i="280" s="1"/>
  <c r="S600" i="280" s="1"/>
  <c r="S601" i="280" s="1"/>
  <c r="S585" i="280"/>
  <c r="S584" i="280"/>
  <c r="S573" i="280"/>
  <c r="S572" i="280"/>
  <c r="S574" i="280" s="1"/>
  <c r="S575" i="280" s="1"/>
  <c r="B563" i="280"/>
  <c r="B560" i="280"/>
  <c r="B557" i="280"/>
  <c r="S531" i="280"/>
  <c r="O531" i="280"/>
  <c r="O529" i="280"/>
  <c r="S529" i="280" s="1"/>
  <c r="O528" i="280"/>
  <c r="S528" i="280" s="1"/>
  <c r="O522" i="280"/>
  <c r="S522" i="280" s="1"/>
  <c r="O520" i="280"/>
  <c r="S520" i="280" s="1"/>
  <c r="O519" i="280"/>
  <c r="O509" i="280"/>
  <c r="S509" i="280" s="1"/>
  <c r="O507" i="280"/>
  <c r="S507" i="280" s="1"/>
  <c r="O506" i="280"/>
  <c r="S506" i="280" s="1"/>
  <c r="O499" i="280"/>
  <c r="S499" i="280" s="1"/>
  <c r="O497" i="280"/>
  <c r="S497" i="280" s="1"/>
  <c r="O496" i="280"/>
  <c r="O486" i="280"/>
  <c r="S486" i="280" s="1"/>
  <c r="O480" i="280"/>
  <c r="S480" i="280" s="1"/>
  <c r="O479" i="280"/>
  <c r="S471" i="280"/>
  <c r="S472" i="280" s="1"/>
  <c r="F36" i="272" s="1"/>
  <c r="O466" i="280"/>
  <c r="S465" i="280"/>
  <c r="S464" i="280"/>
  <c r="S466" i="280" s="1"/>
  <c r="S467" i="280" s="1"/>
  <c r="F34" i="272" s="1"/>
  <c r="P450" i="280"/>
  <c r="O450" i="280"/>
  <c r="O442" i="280"/>
  <c r="Q432" i="280"/>
  <c r="Q429" i="280"/>
  <c r="R406" i="280"/>
  <c r="Q406" i="280"/>
  <c r="S406" i="280" s="1"/>
  <c r="Q407" i="280" s="1"/>
  <c r="S407" i="280" s="1"/>
  <c r="F83" i="272" s="1"/>
  <c r="Q379" i="280"/>
  <c r="S378" i="280"/>
  <c r="R379" i="280" s="1"/>
  <c r="B355" i="280"/>
  <c r="R342" i="280"/>
  <c r="Q342" i="280"/>
  <c r="P342" i="280"/>
  <c r="Q308" i="280"/>
  <c r="S308" i="280" s="1"/>
  <c r="F24" i="282" s="1"/>
  <c r="Q298" i="280"/>
  <c r="S298" i="280" s="1"/>
  <c r="B292" i="280"/>
  <c r="S289" i="280"/>
  <c r="S287" i="280"/>
  <c r="O276" i="280"/>
  <c r="S276" i="280" s="1"/>
  <c r="Q271" i="280"/>
  <c r="G245" i="280"/>
  <c r="G244" i="280"/>
  <c r="B233" i="280"/>
  <c r="B211" i="280"/>
  <c r="B190" i="280"/>
  <c r="Q172" i="280"/>
  <c r="S165" i="280"/>
  <c r="S166" i="280" s="1"/>
  <c r="S162" i="280"/>
  <c r="S163" i="280" s="1"/>
  <c r="R158" i="280"/>
  <c r="P153" i="280"/>
  <c r="N153" i="280"/>
  <c r="P145" i="280"/>
  <c r="S145" i="280" s="1"/>
  <c r="F22" i="321" s="1"/>
  <c r="B129" i="280"/>
  <c r="S110" i="280"/>
  <c r="B106" i="280"/>
  <c r="B81" i="280"/>
  <c r="Q56" i="280"/>
  <c r="N56" i="280"/>
  <c r="S45" i="280"/>
  <c r="F119" i="159" s="1"/>
  <c r="N37" i="280"/>
  <c r="S37" i="280" s="1"/>
  <c r="R28" i="280"/>
  <c r="S28" i="280" s="1"/>
  <c r="S29" i="280" s="1"/>
  <c r="P13" i="280"/>
  <c r="S12" i="280"/>
  <c r="O13" i="280" s="1"/>
  <c r="B9" i="280"/>
  <c r="C5" i="280"/>
  <c r="C17" i="228"/>
  <c r="S450" i="280" l="1"/>
  <c r="Q451" i="280" s="1"/>
  <c r="S451" i="280" s="1"/>
  <c r="S452" i="280" s="1"/>
  <c r="F95" i="272" s="1"/>
  <c r="S342" i="280"/>
  <c r="F81" i="282" s="1"/>
  <c r="F901" i="280"/>
  <c r="S891" i="280" s="1"/>
  <c r="F18" i="284" s="1"/>
  <c r="H18" i="284" s="1"/>
  <c r="H34" i="167"/>
  <c r="L34" i="167"/>
  <c r="S13" i="280"/>
  <c r="O521" i="280"/>
  <c r="S785" i="280"/>
  <c r="S786" i="280" s="1"/>
  <c r="F30" i="169" s="1"/>
  <c r="H30" i="169" s="1"/>
  <c r="I30" i="169" s="1"/>
  <c r="K1307" i="280"/>
  <c r="S586" i="280"/>
  <c r="S587" i="280" s="1"/>
  <c r="H119" i="159"/>
  <c r="F121" i="159"/>
  <c r="H121" i="159" s="1"/>
  <c r="O498" i="280"/>
  <c r="O245" i="280"/>
  <c r="O271" i="280" s="1"/>
  <c r="S271" i="280" s="1"/>
  <c r="S272" i="280" s="1"/>
  <c r="F54" i="271" s="1"/>
  <c r="L81" i="282"/>
  <c r="H81" i="282"/>
  <c r="S539" i="280"/>
  <c r="S487" i="280"/>
  <c r="F42" i="272" s="1"/>
  <c r="H36" i="272"/>
  <c r="L36" i="272"/>
  <c r="S245" i="280"/>
  <c r="S246" i="280" s="1"/>
  <c r="O262" i="280"/>
  <c r="S262" i="280" s="1"/>
  <c r="S263" i="280" s="1"/>
  <c r="F48" i="271" s="1"/>
  <c r="S278" i="280"/>
  <c r="S280" i="280"/>
  <c r="H83" i="272"/>
  <c r="L83" i="272"/>
  <c r="H24" i="282"/>
  <c r="L24" i="282"/>
  <c r="H112" i="159"/>
  <c r="H110" i="159"/>
  <c r="H95" i="272"/>
  <c r="L95" i="272"/>
  <c r="H34" i="166"/>
  <c r="L34" i="166"/>
  <c r="F40" i="212"/>
  <c r="F46" i="212"/>
  <c r="H20" i="168"/>
  <c r="M20" i="168" s="1"/>
  <c r="L24" i="284"/>
  <c r="H24" i="284"/>
  <c r="F32" i="284"/>
  <c r="H32" i="284" s="1"/>
  <c r="M1313" i="280"/>
  <c r="S508" i="280"/>
  <c r="S510" i="280" s="1"/>
  <c r="S511" i="280" s="1"/>
  <c r="F50" i="272" s="1"/>
  <c r="H50" i="272" s="1"/>
  <c r="F44" i="272"/>
  <c r="H34" i="272"/>
  <c r="L34" i="272"/>
  <c r="S660" i="280"/>
  <c r="S661" i="280" s="1"/>
  <c r="S662" i="280" s="1"/>
  <c r="F38" i="166" s="1"/>
  <c r="H38" i="166" s="1"/>
  <c r="L22" i="168"/>
  <c r="H22" i="168"/>
  <c r="F26" i="168"/>
  <c r="P774" i="280"/>
  <c r="F18" i="169"/>
  <c r="S530" i="280"/>
  <c r="S532" i="280" s="1"/>
  <c r="S533" i="280" s="1"/>
  <c r="F56" i="272" s="1"/>
  <c r="H56" i="272" s="1"/>
  <c r="S56" i="280"/>
  <c r="S379" i="280"/>
  <c r="S386" i="280" s="1"/>
  <c r="Q388" i="280" s="1"/>
  <c r="S388" i="280" s="1"/>
  <c r="F79" i="272" s="1"/>
  <c r="O481" i="280"/>
  <c r="S496" i="280"/>
  <c r="S498" i="280" s="1"/>
  <c r="S500" i="280" s="1"/>
  <c r="S501" i="280" s="1"/>
  <c r="F48" i="272" s="1"/>
  <c r="H48" i="272" s="1"/>
  <c r="S519" i="280"/>
  <c r="S521" i="280" s="1"/>
  <c r="S523" i="280" s="1"/>
  <c r="S524" i="280" s="1"/>
  <c r="F54" i="272" s="1"/>
  <c r="F28" i="212"/>
  <c r="F26" i="212"/>
  <c r="L26" i="212" s="1"/>
  <c r="H24" i="168"/>
  <c r="L24" i="168"/>
  <c r="Q774" i="280"/>
  <c r="F20" i="169"/>
  <c r="F32" i="250"/>
  <c r="H32" i="250" s="1"/>
  <c r="F36" i="250"/>
  <c r="H16" i="250"/>
  <c r="S479" i="280"/>
  <c r="S481" i="280" s="1"/>
  <c r="S482" i="280" s="1"/>
  <c r="F40" i="272" s="1"/>
  <c r="O508" i="280"/>
  <c r="O530" i="280"/>
  <c r="S742" i="280"/>
  <c r="F30" i="168" s="1"/>
  <c r="F28" i="168"/>
  <c r="S748" i="280"/>
  <c r="F32" i="168" s="1"/>
  <c r="H34" i="169"/>
  <c r="I34" i="169" s="1"/>
  <c r="L34" i="169"/>
  <c r="O853" i="280"/>
  <c r="S853" i="280" s="1"/>
  <c r="F28" i="250" s="1"/>
  <c r="H28" i="250" s="1"/>
  <c r="M1308" i="280"/>
  <c r="F40" i="159"/>
  <c r="H40" i="159" s="1"/>
  <c r="F34" i="159"/>
  <c r="F36" i="159" s="1"/>
  <c r="H36" i="159" s="1"/>
  <c r="H22" i="321"/>
  <c r="H32" i="169"/>
  <c r="I32" i="169" s="1"/>
  <c r="H196" i="159"/>
  <c r="S153" i="280"/>
  <c r="S1283" i="280"/>
  <c r="S1034" i="280"/>
  <c r="O1036" i="280" s="1"/>
  <c r="S1036" i="280" s="1"/>
  <c r="S1280" i="280"/>
  <c r="H194" i="159"/>
  <c r="S999" i="280"/>
  <c r="O1000" i="280" s="1"/>
  <c r="S1000" i="280" s="1"/>
  <c r="S1029" i="280"/>
  <c r="O1031" i="280" s="1"/>
  <c r="S1031" i="280" s="1"/>
  <c r="S990" i="280"/>
  <c r="O991" i="280" s="1"/>
  <c r="S991" i="280" s="1"/>
  <c r="S995" i="280"/>
  <c r="O996" i="280" s="1"/>
  <c r="S996" i="280" s="1"/>
  <c r="S1004" i="280"/>
  <c r="O1005" i="280" s="1"/>
  <c r="S1005" i="280" s="1"/>
  <c r="S1022" i="280"/>
  <c r="O1024" i="280" s="1"/>
  <c r="S1024" i="280" s="1"/>
  <c r="S394" i="280"/>
  <c r="Q396" i="280" s="1"/>
  <c r="S396" i="280" s="1"/>
  <c r="F81" i="272" s="1"/>
  <c r="Q1292" i="280"/>
  <c r="Q1294" i="280" s="1"/>
  <c r="S538" i="280"/>
  <c r="S540" i="280" s="1"/>
  <c r="Q302" i="280"/>
  <c r="S302" i="280" s="1"/>
  <c r="S303" i="280" s="1"/>
  <c r="F20" i="282" s="1"/>
  <c r="S299" i="280"/>
  <c r="S300" i="280" s="1"/>
  <c r="S622" i="280"/>
  <c r="S623" i="280" s="1"/>
  <c r="S624" i="280" s="1"/>
  <c r="H30" i="167" s="1"/>
  <c r="S630" i="280"/>
  <c r="O266" i="280"/>
  <c r="S266" i="280" s="1"/>
  <c r="F52" i="271" s="1"/>
  <c r="S418" i="280"/>
  <c r="Q419" i="280" s="1"/>
  <c r="S419" i="280" s="1"/>
  <c r="O252" i="280"/>
  <c r="S252" i="280" s="1"/>
  <c r="S253" i="280" s="1"/>
  <c r="F40" i="271" s="1"/>
  <c r="S424" i="280"/>
  <c r="S666" i="280"/>
  <c r="S667" i="280" s="1"/>
  <c r="F40" i="166" s="1"/>
  <c r="S455" i="280"/>
  <c r="Q456" i="280" s="1"/>
  <c r="S456" i="280" s="1"/>
  <c r="S457" i="280" s="1"/>
  <c r="F97" i="272" s="1"/>
  <c r="S737" i="280"/>
  <c r="S427" i="280"/>
  <c r="R429" i="280" s="1"/>
  <c r="S429" i="280" s="1"/>
  <c r="O257" i="280"/>
  <c r="S257" i="280" s="1"/>
  <c r="S258" i="280" s="1"/>
  <c r="F44" i="271" s="1"/>
  <c r="M34" i="167" l="1"/>
  <c r="S774" i="280"/>
  <c r="S775" i="280" s="1"/>
  <c r="F25" i="235" s="1"/>
  <c r="F26" i="169"/>
  <c r="S777" i="280"/>
  <c r="F27" i="235" s="1"/>
  <c r="Q381" i="280"/>
  <c r="S381" i="280" s="1"/>
  <c r="F77" i="272" s="1"/>
  <c r="H77" i="272" s="1"/>
  <c r="P753" i="280"/>
  <c r="S753" i="280" s="1"/>
  <c r="M22" i="168"/>
  <c r="M24" i="284"/>
  <c r="M34" i="166"/>
  <c r="M83" i="272"/>
  <c r="M81" i="282"/>
  <c r="H34" i="159"/>
  <c r="F42" i="159"/>
  <c r="H42" i="159" s="1"/>
  <c r="H32" i="168"/>
  <c r="L32" i="168"/>
  <c r="L79" i="272"/>
  <c r="H79" i="272"/>
  <c r="H36" i="250"/>
  <c r="L36" i="250"/>
  <c r="H54" i="272"/>
  <c r="L54" i="272"/>
  <c r="H26" i="168"/>
  <c r="L26" i="168"/>
  <c r="L44" i="272"/>
  <c r="H44" i="272"/>
  <c r="H46" i="212"/>
  <c r="L46" i="212"/>
  <c r="L42" i="272"/>
  <c r="H42" i="272"/>
  <c r="L97" i="272"/>
  <c r="H97" i="272"/>
  <c r="S441" i="280"/>
  <c r="R442" i="280" s="1"/>
  <c r="S442" i="280" s="1"/>
  <c r="S443" i="280" s="1"/>
  <c r="F48" i="282" s="1"/>
  <c r="F87" i="272"/>
  <c r="M24" i="168"/>
  <c r="L40" i="212"/>
  <c r="H40" i="212"/>
  <c r="L20" i="282"/>
  <c r="H20" i="282"/>
  <c r="F42" i="166"/>
  <c r="H40" i="166"/>
  <c r="L40" i="166"/>
  <c r="L81" i="272"/>
  <c r="H81" i="272"/>
  <c r="H28" i="168"/>
  <c r="L28" i="168"/>
  <c r="H20" i="169"/>
  <c r="I20" i="169" s="1"/>
  <c r="L20" i="169"/>
  <c r="H18" i="169"/>
  <c r="I18" i="169" s="1"/>
  <c r="L18" i="169"/>
  <c r="M95" i="272"/>
  <c r="M24" i="282"/>
  <c r="S430" i="280"/>
  <c r="R432" i="280" s="1"/>
  <c r="S432" i="280" s="1"/>
  <c r="S433" i="280" s="1"/>
  <c r="S434" i="280" s="1"/>
  <c r="F89" i="272"/>
  <c r="L40" i="272"/>
  <c r="H40" i="272"/>
  <c r="H30" i="168"/>
  <c r="L30" i="168"/>
  <c r="F30" i="212"/>
  <c r="L28" i="212"/>
  <c r="M34" i="272"/>
  <c r="H69" i="284"/>
  <c r="H44" i="212"/>
  <c r="L44" i="212"/>
  <c r="M36" i="272"/>
  <c r="F56" i="163"/>
  <c r="H56" i="163" s="1"/>
  <c r="H58" i="163"/>
  <c r="S549" i="280"/>
  <c r="S550" i="280" s="1"/>
  <c r="F73" i="272" s="1"/>
  <c r="H73" i="272" s="1"/>
  <c r="P541" i="280"/>
  <c r="S541" i="280" s="1"/>
  <c r="S542" i="280" s="1"/>
  <c r="F71" i="272" s="1"/>
  <c r="H71" i="272" s="1"/>
  <c r="L77" i="272" l="1"/>
  <c r="H27" i="235"/>
  <c r="L27" i="235"/>
  <c r="L25" i="235"/>
  <c r="H25" i="235"/>
  <c r="H26" i="169"/>
  <c r="M81" i="272"/>
  <c r="M97" i="272"/>
  <c r="M46" i="212"/>
  <c r="M36" i="250"/>
  <c r="M42" i="272"/>
  <c r="F28" i="169"/>
  <c r="H28" i="169" s="1"/>
  <c r="M44" i="272"/>
  <c r="M79" i="272"/>
  <c r="M30" i="168"/>
  <c r="M40" i="272"/>
  <c r="M28" i="168"/>
  <c r="M40" i="166"/>
  <c r="M40" i="212"/>
  <c r="H78" i="284"/>
  <c r="H141" i="284" s="1"/>
  <c r="H42" i="166"/>
  <c r="L42" i="166"/>
  <c r="L76" i="169"/>
  <c r="L85" i="169" s="1"/>
  <c r="L146" i="169" s="1"/>
  <c r="M20" i="282"/>
  <c r="M26" i="168"/>
  <c r="H89" i="272"/>
  <c r="L89" i="272"/>
  <c r="H87" i="272"/>
  <c r="L87" i="272"/>
  <c r="M54" i="272"/>
  <c r="L20" i="235"/>
  <c r="M44" i="212"/>
  <c r="I65" i="278"/>
  <c r="H30" i="212"/>
  <c r="L30" i="212"/>
  <c r="L74" i="212" s="1"/>
  <c r="L83" i="212" s="1"/>
  <c r="L152" i="212" s="1"/>
  <c r="L161" i="212" s="1"/>
  <c r="L228" i="212" s="1"/>
  <c r="M77" i="272"/>
  <c r="L69" i="168"/>
  <c r="L78" i="168" s="1"/>
  <c r="L124" i="168" s="1"/>
  <c r="L133" i="168" s="1"/>
  <c r="L186" i="168" s="1"/>
  <c r="L195" i="168" s="1"/>
  <c r="L246" i="168" s="1"/>
  <c r="L1" i="168" s="1"/>
  <c r="F50" i="282"/>
  <c r="H48" i="282"/>
  <c r="L48" i="282"/>
  <c r="M32" i="168"/>
  <c r="H66" i="321"/>
  <c r="M199" i="275"/>
  <c r="M132" i="275"/>
  <c r="M78" i="275"/>
  <c r="M11" i="275"/>
  <c r="M11" i="279"/>
  <c r="M112" i="272"/>
  <c r="M68" i="272"/>
  <c r="M11" i="272"/>
  <c r="M265" i="271"/>
  <c r="M264" i="271"/>
  <c r="M263" i="271"/>
  <c r="M262" i="271"/>
  <c r="M261" i="271"/>
  <c r="M260" i="271"/>
  <c r="M259" i="271"/>
  <c r="M258" i="271"/>
  <c r="M257" i="271"/>
  <c r="M256" i="271"/>
  <c r="M255" i="271"/>
  <c r="M254" i="271"/>
  <c r="M253" i="271"/>
  <c r="M252" i="271"/>
  <c r="M251" i="271"/>
  <c r="M250" i="271"/>
  <c r="M249" i="271"/>
  <c r="M248" i="271"/>
  <c r="M247" i="271"/>
  <c r="M246" i="271"/>
  <c r="M245" i="271"/>
  <c r="M244" i="271"/>
  <c r="M243" i="271"/>
  <c r="M242" i="271"/>
  <c r="M241" i="271"/>
  <c r="M240" i="271"/>
  <c r="M239" i="271"/>
  <c r="M238" i="271"/>
  <c r="M237" i="271"/>
  <c r="M236" i="271"/>
  <c r="M235" i="271"/>
  <c r="M234" i="271"/>
  <c r="M233" i="271"/>
  <c r="M232" i="271"/>
  <c r="M231" i="271"/>
  <c r="M230" i="271"/>
  <c r="M229" i="271"/>
  <c r="M228" i="271"/>
  <c r="M227" i="271"/>
  <c r="M226" i="271"/>
  <c r="M225" i="271"/>
  <c r="M224" i="271"/>
  <c r="M223" i="271"/>
  <c r="M222" i="271"/>
  <c r="M221" i="271"/>
  <c r="M220" i="271"/>
  <c r="M219" i="271"/>
  <c r="M218" i="271"/>
  <c r="M217" i="271"/>
  <c r="M216" i="271"/>
  <c r="M215" i="271"/>
  <c r="M214" i="271"/>
  <c r="M213" i="271"/>
  <c r="M212" i="271"/>
  <c r="M211" i="271"/>
  <c r="M210" i="271"/>
  <c r="M209" i="271"/>
  <c r="M208" i="271"/>
  <c r="M207" i="271"/>
  <c r="M206" i="271"/>
  <c r="M205" i="271"/>
  <c r="M204" i="271"/>
  <c r="M203" i="271"/>
  <c r="M192" i="271"/>
  <c r="M191" i="271"/>
  <c r="M190" i="271"/>
  <c r="M189" i="271"/>
  <c r="M188" i="271"/>
  <c r="M187" i="271"/>
  <c r="M186" i="271"/>
  <c r="M185" i="271"/>
  <c r="M184" i="271"/>
  <c r="M183" i="271"/>
  <c r="M182" i="271"/>
  <c r="M181" i="271"/>
  <c r="M180" i="271"/>
  <c r="M178" i="271"/>
  <c r="M176" i="271"/>
  <c r="M174" i="271"/>
  <c r="M172" i="271"/>
  <c r="M171" i="271"/>
  <c r="M170" i="271"/>
  <c r="M169" i="271"/>
  <c r="M168" i="271"/>
  <c r="M167" i="271"/>
  <c r="M166" i="271"/>
  <c r="M165" i="271"/>
  <c r="M164" i="271"/>
  <c r="M163" i="271"/>
  <c r="M162" i="271"/>
  <c r="M161" i="271"/>
  <c r="M160" i="271"/>
  <c r="M158" i="271"/>
  <c r="M157" i="271"/>
  <c r="M156" i="271"/>
  <c r="M155" i="271"/>
  <c r="M154" i="271"/>
  <c r="M153" i="271"/>
  <c r="M152" i="271"/>
  <c r="M150" i="271"/>
  <c r="M149" i="271"/>
  <c r="M148" i="271"/>
  <c r="M146" i="271"/>
  <c r="M145" i="271"/>
  <c r="M144" i="271"/>
  <c r="M143" i="271"/>
  <c r="M142" i="271"/>
  <c r="M69" i="271"/>
  <c r="M58" i="271"/>
  <c r="M57" i="271"/>
  <c r="M55" i="271"/>
  <c r="M53" i="271"/>
  <c r="M51" i="271"/>
  <c r="M50" i="271"/>
  <c r="M49" i="271"/>
  <c r="M47" i="271"/>
  <c r="M46" i="271"/>
  <c r="M45" i="271"/>
  <c r="M43" i="271"/>
  <c r="M42" i="271"/>
  <c r="M41" i="271"/>
  <c r="M39" i="271"/>
  <c r="M38" i="271"/>
  <c r="M37" i="271"/>
  <c r="M35" i="271"/>
  <c r="M33" i="271"/>
  <c r="M31" i="271"/>
  <c r="M30" i="271"/>
  <c r="M29" i="271"/>
  <c r="M27" i="271"/>
  <c r="M25" i="271"/>
  <c r="M23" i="271"/>
  <c r="M21" i="271"/>
  <c r="M19" i="271"/>
  <c r="M17" i="271"/>
  <c r="M16" i="271"/>
  <c r="M15" i="271"/>
  <c r="M14" i="271"/>
  <c r="M13" i="271"/>
  <c r="M12" i="271"/>
  <c r="M11" i="271"/>
  <c r="M144" i="270"/>
  <c r="M143" i="270"/>
  <c r="M142" i="270"/>
  <c r="M141" i="270"/>
  <c r="M140" i="270"/>
  <c r="M139" i="270"/>
  <c r="M138" i="270"/>
  <c r="M137" i="270"/>
  <c r="M136" i="270"/>
  <c r="M135" i="270"/>
  <c r="M134" i="270"/>
  <c r="M133" i="270"/>
  <c r="M132" i="270"/>
  <c r="M131" i="270"/>
  <c r="M130" i="270"/>
  <c r="M129" i="270"/>
  <c r="M128" i="270"/>
  <c r="M127" i="270"/>
  <c r="M126" i="270"/>
  <c r="M125" i="270"/>
  <c r="M124" i="270"/>
  <c r="M123" i="270"/>
  <c r="M122" i="270"/>
  <c r="M121" i="270"/>
  <c r="M120" i="270"/>
  <c r="M119" i="270"/>
  <c r="M118" i="270"/>
  <c r="M117" i="270"/>
  <c r="M116" i="270"/>
  <c r="M115" i="270"/>
  <c r="M114" i="270"/>
  <c r="M113" i="270"/>
  <c r="M112" i="270"/>
  <c r="M111" i="270"/>
  <c r="M110" i="270"/>
  <c r="M109" i="270"/>
  <c r="M108" i="270"/>
  <c r="M107" i="270"/>
  <c r="M106" i="270"/>
  <c r="M105" i="270"/>
  <c r="M104" i="270"/>
  <c r="M103" i="270"/>
  <c r="M102" i="270"/>
  <c r="M101" i="270"/>
  <c r="M100" i="270"/>
  <c r="M98" i="270"/>
  <c r="M97" i="270"/>
  <c r="M96" i="270"/>
  <c r="M94" i="270"/>
  <c r="M93" i="270"/>
  <c r="M92" i="270"/>
  <c r="M91" i="270"/>
  <c r="M90" i="270"/>
  <c r="M89" i="270"/>
  <c r="M88" i="270"/>
  <c r="M87" i="270"/>
  <c r="M86" i="270"/>
  <c r="M85" i="270"/>
  <c r="M84" i="270"/>
  <c r="M83" i="270"/>
  <c r="M82" i="270"/>
  <c r="M71" i="270"/>
  <c r="M52" i="270"/>
  <c r="M51" i="270"/>
  <c r="M50" i="270"/>
  <c r="M49" i="270"/>
  <c r="M48" i="270"/>
  <c r="M47" i="270"/>
  <c r="M46" i="270"/>
  <c r="M45" i="270"/>
  <c r="M44" i="270"/>
  <c r="M43" i="270"/>
  <c r="M42" i="270"/>
  <c r="M41" i="270"/>
  <c r="M40" i="270"/>
  <c r="M39" i="270"/>
  <c r="M37" i="270"/>
  <c r="M35" i="270"/>
  <c r="M34" i="270"/>
  <c r="M33" i="270"/>
  <c r="M32" i="270"/>
  <c r="M31" i="270"/>
  <c r="M25" i="270"/>
  <c r="M19" i="270"/>
  <c r="M17" i="270"/>
  <c r="M15" i="270"/>
  <c r="M14" i="270"/>
  <c r="M13" i="270"/>
  <c r="M12" i="270"/>
  <c r="M11" i="270"/>
  <c r="M11" i="268"/>
  <c r="M219" i="267"/>
  <c r="M218" i="267"/>
  <c r="M217" i="267"/>
  <c r="M216" i="267"/>
  <c r="M215" i="267"/>
  <c r="M214" i="267"/>
  <c r="M213" i="267"/>
  <c r="M212" i="267"/>
  <c r="M211" i="267"/>
  <c r="M210" i="267"/>
  <c r="M209" i="267"/>
  <c r="M208" i="267"/>
  <c r="M207" i="267"/>
  <c r="M206" i="267"/>
  <c r="M205" i="267"/>
  <c r="M204" i="267"/>
  <c r="M203" i="267"/>
  <c r="M202" i="267"/>
  <c r="M201" i="267"/>
  <c r="M200" i="267"/>
  <c r="M199" i="267"/>
  <c r="M198" i="267"/>
  <c r="M197" i="267"/>
  <c r="M196" i="267"/>
  <c r="M195" i="267"/>
  <c r="M194" i="267"/>
  <c r="M193" i="267"/>
  <c r="M192" i="267"/>
  <c r="M191" i="267"/>
  <c r="M190" i="267"/>
  <c r="M189" i="267"/>
  <c r="M188" i="267"/>
  <c r="M187" i="267"/>
  <c r="M186" i="267"/>
  <c r="M185" i="267"/>
  <c r="M184" i="267"/>
  <c r="M183" i="267"/>
  <c r="M182" i="267"/>
  <c r="M181" i="267"/>
  <c r="M180" i="267"/>
  <c r="M179" i="267"/>
  <c r="M178" i="267"/>
  <c r="M177" i="267"/>
  <c r="M176" i="267"/>
  <c r="M175" i="267"/>
  <c r="M174" i="267"/>
  <c r="M173" i="267"/>
  <c r="M172" i="267"/>
  <c r="M171" i="267"/>
  <c r="M170" i="267"/>
  <c r="M169" i="267"/>
  <c r="M168" i="267"/>
  <c r="M167" i="267"/>
  <c r="M166" i="267"/>
  <c r="M165" i="267"/>
  <c r="M164" i="267"/>
  <c r="M163" i="267"/>
  <c r="M162" i="267"/>
  <c r="M151" i="267"/>
  <c r="M150" i="267"/>
  <c r="M149" i="267"/>
  <c r="M148" i="267"/>
  <c r="M147" i="267"/>
  <c r="M146" i="267"/>
  <c r="M145" i="267"/>
  <c r="M144" i="267"/>
  <c r="M143" i="267"/>
  <c r="M142" i="267"/>
  <c r="M141" i="267"/>
  <c r="M140" i="267"/>
  <c r="M139" i="267"/>
  <c r="M138" i="267"/>
  <c r="M137" i="267"/>
  <c r="M136" i="267"/>
  <c r="M135" i="267"/>
  <c r="M134" i="267"/>
  <c r="M133" i="267"/>
  <c r="M132" i="267"/>
  <c r="M131" i="267"/>
  <c r="M130" i="267"/>
  <c r="M129" i="267"/>
  <c r="M128" i="267"/>
  <c r="M127" i="267"/>
  <c r="M126" i="267"/>
  <c r="M125" i="267"/>
  <c r="M124" i="267"/>
  <c r="M123" i="267"/>
  <c r="M122" i="267"/>
  <c r="M121" i="267"/>
  <c r="M120" i="267"/>
  <c r="M119" i="267"/>
  <c r="M118" i="267"/>
  <c r="M117" i="267"/>
  <c r="M116" i="267"/>
  <c r="M115" i="267"/>
  <c r="M114" i="267"/>
  <c r="M113" i="267"/>
  <c r="M112" i="267"/>
  <c r="M111" i="267"/>
  <c r="M110" i="267"/>
  <c r="M109" i="267"/>
  <c r="M108" i="267"/>
  <c r="M107" i="267"/>
  <c r="M106" i="267"/>
  <c r="M105" i="267"/>
  <c r="M104" i="267"/>
  <c r="M103" i="267"/>
  <c r="M102" i="267"/>
  <c r="M101" i="267"/>
  <c r="M100" i="267"/>
  <c r="M99" i="267"/>
  <c r="M98" i="267"/>
  <c r="M97" i="267"/>
  <c r="M96" i="267"/>
  <c r="M95" i="267"/>
  <c r="M94" i="267"/>
  <c r="M93" i="267"/>
  <c r="M92" i="267"/>
  <c r="M91" i="267"/>
  <c r="M90" i="267"/>
  <c r="M89" i="267"/>
  <c r="M88" i="267"/>
  <c r="M87" i="267"/>
  <c r="M11" i="267"/>
  <c r="M64" i="262"/>
  <c r="M63" i="262"/>
  <c r="M11" i="262"/>
  <c r="M67" i="260"/>
  <c r="M66" i="260"/>
  <c r="M65" i="260"/>
  <c r="M64" i="260"/>
  <c r="M63" i="260"/>
  <c r="M62" i="260"/>
  <c r="M61" i="260"/>
  <c r="M60" i="260"/>
  <c r="M59" i="260"/>
  <c r="M58" i="260"/>
  <c r="M57" i="260"/>
  <c r="M56" i="260"/>
  <c r="M55" i="260"/>
  <c r="M54" i="260"/>
  <c r="M53" i="260"/>
  <c r="M52" i="260"/>
  <c r="M51" i="260"/>
  <c r="M50" i="260"/>
  <c r="M49" i="260"/>
  <c r="M48" i="260"/>
  <c r="M47" i="260"/>
  <c r="M46" i="260"/>
  <c r="M45" i="260"/>
  <c r="M43" i="260"/>
  <c r="M42" i="260"/>
  <c r="M41" i="260"/>
  <c r="M40" i="260"/>
  <c r="M39" i="260"/>
  <c r="M38" i="260"/>
  <c r="M37" i="260"/>
  <c r="M36" i="260"/>
  <c r="M35" i="260"/>
  <c r="M34" i="260"/>
  <c r="M33" i="260"/>
  <c r="M31" i="260"/>
  <c r="M30" i="260"/>
  <c r="M29" i="260"/>
  <c r="M28" i="260"/>
  <c r="M27" i="260"/>
  <c r="M26" i="260"/>
  <c r="M25" i="260"/>
  <c r="M24" i="260"/>
  <c r="M23" i="260"/>
  <c r="M22" i="260"/>
  <c r="M21" i="260"/>
  <c r="M20" i="260"/>
  <c r="M19" i="260"/>
  <c r="M18" i="260"/>
  <c r="M17" i="260"/>
  <c r="M16" i="260"/>
  <c r="M15" i="260"/>
  <c r="M14" i="260"/>
  <c r="M13" i="260"/>
  <c r="M12" i="260"/>
  <c r="M11" i="260"/>
  <c r="M148" i="192"/>
  <c r="M147" i="192"/>
  <c r="M146" i="192"/>
  <c r="M145" i="192"/>
  <c r="M144" i="192"/>
  <c r="M143" i="192"/>
  <c r="M142" i="192"/>
  <c r="M141" i="192"/>
  <c r="M140" i="192"/>
  <c r="M139" i="192"/>
  <c r="M138" i="192"/>
  <c r="M137" i="192"/>
  <c r="M136" i="192"/>
  <c r="M135" i="192"/>
  <c r="M134" i="192"/>
  <c r="M133" i="192"/>
  <c r="M132" i="192"/>
  <c r="M131" i="192"/>
  <c r="M130" i="192"/>
  <c r="M129" i="192"/>
  <c r="M128" i="192"/>
  <c r="M127" i="192"/>
  <c r="M126" i="192"/>
  <c r="M125" i="192"/>
  <c r="M124" i="192"/>
  <c r="M123" i="192"/>
  <c r="M122" i="192"/>
  <c r="M121" i="192"/>
  <c r="M120" i="192"/>
  <c r="M119" i="192"/>
  <c r="M118" i="192"/>
  <c r="M117" i="192"/>
  <c r="M116" i="192"/>
  <c r="M115" i="192"/>
  <c r="M114" i="192"/>
  <c r="M113" i="192"/>
  <c r="M112" i="192"/>
  <c r="M111" i="192"/>
  <c r="M110" i="192"/>
  <c r="M109" i="192"/>
  <c r="M108" i="192"/>
  <c r="M107" i="192"/>
  <c r="M106" i="192"/>
  <c r="M105" i="192"/>
  <c r="M104" i="192"/>
  <c r="M103" i="192"/>
  <c r="M102" i="192"/>
  <c r="M101" i="192"/>
  <c r="M100" i="192"/>
  <c r="M99" i="192"/>
  <c r="M98" i="192"/>
  <c r="M97" i="192"/>
  <c r="M96" i="192"/>
  <c r="M95" i="192"/>
  <c r="M94" i="192"/>
  <c r="M93" i="192"/>
  <c r="M92" i="192"/>
  <c r="M91" i="192"/>
  <c r="M90" i="192"/>
  <c r="M89" i="192"/>
  <c r="M88" i="192"/>
  <c r="M87" i="192"/>
  <c r="M11" i="192"/>
  <c r="M393" i="250"/>
  <c r="M392" i="250"/>
  <c r="M391" i="250"/>
  <c r="M390" i="250"/>
  <c r="M389" i="250"/>
  <c r="M388" i="250"/>
  <c r="M387" i="250"/>
  <c r="M386" i="250"/>
  <c r="M385" i="250"/>
  <c r="M384" i="250"/>
  <c r="M383" i="250"/>
  <c r="M382" i="250"/>
  <c r="M381" i="250"/>
  <c r="M380" i="250"/>
  <c r="M379" i="250"/>
  <c r="M378" i="250"/>
  <c r="M377" i="250"/>
  <c r="M376" i="250"/>
  <c r="M375" i="250"/>
  <c r="M374" i="250"/>
  <c r="M373" i="250"/>
  <c r="M372" i="250"/>
  <c r="M371" i="250"/>
  <c r="M370" i="250"/>
  <c r="M369" i="250"/>
  <c r="M368" i="250"/>
  <c r="M367" i="250"/>
  <c r="M366" i="250"/>
  <c r="M365" i="250"/>
  <c r="M363" i="250"/>
  <c r="M361" i="250"/>
  <c r="M360" i="250"/>
  <c r="M359" i="250"/>
  <c r="M358" i="250"/>
  <c r="M357" i="250"/>
  <c r="M356" i="250"/>
  <c r="M355" i="250"/>
  <c r="M354" i="250"/>
  <c r="M353" i="250"/>
  <c r="M352" i="250"/>
  <c r="M351" i="250"/>
  <c r="M350" i="250"/>
  <c r="M349" i="250"/>
  <c r="M348" i="250"/>
  <c r="M347" i="250"/>
  <c r="M346" i="250"/>
  <c r="M345" i="250"/>
  <c r="M344" i="250"/>
  <c r="M343" i="250"/>
  <c r="M342" i="250"/>
  <c r="M341" i="250"/>
  <c r="M340" i="250"/>
  <c r="M339" i="250"/>
  <c r="M338" i="250"/>
  <c r="M337" i="250"/>
  <c r="M336" i="250"/>
  <c r="M335" i="250"/>
  <c r="M324" i="250"/>
  <c r="M323" i="250"/>
  <c r="M322" i="250"/>
  <c r="M321" i="250"/>
  <c r="M320" i="250"/>
  <c r="M319" i="250"/>
  <c r="M318" i="250"/>
  <c r="M317" i="250"/>
  <c r="M316" i="250"/>
  <c r="M315" i="250"/>
  <c r="M314" i="250"/>
  <c r="M313" i="250"/>
  <c r="M312" i="250"/>
  <c r="M311" i="250"/>
  <c r="M310" i="250"/>
  <c r="M309" i="250"/>
  <c r="M308" i="250"/>
  <c r="M307" i="250"/>
  <c r="M306" i="250"/>
  <c r="M305" i="250"/>
  <c r="M304" i="250"/>
  <c r="M303" i="250"/>
  <c r="M302" i="250"/>
  <c r="M301" i="250"/>
  <c r="M300" i="250"/>
  <c r="M299" i="250"/>
  <c r="M298" i="250"/>
  <c r="M297" i="250"/>
  <c r="M296" i="250"/>
  <c r="M295" i="250"/>
  <c r="M294" i="250"/>
  <c r="M293" i="250"/>
  <c r="M292" i="250"/>
  <c r="M291" i="250"/>
  <c r="M290" i="250"/>
  <c r="M289" i="250"/>
  <c r="M288" i="250"/>
  <c r="M287" i="250"/>
  <c r="M286" i="250"/>
  <c r="M285" i="250"/>
  <c r="M284" i="250"/>
  <c r="M283" i="250"/>
  <c r="M282" i="250"/>
  <c r="M281" i="250"/>
  <c r="M280" i="250"/>
  <c r="M279" i="250"/>
  <c r="M278" i="250"/>
  <c r="M277" i="250"/>
  <c r="M276" i="250"/>
  <c r="M275" i="250"/>
  <c r="M274" i="250"/>
  <c r="M273" i="250"/>
  <c r="M262" i="250"/>
  <c r="M261" i="250"/>
  <c r="M260" i="250"/>
  <c r="M259" i="250"/>
  <c r="M258" i="250"/>
  <c r="M257" i="250"/>
  <c r="M256" i="250"/>
  <c r="M255" i="250"/>
  <c r="M254" i="250"/>
  <c r="M253" i="250"/>
  <c r="M252" i="250"/>
  <c r="M251" i="250"/>
  <c r="M250" i="250"/>
  <c r="M249" i="250"/>
  <c r="M248" i="250"/>
  <c r="M247" i="250"/>
  <c r="M246" i="250"/>
  <c r="M245" i="250"/>
  <c r="M244" i="250"/>
  <c r="M243" i="250"/>
  <c r="M242" i="250"/>
  <c r="M241" i="250"/>
  <c r="M240" i="250"/>
  <c r="M239" i="250"/>
  <c r="M238" i="250"/>
  <c r="M237" i="250"/>
  <c r="M236" i="250"/>
  <c r="M235" i="250"/>
  <c r="M234" i="250"/>
  <c r="M233" i="250"/>
  <c r="M232" i="250"/>
  <c r="M231" i="250"/>
  <c r="M230" i="250"/>
  <c r="M229" i="250"/>
  <c r="M228" i="250"/>
  <c r="M227" i="250"/>
  <c r="M226" i="250"/>
  <c r="M225" i="250"/>
  <c r="M224" i="250"/>
  <c r="M223" i="250"/>
  <c r="M222" i="250"/>
  <c r="M221" i="250"/>
  <c r="M220" i="250"/>
  <c r="M219" i="250"/>
  <c r="M218" i="250"/>
  <c r="M217" i="250"/>
  <c r="M216" i="250"/>
  <c r="M215" i="250"/>
  <c r="M214" i="250"/>
  <c r="M213" i="250"/>
  <c r="M212" i="250"/>
  <c r="M211" i="250"/>
  <c r="M210" i="250"/>
  <c r="M209" i="250"/>
  <c r="M208" i="250"/>
  <c r="M207" i="250"/>
  <c r="M206" i="250"/>
  <c r="M195" i="250"/>
  <c r="M194" i="250"/>
  <c r="M193" i="250"/>
  <c r="M192" i="250"/>
  <c r="M191" i="250"/>
  <c r="M190" i="250"/>
  <c r="M189" i="250"/>
  <c r="M188" i="250"/>
  <c r="M187" i="250"/>
  <c r="M186" i="250"/>
  <c r="M185" i="250"/>
  <c r="M183" i="250"/>
  <c r="M182" i="250"/>
  <c r="M181" i="250"/>
  <c r="M179" i="250"/>
  <c r="M178" i="250"/>
  <c r="M177" i="250"/>
  <c r="M176" i="250"/>
  <c r="M175" i="250"/>
  <c r="M174" i="250"/>
  <c r="M173" i="250"/>
  <c r="M172" i="250"/>
  <c r="M171" i="250"/>
  <c r="M170" i="250"/>
  <c r="M169" i="250"/>
  <c r="M168" i="250"/>
  <c r="M167" i="250"/>
  <c r="M166" i="250"/>
  <c r="M165" i="250"/>
  <c r="M164" i="250"/>
  <c r="M163" i="250"/>
  <c r="M162" i="250"/>
  <c r="M161" i="250"/>
  <c r="M160" i="250"/>
  <c r="M159" i="250"/>
  <c r="M158" i="250"/>
  <c r="M157" i="250"/>
  <c r="M156" i="250"/>
  <c r="M155" i="250"/>
  <c r="M154" i="250"/>
  <c r="M153" i="250"/>
  <c r="M152" i="250"/>
  <c r="M151" i="250"/>
  <c r="M150" i="250"/>
  <c r="M149" i="250"/>
  <c r="M148" i="250"/>
  <c r="M147" i="250"/>
  <c r="M146" i="250"/>
  <c r="M145" i="250"/>
  <c r="M144" i="250"/>
  <c r="M143" i="250"/>
  <c r="M142" i="250"/>
  <c r="M141" i="250"/>
  <c r="M140" i="250"/>
  <c r="M139" i="250"/>
  <c r="M128" i="250"/>
  <c r="M127" i="250"/>
  <c r="M126" i="250"/>
  <c r="M125" i="250"/>
  <c r="M124" i="250"/>
  <c r="M123" i="250"/>
  <c r="M122" i="250"/>
  <c r="M121" i="250"/>
  <c r="M120" i="250"/>
  <c r="M119" i="250"/>
  <c r="M118" i="250"/>
  <c r="M117" i="250"/>
  <c r="M116" i="250"/>
  <c r="M115" i="250"/>
  <c r="M114" i="250"/>
  <c r="M113" i="250"/>
  <c r="M112" i="250"/>
  <c r="M111" i="250"/>
  <c r="M110" i="250"/>
  <c r="M109" i="250"/>
  <c r="M108" i="250"/>
  <c r="M107" i="250"/>
  <c r="M106" i="250"/>
  <c r="M105" i="250"/>
  <c r="M104" i="250"/>
  <c r="M103" i="250"/>
  <c r="M102" i="250"/>
  <c r="M101" i="250"/>
  <c r="M100" i="250"/>
  <c r="M99" i="250"/>
  <c r="M98" i="250"/>
  <c r="M97" i="250"/>
  <c r="M96" i="250"/>
  <c r="M95" i="250"/>
  <c r="M94" i="250"/>
  <c r="M93" i="250"/>
  <c r="M92" i="250"/>
  <c r="M91" i="250"/>
  <c r="M90" i="250"/>
  <c r="M89" i="250"/>
  <c r="M88" i="250"/>
  <c r="M87" i="250"/>
  <c r="M86" i="250"/>
  <c r="M85" i="250"/>
  <c r="M84" i="250"/>
  <c r="M83" i="250"/>
  <c r="M82" i="250"/>
  <c r="M11" i="250"/>
  <c r="M149" i="163"/>
  <c r="M76" i="163"/>
  <c r="M11" i="163"/>
  <c r="M222" i="162"/>
  <c r="M144" i="162"/>
  <c r="M81" i="162"/>
  <c r="M11" i="162"/>
  <c r="M11" i="161"/>
  <c r="M198" i="159"/>
  <c r="M197" i="159"/>
  <c r="M196" i="159"/>
  <c r="M195" i="159"/>
  <c r="M194" i="159"/>
  <c r="M193" i="159"/>
  <c r="M192" i="159"/>
  <c r="M191" i="159"/>
  <c r="M190" i="159"/>
  <c r="M189" i="159"/>
  <c r="M188" i="159"/>
  <c r="M187" i="159"/>
  <c r="M186" i="159"/>
  <c r="M185" i="159"/>
  <c r="M184" i="159"/>
  <c r="M183" i="159"/>
  <c r="M182" i="159"/>
  <c r="M181" i="159"/>
  <c r="M180" i="159"/>
  <c r="M178" i="159"/>
  <c r="M177" i="159"/>
  <c r="M176" i="159"/>
  <c r="M175" i="159"/>
  <c r="M174" i="159"/>
  <c r="M173" i="159"/>
  <c r="M172" i="159"/>
  <c r="M171" i="159"/>
  <c r="M170" i="159"/>
  <c r="M169" i="159"/>
  <c r="M168" i="159"/>
  <c r="M167" i="159"/>
  <c r="M166" i="159"/>
  <c r="M165" i="159"/>
  <c r="M164" i="159"/>
  <c r="M163" i="159"/>
  <c r="M162" i="159"/>
  <c r="M161" i="159"/>
  <c r="M160" i="159"/>
  <c r="M159" i="159"/>
  <c r="M158" i="159"/>
  <c r="M157" i="159"/>
  <c r="M156" i="159"/>
  <c r="M154" i="159"/>
  <c r="M153" i="159"/>
  <c r="M152" i="159"/>
  <c r="M86" i="159"/>
  <c r="M74" i="159"/>
  <c r="M73" i="159"/>
  <c r="M70" i="159"/>
  <c r="M69" i="159"/>
  <c r="M68" i="159"/>
  <c r="M67" i="159"/>
  <c r="M65" i="159"/>
  <c r="M63" i="159"/>
  <c r="M61" i="159"/>
  <c r="M59" i="159"/>
  <c r="M57" i="159"/>
  <c r="M54" i="159"/>
  <c r="M53" i="159"/>
  <c r="M52" i="159"/>
  <c r="M49" i="159"/>
  <c r="M48" i="159"/>
  <c r="M47" i="159"/>
  <c r="M46" i="159"/>
  <c r="M45" i="159"/>
  <c r="M44" i="159"/>
  <c r="M43" i="159"/>
  <c r="M42" i="159"/>
  <c r="M41" i="159"/>
  <c r="M40" i="159"/>
  <c r="M39" i="159"/>
  <c r="M38" i="159"/>
  <c r="M37" i="159"/>
  <c r="M36" i="159"/>
  <c r="M35" i="159"/>
  <c r="M33" i="159"/>
  <c r="M32" i="159"/>
  <c r="M31" i="159"/>
  <c r="M30" i="159"/>
  <c r="M18" i="159"/>
  <c r="M17" i="159"/>
  <c r="M16" i="159"/>
  <c r="M15" i="159"/>
  <c r="M14" i="159"/>
  <c r="M13" i="159"/>
  <c r="M12" i="159"/>
  <c r="M11" i="159"/>
  <c r="K68" i="278"/>
  <c r="I28" i="169" l="1"/>
  <c r="M28" i="169"/>
  <c r="I26" i="169"/>
  <c r="M26" i="169"/>
  <c r="M27" i="235"/>
  <c r="M25" i="235"/>
  <c r="M22" i="235"/>
  <c r="M42" i="166"/>
  <c r="H150" i="284"/>
  <c r="M20" i="235"/>
  <c r="M87" i="272"/>
  <c r="L50" i="282"/>
  <c r="H50" i="282"/>
  <c r="M30" i="212"/>
  <c r="L75" i="235"/>
  <c r="L84" i="235" s="1"/>
  <c r="L146" i="235" s="1"/>
  <c r="L155" i="235" s="1"/>
  <c r="L212" i="235" s="1"/>
  <c r="L73" i="166"/>
  <c r="L82" i="166" s="1"/>
  <c r="L151" i="166" s="1"/>
  <c r="L160" i="166" s="1"/>
  <c r="L229" i="166" s="1"/>
  <c r="L238" i="166" s="1"/>
  <c r="L305" i="166" s="1"/>
  <c r="M89" i="272"/>
  <c r="M48" i="282"/>
  <c r="I66" i="278"/>
  <c r="L1" i="169"/>
  <c r="H75" i="321"/>
  <c r="H139" i="321" s="1"/>
  <c r="L199" i="275"/>
  <c r="L132" i="275"/>
  <c r="L78" i="275"/>
  <c r="K69" i="278"/>
  <c r="L1" i="166" l="1"/>
  <c r="H213" i="284"/>
  <c r="H1" i="284"/>
  <c r="L1" i="235"/>
  <c r="M50" i="282"/>
  <c r="H62" i="282"/>
  <c r="H148" i="321"/>
  <c r="L112" i="272"/>
  <c r="M111" i="272"/>
  <c r="L68" i="272"/>
  <c r="M67" i="272"/>
  <c r="L11" i="272"/>
  <c r="AG30" i="271"/>
  <c r="AE30" i="271"/>
  <c r="AC29" i="271"/>
  <c r="AL29" i="271" s="1"/>
  <c r="AC28" i="271"/>
  <c r="AL28" i="271" s="1"/>
  <c r="AC27" i="271"/>
  <c r="AL27" i="271" s="1"/>
  <c r="AC26" i="271"/>
  <c r="AL26" i="271" s="1"/>
  <c r="AC25" i="271"/>
  <c r="AL25" i="271" s="1"/>
  <c r="AC24" i="271"/>
  <c r="AL24" i="271" s="1"/>
  <c r="AC23" i="271"/>
  <c r="AL23" i="271" s="1"/>
  <c r="AC22" i="271"/>
  <c r="AL22" i="271" s="1"/>
  <c r="AG19" i="271"/>
  <c r="AO19" i="271" s="1"/>
  <c r="AB19" i="271"/>
  <c r="AA19" i="271"/>
  <c r="AG18" i="271"/>
  <c r="AC18" i="271"/>
  <c r="AG17" i="271"/>
  <c r="AB17" i="271"/>
  <c r="AA17" i="271"/>
  <c r="S28" i="271"/>
  <c r="S24" i="271"/>
  <c r="S20" i="271"/>
  <c r="L28" i="271"/>
  <c r="P174" i="271"/>
  <c r="O174" i="271"/>
  <c r="L177" i="271"/>
  <c r="L175" i="271"/>
  <c r="L192" i="271"/>
  <c r="L191" i="271"/>
  <c r="L190" i="271"/>
  <c r="L189" i="271"/>
  <c r="L188" i="271"/>
  <c r="L187" i="271"/>
  <c r="L186" i="271"/>
  <c r="L185" i="271"/>
  <c r="L184" i="271"/>
  <c r="L183" i="271"/>
  <c r="L182" i="271"/>
  <c r="L181" i="271"/>
  <c r="L180" i="271"/>
  <c r="L179" i="271"/>
  <c r="L178" i="271"/>
  <c r="L176" i="271"/>
  <c r="L174" i="271"/>
  <c r="L172" i="271"/>
  <c r="L171" i="271"/>
  <c r="L170" i="271"/>
  <c r="L169" i="271"/>
  <c r="L168" i="271"/>
  <c r="L167" i="271"/>
  <c r="L166" i="271"/>
  <c r="L165" i="271"/>
  <c r="L164" i="271"/>
  <c r="L163" i="271"/>
  <c r="L162" i="271"/>
  <c r="L161" i="271"/>
  <c r="L160" i="271"/>
  <c r="L158" i="271"/>
  <c r="L157" i="271"/>
  <c r="L156" i="271"/>
  <c r="L155" i="271"/>
  <c r="L154" i="271"/>
  <c r="L153" i="271"/>
  <c r="L152" i="271"/>
  <c r="L150" i="271"/>
  <c r="L149" i="271"/>
  <c r="L148" i="271"/>
  <c r="L146" i="271"/>
  <c r="L145" i="271"/>
  <c r="L144" i="271"/>
  <c r="L143" i="271"/>
  <c r="L147" i="271"/>
  <c r="L69" i="271"/>
  <c r="L36" i="271"/>
  <c r="L58" i="271"/>
  <c r="L57" i="271"/>
  <c r="L56" i="271"/>
  <c r="L55" i="271"/>
  <c r="L53" i="271"/>
  <c r="L51" i="271"/>
  <c r="L50" i="271"/>
  <c r="L49" i="271"/>
  <c r="L48" i="271"/>
  <c r="L47" i="271"/>
  <c r="L46" i="271"/>
  <c r="L45" i="271"/>
  <c r="L44" i="271"/>
  <c r="L43" i="271"/>
  <c r="L42" i="271"/>
  <c r="L41" i="271"/>
  <c r="L39" i="271"/>
  <c r="L38" i="271"/>
  <c r="L37" i="271"/>
  <c r="L35" i="271"/>
  <c r="L34" i="271"/>
  <c r="L33" i="271"/>
  <c r="L32" i="271"/>
  <c r="L31" i="271"/>
  <c r="L30" i="271"/>
  <c r="L29" i="271"/>
  <c r="L27" i="271"/>
  <c r="L26" i="271"/>
  <c r="L25" i="271"/>
  <c r="L99" i="270"/>
  <c r="L95" i="270"/>
  <c r="L144" i="270"/>
  <c r="L143" i="270"/>
  <c r="L142" i="270"/>
  <c r="L141" i="270"/>
  <c r="L140" i="270"/>
  <c r="L139" i="270"/>
  <c r="L138" i="270"/>
  <c r="L137" i="270"/>
  <c r="L136" i="270"/>
  <c r="L135" i="270"/>
  <c r="L134" i="270"/>
  <c r="L133" i="270"/>
  <c r="L132" i="270"/>
  <c r="L131" i="270"/>
  <c r="L130" i="270"/>
  <c r="L129" i="270"/>
  <c r="L128" i="270"/>
  <c r="L127" i="270"/>
  <c r="L126" i="270"/>
  <c r="L125" i="270"/>
  <c r="L124" i="270"/>
  <c r="L123" i="270"/>
  <c r="L122" i="270"/>
  <c r="L121" i="270"/>
  <c r="L120" i="270"/>
  <c r="L119" i="270"/>
  <c r="L118" i="270"/>
  <c r="L117" i="270"/>
  <c r="L116" i="270"/>
  <c r="L115" i="270"/>
  <c r="L114" i="270"/>
  <c r="L113" i="270"/>
  <c r="L112" i="270"/>
  <c r="L111" i="270"/>
  <c r="L110" i="270"/>
  <c r="L109" i="270"/>
  <c r="L108" i="270"/>
  <c r="L107" i="270"/>
  <c r="L106" i="270"/>
  <c r="L105" i="270"/>
  <c r="L104" i="270"/>
  <c r="L103" i="270"/>
  <c r="L102" i="270"/>
  <c r="L101" i="270"/>
  <c r="L100" i="270"/>
  <c r="L98" i="270"/>
  <c r="L97" i="270"/>
  <c r="L96" i="270"/>
  <c r="L94" i="270"/>
  <c r="L93" i="270"/>
  <c r="L92" i="270"/>
  <c r="L91" i="270"/>
  <c r="L90" i="270"/>
  <c r="L89" i="270"/>
  <c r="L88" i="270"/>
  <c r="L87" i="270"/>
  <c r="L86" i="270"/>
  <c r="L85" i="270"/>
  <c r="L84" i="270"/>
  <c r="L83" i="270"/>
  <c r="L82" i="270"/>
  <c r="L71" i="270"/>
  <c r="L52" i="270"/>
  <c r="L51" i="270"/>
  <c r="L50" i="270"/>
  <c r="L49" i="270"/>
  <c r="L48" i="270"/>
  <c r="L47" i="270"/>
  <c r="L46" i="270"/>
  <c r="L45" i="270"/>
  <c r="L44" i="270"/>
  <c r="L43" i="270"/>
  <c r="L42" i="270"/>
  <c r="L41" i="270"/>
  <c r="L40" i="270"/>
  <c r="L39" i="270"/>
  <c r="L37" i="270"/>
  <c r="L35" i="270"/>
  <c r="L34" i="270"/>
  <c r="L33" i="270"/>
  <c r="L32" i="270"/>
  <c r="L31" i="270"/>
  <c r="L25" i="270"/>
  <c r="L19" i="270"/>
  <c r="L17" i="270"/>
  <c r="L15" i="270"/>
  <c r="L14" i="270"/>
  <c r="L13" i="270"/>
  <c r="L12" i="270"/>
  <c r="L11" i="270"/>
  <c r="K14" i="278"/>
  <c r="K15" i="278"/>
  <c r="H71" i="282" l="1"/>
  <c r="H129" i="282" s="1"/>
  <c r="C69" i="284"/>
  <c r="C141" i="284"/>
  <c r="C213" i="284"/>
  <c r="H209" i="321"/>
  <c r="AN23" i="271"/>
  <c r="AD23" i="271"/>
  <c r="AN25" i="271"/>
  <c r="AJ25" i="271"/>
  <c r="AJ27" i="271"/>
  <c r="AF25" i="271"/>
  <c r="AI18" i="271"/>
  <c r="AM18" i="271" s="1"/>
  <c r="AF23" i="271"/>
  <c r="AD25" i="271"/>
  <c r="AK27" i="271"/>
  <c r="AD29" i="271"/>
  <c r="AN29" i="271"/>
  <c r="AK29" i="271"/>
  <c r="AC19" i="271"/>
  <c r="AN19" i="271" s="1"/>
  <c r="AK23" i="271"/>
  <c r="AF27" i="271"/>
  <c r="AJ29" i="271"/>
  <c r="AC17" i="271"/>
  <c r="AN17" i="271" s="1"/>
  <c r="AN18" i="271"/>
  <c r="AJ23" i="271"/>
  <c r="AK25" i="271"/>
  <c r="AD27" i="271"/>
  <c r="AN27" i="271"/>
  <c r="AF29" i="271"/>
  <c r="AL30" i="271"/>
  <c r="AO17" i="271"/>
  <c r="AF17" i="271"/>
  <c r="AO18" i="271"/>
  <c r="AF19" i="271"/>
  <c r="AF22" i="271"/>
  <c r="AK22" i="271"/>
  <c r="AI23" i="271"/>
  <c r="AM23" i="271"/>
  <c r="AF24" i="271"/>
  <c r="AK24" i="271"/>
  <c r="AI25" i="271"/>
  <c r="AM25" i="271"/>
  <c r="AF26" i="271"/>
  <c r="AK26" i="271"/>
  <c r="AI27" i="271"/>
  <c r="AM27" i="271"/>
  <c r="AF28" i="271"/>
  <c r="AK28" i="271"/>
  <c r="AI29" i="271"/>
  <c r="AM29" i="271"/>
  <c r="AF18" i="271"/>
  <c r="AD22" i="271"/>
  <c r="AJ22" i="271"/>
  <c r="AN22" i="271"/>
  <c r="AH23" i="271"/>
  <c r="AD24" i="271"/>
  <c r="AJ24" i="271"/>
  <c r="AN24" i="271"/>
  <c r="AH25" i="271"/>
  <c r="AD26" i="271"/>
  <c r="AJ26" i="271"/>
  <c r="AN26" i="271"/>
  <c r="AH27" i="271"/>
  <c r="AD28" i="271"/>
  <c r="AJ28" i="271"/>
  <c r="AN28" i="271"/>
  <c r="AH29" i="271"/>
  <c r="AC30" i="271"/>
  <c r="AB30" i="271" s="1"/>
  <c r="AI22" i="271"/>
  <c r="AM22" i="271"/>
  <c r="AI24" i="271"/>
  <c r="AM24" i="271"/>
  <c r="AI26" i="271"/>
  <c r="AM26" i="271"/>
  <c r="AI28" i="271"/>
  <c r="AM28" i="271"/>
  <c r="AH22" i="271"/>
  <c r="AH24" i="271"/>
  <c r="AH26" i="271"/>
  <c r="AH28" i="271"/>
  <c r="H1" i="321" l="1"/>
  <c r="H138" i="282"/>
  <c r="AI19" i="271"/>
  <c r="AM19" i="271" s="1"/>
  <c r="AI17" i="271"/>
  <c r="AM17" i="271" s="1"/>
  <c r="AJ18" i="271"/>
  <c r="AH18" i="271"/>
  <c r="AK18" i="271"/>
  <c r="AL18" i="271"/>
  <c r="AM30" i="271"/>
  <c r="AN30" i="271"/>
  <c r="AK30" i="271"/>
  <c r="AK19" i="271"/>
  <c r="AL19" i="271"/>
  <c r="AH19" i="271"/>
  <c r="AJ19" i="271"/>
  <c r="AK17" i="271"/>
  <c r="AL17" i="271"/>
  <c r="AH17" i="271"/>
  <c r="AJ17" i="271"/>
  <c r="AH30" i="271"/>
  <c r="AI30" i="271"/>
  <c r="AJ30" i="271"/>
  <c r="I19" i="264"/>
  <c r="I17" i="264"/>
  <c r="L393" i="250"/>
  <c r="L392" i="250"/>
  <c r="L391" i="250"/>
  <c r="L390" i="250"/>
  <c r="L389" i="250"/>
  <c r="L388" i="250"/>
  <c r="L387" i="250"/>
  <c r="L386" i="250"/>
  <c r="L385" i="250"/>
  <c r="L384" i="250"/>
  <c r="L383" i="250"/>
  <c r="L382" i="250"/>
  <c r="L381" i="250"/>
  <c r="L380" i="250"/>
  <c r="L379" i="250"/>
  <c r="L378" i="250"/>
  <c r="L377" i="250"/>
  <c r="L376" i="250"/>
  <c r="L375" i="250"/>
  <c r="L374" i="250"/>
  <c r="L373" i="250"/>
  <c r="L372" i="250"/>
  <c r="L371" i="250"/>
  <c r="L370" i="250"/>
  <c r="L369" i="250"/>
  <c r="L368" i="250"/>
  <c r="L367" i="250"/>
  <c r="L366" i="250"/>
  <c r="L365" i="250"/>
  <c r="L363" i="250"/>
  <c r="L361" i="250"/>
  <c r="L360" i="250"/>
  <c r="L359" i="250"/>
  <c r="L358" i="250"/>
  <c r="L357" i="250"/>
  <c r="L356" i="250"/>
  <c r="L355" i="250"/>
  <c r="L354" i="250"/>
  <c r="L353" i="250"/>
  <c r="L352" i="250"/>
  <c r="L351" i="250"/>
  <c r="L350" i="250"/>
  <c r="L349" i="250"/>
  <c r="L348" i="250"/>
  <c r="L347" i="250"/>
  <c r="L346" i="250"/>
  <c r="L345" i="250"/>
  <c r="L344" i="250"/>
  <c r="L343" i="250"/>
  <c r="L342" i="250"/>
  <c r="L341" i="250"/>
  <c r="L340" i="250"/>
  <c r="L339" i="250"/>
  <c r="L338" i="250"/>
  <c r="L337" i="250"/>
  <c r="L336" i="250"/>
  <c r="L335" i="250"/>
  <c r="L324" i="250"/>
  <c r="L323" i="250"/>
  <c r="L322" i="250"/>
  <c r="L321" i="250"/>
  <c r="L320" i="250"/>
  <c r="L319" i="250"/>
  <c r="L318" i="250"/>
  <c r="L317" i="250"/>
  <c r="L316" i="250"/>
  <c r="L315" i="250"/>
  <c r="L314" i="250"/>
  <c r="L313" i="250"/>
  <c r="L312" i="250"/>
  <c r="L311" i="250"/>
  <c r="L310" i="250"/>
  <c r="L309" i="250"/>
  <c r="L308" i="250"/>
  <c r="L307" i="250"/>
  <c r="L306" i="250"/>
  <c r="L305" i="250"/>
  <c r="L304" i="250"/>
  <c r="L303" i="250"/>
  <c r="L302" i="250"/>
  <c r="L301" i="250"/>
  <c r="L300" i="250"/>
  <c r="L299" i="250"/>
  <c r="L298" i="250"/>
  <c r="L297" i="250"/>
  <c r="L296" i="250"/>
  <c r="L295" i="250"/>
  <c r="L294" i="250"/>
  <c r="L293" i="250"/>
  <c r="L292" i="250"/>
  <c r="L291" i="250"/>
  <c r="L290" i="250"/>
  <c r="L289" i="250"/>
  <c r="L288" i="250"/>
  <c r="L287" i="250"/>
  <c r="L286" i="250"/>
  <c r="L285" i="250"/>
  <c r="L284" i="250"/>
  <c r="L283" i="250"/>
  <c r="L282" i="250"/>
  <c r="L281" i="250"/>
  <c r="L280" i="250"/>
  <c r="L279" i="250"/>
  <c r="L278" i="250"/>
  <c r="L277" i="250"/>
  <c r="L276" i="250"/>
  <c r="L275" i="250"/>
  <c r="L274" i="250"/>
  <c r="L273" i="250"/>
  <c r="L262" i="250"/>
  <c r="L261" i="250"/>
  <c r="L260" i="250"/>
  <c r="L259" i="250"/>
  <c r="L258" i="250"/>
  <c r="L257" i="250"/>
  <c r="L256" i="250"/>
  <c r="L255" i="250"/>
  <c r="L254" i="250"/>
  <c r="L253" i="250"/>
  <c r="L252" i="250"/>
  <c r="L251" i="250"/>
  <c r="L250" i="250"/>
  <c r="L249" i="250"/>
  <c r="L248" i="250"/>
  <c r="L247" i="250"/>
  <c r="L246" i="250"/>
  <c r="L245" i="250"/>
  <c r="L244" i="250"/>
  <c r="L243" i="250"/>
  <c r="L242" i="250"/>
  <c r="L241" i="250"/>
  <c r="L240" i="250"/>
  <c r="L239" i="250"/>
  <c r="L238" i="250"/>
  <c r="L237" i="250"/>
  <c r="L236" i="250"/>
  <c r="L235" i="250"/>
  <c r="L234" i="250"/>
  <c r="L233" i="250"/>
  <c r="L232" i="250"/>
  <c r="L231" i="250"/>
  <c r="L230" i="250"/>
  <c r="L229" i="250"/>
  <c r="L228" i="250"/>
  <c r="L227" i="250"/>
  <c r="L226" i="250"/>
  <c r="L225" i="250"/>
  <c r="L224" i="250"/>
  <c r="L223" i="250"/>
  <c r="L222" i="250"/>
  <c r="L221" i="250"/>
  <c r="L220" i="250"/>
  <c r="L219" i="250"/>
  <c r="L218" i="250"/>
  <c r="L217" i="250"/>
  <c r="L216" i="250"/>
  <c r="L215" i="250"/>
  <c r="L214" i="250"/>
  <c r="L213" i="250"/>
  <c r="L212" i="250"/>
  <c r="L211" i="250"/>
  <c r="L210" i="250"/>
  <c r="L209" i="250"/>
  <c r="L208" i="250"/>
  <c r="L207" i="250"/>
  <c r="L206" i="250"/>
  <c r="L195" i="250"/>
  <c r="L194" i="250"/>
  <c r="L193" i="250"/>
  <c r="L192" i="250"/>
  <c r="L191" i="250"/>
  <c r="L190" i="250"/>
  <c r="L189" i="250"/>
  <c r="L188" i="250"/>
  <c r="L187" i="250"/>
  <c r="L186" i="250"/>
  <c r="L185" i="250"/>
  <c r="L183" i="250"/>
  <c r="L182" i="250"/>
  <c r="L181" i="250"/>
  <c r="L179" i="250"/>
  <c r="L178" i="250"/>
  <c r="L177" i="250"/>
  <c r="L176" i="250"/>
  <c r="L175" i="250"/>
  <c r="L174" i="250"/>
  <c r="L173" i="250"/>
  <c r="L172" i="250"/>
  <c r="L171" i="250"/>
  <c r="L170" i="250"/>
  <c r="L169" i="250"/>
  <c r="L168" i="250"/>
  <c r="L167" i="250"/>
  <c r="L166" i="250"/>
  <c r="L165" i="250"/>
  <c r="L164" i="250"/>
  <c r="L163" i="250"/>
  <c r="L162" i="250"/>
  <c r="L161" i="250"/>
  <c r="L160" i="250"/>
  <c r="L159" i="250"/>
  <c r="L158" i="250"/>
  <c r="L157" i="250"/>
  <c r="L156" i="250"/>
  <c r="L155" i="250"/>
  <c r="L154" i="250"/>
  <c r="L153" i="250"/>
  <c r="L152" i="250"/>
  <c r="L151" i="250"/>
  <c r="L150" i="250"/>
  <c r="L149" i="250"/>
  <c r="L148" i="250"/>
  <c r="L147" i="250"/>
  <c r="L146" i="250"/>
  <c r="L145" i="250"/>
  <c r="L144" i="250"/>
  <c r="L143" i="250"/>
  <c r="L142" i="250"/>
  <c r="L141" i="250"/>
  <c r="L140" i="250"/>
  <c r="L139" i="250"/>
  <c r="L128" i="250"/>
  <c r="L127" i="250"/>
  <c r="L126" i="250"/>
  <c r="L125" i="250"/>
  <c r="L124" i="250"/>
  <c r="L123" i="250"/>
  <c r="L122" i="250"/>
  <c r="L121" i="250"/>
  <c r="L120" i="250"/>
  <c r="L119" i="250"/>
  <c r="L118" i="250"/>
  <c r="L117" i="250"/>
  <c r="L116" i="250"/>
  <c r="L115" i="250"/>
  <c r="L114" i="250"/>
  <c r="L113" i="250"/>
  <c r="L112" i="250"/>
  <c r="L111" i="250"/>
  <c r="L110" i="250"/>
  <c r="L109" i="250"/>
  <c r="L108" i="250"/>
  <c r="L107" i="250"/>
  <c r="L106" i="250"/>
  <c r="L105" i="250"/>
  <c r="L104" i="250"/>
  <c r="L103" i="250"/>
  <c r="L102" i="250"/>
  <c r="L101" i="250"/>
  <c r="L100" i="250"/>
  <c r="L99" i="250"/>
  <c r="L98" i="250"/>
  <c r="L97" i="250"/>
  <c r="L96" i="250"/>
  <c r="L95" i="250"/>
  <c r="L94" i="250"/>
  <c r="L93" i="250"/>
  <c r="L92" i="250"/>
  <c r="L91" i="250"/>
  <c r="L90" i="250"/>
  <c r="L89" i="250"/>
  <c r="L88" i="250"/>
  <c r="L87" i="250"/>
  <c r="L86" i="250"/>
  <c r="L85" i="250"/>
  <c r="L84" i="250"/>
  <c r="L83" i="250"/>
  <c r="L82" i="250"/>
  <c r="L11" i="250"/>
  <c r="L364" i="250"/>
  <c r="L362" i="250"/>
  <c r="L184" i="250"/>
  <c r="L180" i="250"/>
  <c r="D54" i="278"/>
  <c r="G54" i="278" l="1"/>
  <c r="I54" i="278" s="1"/>
  <c r="H200" i="282"/>
  <c r="C66" i="321"/>
  <c r="C139" i="321"/>
  <c r="C209" i="321"/>
  <c r="L76" i="163"/>
  <c r="H209" i="282" l="1"/>
  <c r="H6" i="275"/>
  <c r="H193" i="275" s="1"/>
  <c r="M198" i="275"/>
  <c r="M131" i="275"/>
  <c r="M77" i="275"/>
  <c r="L11" i="275"/>
  <c r="L11" i="279"/>
  <c r="M266" i="271"/>
  <c r="L261" i="271"/>
  <c r="L260" i="271"/>
  <c r="L247" i="271"/>
  <c r="L246" i="271"/>
  <c r="L245" i="271"/>
  <c r="L244" i="271"/>
  <c r="L243" i="271"/>
  <c r="L242" i="271"/>
  <c r="L241" i="271"/>
  <c r="L240" i="271"/>
  <c r="L239" i="271"/>
  <c r="L238" i="271"/>
  <c r="L237" i="271"/>
  <c r="L236" i="271"/>
  <c r="L235" i="271"/>
  <c r="L234" i="271"/>
  <c r="L233" i="271"/>
  <c r="L232" i="271"/>
  <c r="L231" i="271"/>
  <c r="L230" i="271"/>
  <c r="L229" i="271"/>
  <c r="L228" i="271"/>
  <c r="L227" i="271"/>
  <c r="L226" i="271"/>
  <c r="L225" i="271"/>
  <c r="L224" i="271"/>
  <c r="L223" i="271"/>
  <c r="L222" i="271"/>
  <c r="L221" i="271"/>
  <c r="L220" i="271"/>
  <c r="L219" i="271"/>
  <c r="L218" i="271"/>
  <c r="L217" i="271"/>
  <c r="L216" i="271"/>
  <c r="L215" i="271"/>
  <c r="L214" i="271"/>
  <c r="L213" i="271"/>
  <c r="L212" i="271"/>
  <c r="L211" i="271"/>
  <c r="L210" i="271"/>
  <c r="L209" i="271"/>
  <c r="L208" i="271"/>
  <c r="L207" i="271"/>
  <c r="L206" i="271"/>
  <c r="L205" i="271"/>
  <c r="L204" i="271"/>
  <c r="L203" i="271"/>
  <c r="M202" i="271"/>
  <c r="M193" i="271"/>
  <c r="L142" i="271"/>
  <c r="M141" i="271"/>
  <c r="M68" i="271"/>
  <c r="L24" i="271"/>
  <c r="L23" i="271"/>
  <c r="L21" i="271"/>
  <c r="L20" i="271"/>
  <c r="L19" i="271"/>
  <c r="L18" i="271"/>
  <c r="L17" i="271"/>
  <c r="L16" i="271"/>
  <c r="L15" i="271"/>
  <c r="L14" i="271"/>
  <c r="L13" i="271"/>
  <c r="L12" i="271"/>
  <c r="L11" i="271"/>
  <c r="M145" i="270"/>
  <c r="M81" i="270"/>
  <c r="L11" i="268"/>
  <c r="K1" i="268"/>
  <c r="M220" i="267"/>
  <c r="L219" i="267"/>
  <c r="L218" i="267"/>
  <c r="L217" i="267"/>
  <c r="L216" i="267"/>
  <c r="L215" i="267"/>
  <c r="L214" i="267"/>
  <c r="L213" i="267"/>
  <c r="L212" i="267"/>
  <c r="L211" i="267"/>
  <c r="L210" i="267"/>
  <c r="L209" i="267"/>
  <c r="L208" i="267"/>
  <c r="L207" i="267"/>
  <c r="L206" i="267"/>
  <c r="L205" i="267"/>
  <c r="L204" i="267"/>
  <c r="L203" i="267"/>
  <c r="L202" i="267"/>
  <c r="L201" i="267"/>
  <c r="L200" i="267"/>
  <c r="L199" i="267"/>
  <c r="L198" i="267"/>
  <c r="L197" i="267"/>
  <c r="L196" i="267"/>
  <c r="L195" i="267"/>
  <c r="L194" i="267"/>
  <c r="L193" i="267"/>
  <c r="L192" i="267"/>
  <c r="L191" i="267"/>
  <c r="L190" i="267"/>
  <c r="L189" i="267"/>
  <c r="L188" i="267"/>
  <c r="L187" i="267"/>
  <c r="L186" i="267"/>
  <c r="L185" i="267"/>
  <c r="L184" i="267"/>
  <c r="L183" i="267"/>
  <c r="L182" i="267"/>
  <c r="L181" i="267"/>
  <c r="L180" i="267"/>
  <c r="L179" i="267"/>
  <c r="L178" i="267"/>
  <c r="L177" i="267"/>
  <c r="L176" i="267"/>
  <c r="L175" i="267"/>
  <c r="L174" i="267"/>
  <c r="L173" i="267"/>
  <c r="L172" i="267"/>
  <c r="L171" i="267"/>
  <c r="L170" i="267"/>
  <c r="L169" i="267"/>
  <c r="L168" i="267"/>
  <c r="L167" i="267"/>
  <c r="L166" i="267"/>
  <c r="L165" i="267"/>
  <c r="L164" i="267"/>
  <c r="L163" i="267"/>
  <c r="L162" i="267"/>
  <c r="M161" i="267"/>
  <c r="L150" i="267"/>
  <c r="L149" i="267"/>
  <c r="L148" i="267"/>
  <c r="L147" i="267"/>
  <c r="L146" i="267"/>
  <c r="L145" i="267"/>
  <c r="L144" i="267"/>
  <c r="L143" i="267"/>
  <c r="L142" i="267"/>
  <c r="L141" i="267"/>
  <c r="L140" i="267"/>
  <c r="L139" i="267"/>
  <c r="L138" i="267"/>
  <c r="L137" i="267"/>
  <c r="L136" i="267"/>
  <c r="L135" i="267"/>
  <c r="L134" i="267"/>
  <c r="L133" i="267"/>
  <c r="M152" i="267"/>
  <c r="L151" i="267"/>
  <c r="L132" i="267"/>
  <c r="L131" i="267"/>
  <c r="L130" i="267"/>
  <c r="L129" i="267"/>
  <c r="L128" i="267"/>
  <c r="L127" i="267"/>
  <c r="L126" i="267"/>
  <c r="L125" i="267"/>
  <c r="L124" i="267"/>
  <c r="L123" i="267"/>
  <c r="L122" i="267"/>
  <c r="L121" i="267"/>
  <c r="L120" i="267"/>
  <c r="L119" i="267"/>
  <c r="L118" i="267"/>
  <c r="L117" i="267"/>
  <c r="L116" i="267"/>
  <c r="L115" i="267"/>
  <c r="L114" i="267"/>
  <c r="L113" i="267"/>
  <c r="L112" i="267"/>
  <c r="L111" i="267"/>
  <c r="L110" i="267"/>
  <c r="L109" i="267"/>
  <c r="L108" i="267"/>
  <c r="L107" i="267"/>
  <c r="L106" i="267"/>
  <c r="L105" i="267"/>
  <c r="L104" i="267"/>
  <c r="L103" i="267"/>
  <c r="L102" i="267"/>
  <c r="L101" i="267"/>
  <c r="L100" i="267"/>
  <c r="L99" i="267"/>
  <c r="L98" i="267"/>
  <c r="L97" i="267"/>
  <c r="L96" i="267"/>
  <c r="L95" i="267"/>
  <c r="L94" i="267"/>
  <c r="L93" i="267"/>
  <c r="L92" i="267"/>
  <c r="L91" i="267"/>
  <c r="L90" i="267"/>
  <c r="L89" i="267"/>
  <c r="L88" i="267"/>
  <c r="L87" i="267"/>
  <c r="M86" i="267"/>
  <c r="L11" i="267"/>
  <c r="L64" i="262"/>
  <c r="L11" i="262"/>
  <c r="L66" i="260"/>
  <c r="L65" i="260"/>
  <c r="L64" i="260"/>
  <c r="L63" i="260"/>
  <c r="L62" i="260"/>
  <c r="L61" i="260"/>
  <c r="L60" i="260"/>
  <c r="L59" i="260"/>
  <c r="L58" i="260"/>
  <c r="L57" i="260"/>
  <c r="L56" i="260"/>
  <c r="L55" i="260"/>
  <c r="L32" i="260"/>
  <c r="L67" i="260"/>
  <c r="L54" i="260"/>
  <c r="L53" i="260"/>
  <c r="L52" i="260"/>
  <c r="L51" i="260"/>
  <c r="L50" i="260"/>
  <c r="L49" i="260"/>
  <c r="L48" i="260"/>
  <c r="L47" i="260"/>
  <c r="L46" i="260"/>
  <c r="L45" i="260"/>
  <c r="L44" i="260"/>
  <c r="L43" i="260"/>
  <c r="L42" i="260"/>
  <c r="L41" i="260"/>
  <c r="L40" i="260"/>
  <c r="L39" i="260"/>
  <c r="L38" i="260"/>
  <c r="L37" i="260"/>
  <c r="L36" i="260"/>
  <c r="L35" i="260"/>
  <c r="L34" i="260"/>
  <c r="L33" i="260"/>
  <c r="L31" i="260"/>
  <c r="L30" i="260"/>
  <c r="L29" i="260"/>
  <c r="L28" i="260"/>
  <c r="L27" i="260"/>
  <c r="L26" i="260"/>
  <c r="L25" i="260"/>
  <c r="L24" i="260"/>
  <c r="L23" i="260"/>
  <c r="L22" i="260"/>
  <c r="L21" i="260"/>
  <c r="L20" i="260"/>
  <c r="L19" i="260"/>
  <c r="L18" i="260"/>
  <c r="L17" i="260"/>
  <c r="L16" i="260"/>
  <c r="L15" i="260"/>
  <c r="L14" i="260"/>
  <c r="L13" i="260"/>
  <c r="L12" i="260"/>
  <c r="L11" i="260"/>
  <c r="H263" i="282" l="1"/>
  <c r="H1" i="282" s="1"/>
  <c r="H126" i="275"/>
  <c r="L54" i="262"/>
  <c r="L63" i="262" s="1"/>
  <c r="L123" i="262" s="1"/>
  <c r="L78" i="268"/>
  <c r="L77" i="267"/>
  <c r="L86" i="267" s="1"/>
  <c r="L152" i="267" s="1"/>
  <c r="L161" i="267" s="1"/>
  <c r="L220" i="267" s="1"/>
  <c r="L1" i="267" s="1"/>
  <c r="L68" i="260"/>
  <c r="K51" i="278"/>
  <c r="C263" i="282" l="1"/>
  <c r="C62" i="282"/>
  <c r="C129" i="282"/>
  <c r="C200" i="282"/>
  <c r="L1" i="260" l="1"/>
  <c r="K97" i="278" s="1"/>
  <c r="M149" i="192"/>
  <c r="L148" i="192"/>
  <c r="L147" i="192"/>
  <c r="L146" i="192"/>
  <c r="L145" i="192"/>
  <c r="L144" i="192"/>
  <c r="L143" i="192"/>
  <c r="L142" i="192"/>
  <c r="L141" i="192"/>
  <c r="L140" i="192"/>
  <c r="L139" i="192"/>
  <c r="L138" i="192"/>
  <c r="L137" i="192"/>
  <c r="L136" i="192"/>
  <c r="L135" i="192"/>
  <c r="L134" i="192"/>
  <c r="L133" i="192"/>
  <c r="L132" i="192"/>
  <c r="L131" i="192"/>
  <c r="L130" i="192"/>
  <c r="L129" i="192"/>
  <c r="L128" i="192"/>
  <c r="L127" i="192"/>
  <c r="L126" i="192"/>
  <c r="L125" i="192"/>
  <c r="L124" i="192"/>
  <c r="L123" i="192"/>
  <c r="L122" i="192"/>
  <c r="L121" i="192"/>
  <c r="L120" i="192"/>
  <c r="L119" i="192"/>
  <c r="L118" i="192"/>
  <c r="L117" i="192"/>
  <c r="L116" i="192"/>
  <c r="L115" i="192"/>
  <c r="L114" i="192"/>
  <c r="L113" i="192"/>
  <c r="L112" i="192"/>
  <c r="L111" i="192"/>
  <c r="L110" i="192"/>
  <c r="L109" i="192"/>
  <c r="L108" i="192"/>
  <c r="L107" i="192"/>
  <c r="L106" i="192"/>
  <c r="L105" i="192"/>
  <c r="L104" i="192"/>
  <c r="L103" i="192"/>
  <c r="L102" i="192"/>
  <c r="L101" i="192"/>
  <c r="L100" i="192"/>
  <c r="L99" i="192"/>
  <c r="L98" i="192"/>
  <c r="L97" i="192"/>
  <c r="L96" i="192"/>
  <c r="L95" i="192"/>
  <c r="L94" i="192"/>
  <c r="L93" i="192"/>
  <c r="L92" i="192"/>
  <c r="L91" i="192"/>
  <c r="L90" i="192"/>
  <c r="L89" i="192"/>
  <c r="L88" i="192"/>
  <c r="L87" i="192"/>
  <c r="M86" i="192"/>
  <c r="L11" i="192"/>
  <c r="M394" i="250"/>
  <c r="M334" i="250"/>
  <c r="M325" i="250"/>
  <c r="M272" i="250"/>
  <c r="M263" i="250"/>
  <c r="M205" i="250"/>
  <c r="M196" i="250"/>
  <c r="M138" i="250"/>
  <c r="M129" i="250"/>
  <c r="M81" i="250"/>
  <c r="L149" i="163"/>
  <c r="M148" i="163"/>
  <c r="M75" i="163"/>
  <c r="L11" i="163"/>
  <c r="L222" i="162"/>
  <c r="M221" i="162"/>
  <c r="L144" i="162"/>
  <c r="M143" i="162"/>
  <c r="L81" i="162"/>
  <c r="M80" i="162"/>
  <c r="L11" i="162"/>
  <c r="L71" i="162" l="1"/>
  <c r="L80" i="162" s="1"/>
  <c r="L134" i="162" s="1"/>
  <c r="L143" i="162" s="1"/>
  <c r="L212" i="162" s="1"/>
  <c r="L77" i="192"/>
  <c r="L86" i="192" s="1"/>
  <c r="L149" i="192" s="1"/>
  <c r="L72" i="250"/>
  <c r="L11" i="161"/>
  <c r="L200" i="159"/>
  <c r="L199" i="159"/>
  <c r="L198" i="159"/>
  <c r="L197" i="159"/>
  <c r="L196" i="159"/>
  <c r="L195" i="159"/>
  <c r="L194" i="159"/>
  <c r="L193" i="159"/>
  <c r="L192" i="159"/>
  <c r="L191" i="159"/>
  <c r="L190" i="159"/>
  <c r="L189" i="159"/>
  <c r="L188" i="159"/>
  <c r="L187" i="159"/>
  <c r="L186" i="159"/>
  <c r="L185" i="159"/>
  <c r="L184" i="159"/>
  <c r="L183" i="159"/>
  <c r="L182" i="159"/>
  <c r="L181" i="159"/>
  <c r="L180" i="159"/>
  <c r="L178" i="159"/>
  <c r="L177" i="159"/>
  <c r="L176" i="159"/>
  <c r="L174" i="159"/>
  <c r="L173" i="159"/>
  <c r="L172" i="159"/>
  <c r="L170" i="159"/>
  <c r="L169" i="159"/>
  <c r="L168" i="159"/>
  <c r="L166" i="159"/>
  <c r="L165" i="159"/>
  <c r="L164" i="159"/>
  <c r="L162" i="159"/>
  <c r="L161" i="159"/>
  <c r="L160" i="159"/>
  <c r="L158" i="159"/>
  <c r="L156" i="159"/>
  <c r="L154" i="159"/>
  <c r="L153" i="159"/>
  <c r="L152" i="159"/>
  <c r="L86" i="159"/>
  <c r="L74" i="159"/>
  <c r="L73" i="159"/>
  <c r="L70" i="159"/>
  <c r="M66" i="159"/>
  <c r="M64" i="159"/>
  <c r="M62" i="159"/>
  <c r="M60" i="159"/>
  <c r="L54" i="159"/>
  <c r="L53" i="159"/>
  <c r="L52" i="159"/>
  <c r="L49" i="159"/>
  <c r="L48" i="159"/>
  <c r="L47" i="159"/>
  <c r="L46" i="159"/>
  <c r="L45" i="159"/>
  <c r="L44" i="159"/>
  <c r="L43" i="159"/>
  <c r="L42" i="159"/>
  <c r="L41" i="159"/>
  <c r="L40" i="159"/>
  <c r="L39" i="159"/>
  <c r="L38" i="159"/>
  <c r="L37" i="159"/>
  <c r="L36" i="159"/>
  <c r="L35" i="159"/>
  <c r="L34" i="159"/>
  <c r="L33" i="159"/>
  <c r="L32" i="159"/>
  <c r="L31" i="159"/>
  <c r="L30" i="159"/>
  <c r="L18" i="159"/>
  <c r="L17" i="159"/>
  <c r="L16" i="159"/>
  <c r="L15" i="159"/>
  <c r="L14" i="159"/>
  <c r="L13" i="159"/>
  <c r="L12" i="159"/>
  <c r="L11" i="159"/>
  <c r="H189" i="159"/>
  <c r="L78" i="161" l="1"/>
  <c r="L1" i="161" s="1"/>
  <c r="L221" i="162"/>
  <c r="L275" i="162" s="1"/>
  <c r="L81" i="250"/>
  <c r="L129" i="250" s="1"/>
  <c r="L138" i="250" s="1"/>
  <c r="L196" i="250" s="1"/>
  <c r="L1" i="192"/>
  <c r="K9" i="278"/>
  <c r="K21" i="278"/>
  <c r="L205" i="250" l="1"/>
  <c r="L263" i="250" s="1"/>
  <c r="L272" i="250" s="1"/>
  <c r="L325" i="250" s="1"/>
  <c r="L334" i="250" s="1"/>
  <c r="L394" i="250" s="1"/>
  <c r="L1" i="250" s="1"/>
  <c r="L1" i="162"/>
  <c r="H185" i="159"/>
  <c r="M151" i="159"/>
  <c r="M85" i="159"/>
  <c r="L76" i="159"/>
  <c r="L85" i="159" s="1"/>
  <c r="L142" i="159" s="1"/>
  <c r="L151" i="159" s="1"/>
  <c r="F89" i="262"/>
  <c r="H89" i="262" s="1"/>
  <c r="F77" i="262"/>
  <c r="H77" i="262" s="1"/>
  <c r="F71" i="262"/>
  <c r="H71" i="262" s="1"/>
  <c r="K18" i="278"/>
  <c r="K10" i="278"/>
  <c r="H187" i="159" l="1"/>
  <c r="L201" i="159"/>
  <c r="L1" i="159" s="1"/>
  <c r="B71" i="279"/>
  <c r="H11" i="279"/>
  <c r="B7" i="279"/>
  <c r="H6" i="279"/>
  <c r="B4" i="279"/>
  <c r="F3" i="279"/>
  <c r="B3" i="279"/>
  <c r="I1" i="279"/>
  <c r="K8" i="278"/>
  <c r="H71" i="279" l="1"/>
  <c r="H1" i="279" l="1"/>
  <c r="C71" i="279" s="1"/>
  <c r="G72" i="278" l="1"/>
  <c r="I72" i="278"/>
  <c r="M1" i="278"/>
  <c r="B4" i="278"/>
  <c r="G113" i="278"/>
  <c r="G112" i="278"/>
  <c r="G111" i="278"/>
  <c r="G110" i="278"/>
  <c r="T3" i="278"/>
  <c r="S3" i="278"/>
  <c r="S49" i="278" s="1"/>
  <c r="R3" i="278"/>
  <c r="R49" i="278" s="1"/>
  <c r="Q3" i="278"/>
  <c r="Q49" i="278" s="1"/>
  <c r="P3" i="278"/>
  <c r="O3" i="278"/>
  <c r="O49" i="278" s="1"/>
  <c r="C50" i="277"/>
  <c r="G50" i="277"/>
  <c r="H50" i="277" s="1"/>
  <c r="D37" i="277"/>
  <c r="D35" i="277"/>
  <c r="D25" i="277"/>
  <c r="D23" i="277"/>
  <c r="D16" i="277"/>
  <c r="E16" i="277" s="1"/>
  <c r="F16" i="277" s="1"/>
  <c r="G16" i="277" s="1"/>
  <c r="H16" i="277" s="1"/>
  <c r="I16" i="277" s="1"/>
  <c r="J16" i="277" s="1"/>
  <c r="K16" i="277" s="1"/>
  <c r="L16" i="277" s="1"/>
  <c r="M16" i="277" s="1"/>
  <c r="N16" i="277" s="1"/>
  <c r="O16" i="277" s="1"/>
  <c r="P16" i="277" s="1"/>
  <c r="Q16" i="277" s="1"/>
  <c r="R16" i="277" s="1"/>
  <c r="S16" i="277" s="1"/>
  <c r="T16" i="277" s="1"/>
  <c r="U16" i="277" s="1"/>
  <c r="I1" i="260"/>
  <c r="I1" i="262"/>
  <c r="L1" i="268"/>
  <c r="Q1" i="268"/>
  <c r="I1" i="268"/>
  <c r="Q1" i="270"/>
  <c r="I1" i="270"/>
  <c r="Q1" i="271"/>
  <c r="I1" i="271"/>
  <c r="Q1" i="272"/>
  <c r="I1" i="272"/>
  <c r="Q1" i="275"/>
  <c r="I1" i="275"/>
  <c r="Q1" i="267"/>
  <c r="I1" i="267"/>
  <c r="I1" i="161"/>
  <c r="I1" i="162"/>
  <c r="I1" i="163"/>
  <c r="I1" i="211"/>
  <c r="L1" i="212"/>
  <c r="I1" i="212"/>
  <c r="I1" i="235"/>
  <c r="I1" i="166"/>
  <c r="I1" i="167"/>
  <c r="I1" i="168"/>
  <c r="I1" i="169"/>
  <c r="I1" i="171"/>
  <c r="I1" i="250"/>
  <c r="I1" i="247"/>
  <c r="I1" i="193"/>
  <c r="I1" i="198"/>
  <c r="L1" i="199"/>
  <c r="I1" i="199"/>
  <c r="I1" i="200"/>
  <c r="I1" i="192"/>
  <c r="I1" i="159"/>
  <c r="H201" i="275"/>
  <c r="B194" i="275"/>
  <c r="B191" i="275"/>
  <c r="F190" i="275"/>
  <c r="B190" i="275"/>
  <c r="B189" i="275"/>
  <c r="H134" i="275"/>
  <c r="B127" i="275"/>
  <c r="B124" i="275"/>
  <c r="F123" i="275"/>
  <c r="B123" i="275"/>
  <c r="B122" i="275"/>
  <c r="H79" i="275"/>
  <c r="B73" i="275"/>
  <c r="B70" i="275"/>
  <c r="F69" i="275"/>
  <c r="B69" i="275"/>
  <c r="B68" i="275"/>
  <c r="H11" i="275"/>
  <c r="B7" i="275"/>
  <c r="B4" i="275"/>
  <c r="F3" i="275"/>
  <c r="B3" i="275"/>
  <c r="B175" i="272"/>
  <c r="B107" i="272"/>
  <c r="B104" i="272"/>
  <c r="F103" i="272"/>
  <c r="B103" i="272"/>
  <c r="B102" i="272"/>
  <c r="H68" i="272"/>
  <c r="B63" i="272"/>
  <c r="B60" i="272"/>
  <c r="F59" i="272"/>
  <c r="B59" i="272"/>
  <c r="B58" i="272"/>
  <c r="H11" i="272"/>
  <c r="B7" i="272"/>
  <c r="H6" i="272"/>
  <c r="B4" i="272"/>
  <c r="F3" i="272"/>
  <c r="B3" i="272"/>
  <c r="B266" i="271"/>
  <c r="H265" i="271"/>
  <c r="H264" i="271"/>
  <c r="H263" i="271"/>
  <c r="H222" i="271"/>
  <c r="H221" i="271"/>
  <c r="H220" i="271"/>
  <c r="H219" i="271"/>
  <c r="H218" i="271"/>
  <c r="H217" i="271"/>
  <c r="H216" i="271"/>
  <c r="H215" i="271"/>
  <c r="H214" i="271"/>
  <c r="H213" i="271"/>
  <c r="H212" i="271"/>
  <c r="H211" i="271"/>
  <c r="H210" i="271"/>
  <c r="H209" i="271"/>
  <c r="H208" i="271"/>
  <c r="H207" i="271"/>
  <c r="H206" i="271"/>
  <c r="H205" i="271"/>
  <c r="H204" i="271"/>
  <c r="B198" i="271"/>
  <c r="B195" i="271"/>
  <c r="F194" i="271"/>
  <c r="B194" i="271"/>
  <c r="B193" i="271"/>
  <c r="H192" i="271"/>
  <c r="H191" i="271"/>
  <c r="H190" i="271"/>
  <c r="H189" i="271"/>
  <c r="H188" i="271"/>
  <c r="H187" i="271"/>
  <c r="H186" i="271"/>
  <c r="H185" i="271"/>
  <c r="H184" i="271"/>
  <c r="H183" i="271"/>
  <c r="H182" i="271"/>
  <c r="H181" i="271"/>
  <c r="H180" i="271"/>
  <c r="H179" i="271"/>
  <c r="M179" i="271" s="1"/>
  <c r="H178" i="271"/>
  <c r="H177" i="271"/>
  <c r="M177" i="271" s="1"/>
  <c r="H176" i="271"/>
  <c r="H175" i="271"/>
  <c r="M175" i="271" s="1"/>
  <c r="H174" i="271"/>
  <c r="H173" i="271"/>
  <c r="H172" i="271"/>
  <c r="H171" i="271"/>
  <c r="H170" i="271"/>
  <c r="H169" i="271"/>
  <c r="H168" i="271"/>
  <c r="H167" i="271"/>
  <c r="H166" i="271"/>
  <c r="H165" i="271"/>
  <c r="H164" i="271"/>
  <c r="H163" i="271"/>
  <c r="H162" i="271"/>
  <c r="H161" i="271"/>
  <c r="H160" i="271"/>
  <c r="H159" i="271"/>
  <c r="H158" i="271"/>
  <c r="H157" i="271"/>
  <c r="H156" i="271"/>
  <c r="H155" i="271"/>
  <c r="H154" i="271"/>
  <c r="H153" i="271"/>
  <c r="H152" i="271"/>
  <c r="H151" i="271"/>
  <c r="H150" i="271"/>
  <c r="H149" i="271"/>
  <c r="H148" i="271"/>
  <c r="H147" i="271"/>
  <c r="M147" i="271" s="1"/>
  <c r="H146" i="271"/>
  <c r="H145" i="271"/>
  <c r="H144" i="271"/>
  <c r="H143" i="271"/>
  <c r="B137" i="271"/>
  <c r="B134" i="271"/>
  <c r="F133" i="271"/>
  <c r="B133" i="271"/>
  <c r="B132" i="271"/>
  <c r="H69" i="271"/>
  <c r="B64" i="271"/>
  <c r="B61" i="271"/>
  <c r="F60" i="271"/>
  <c r="B60" i="271"/>
  <c r="B59" i="271"/>
  <c r="H58" i="271"/>
  <c r="H57" i="271"/>
  <c r="H56" i="271"/>
  <c r="M56" i="271" s="1"/>
  <c r="H55" i="271"/>
  <c r="H54" i="271"/>
  <c r="H53" i="271"/>
  <c r="H52" i="271"/>
  <c r="H51" i="271"/>
  <c r="H50" i="271"/>
  <c r="H49" i="271"/>
  <c r="H48" i="271"/>
  <c r="M48" i="271" s="1"/>
  <c r="H47" i="271"/>
  <c r="H46" i="271"/>
  <c r="H45" i="271"/>
  <c r="H44" i="271"/>
  <c r="M44" i="271" s="1"/>
  <c r="H43" i="271"/>
  <c r="H42" i="271"/>
  <c r="H41" i="271"/>
  <c r="H40" i="271"/>
  <c r="H39" i="271"/>
  <c r="H38" i="271"/>
  <c r="H37" i="271"/>
  <c r="H36" i="271"/>
  <c r="M36" i="271" s="1"/>
  <c r="H35" i="271"/>
  <c r="H34" i="271"/>
  <c r="M34" i="271" s="1"/>
  <c r="H33" i="271"/>
  <c r="H32" i="271"/>
  <c r="M32" i="271" s="1"/>
  <c r="H31" i="271"/>
  <c r="H30" i="271"/>
  <c r="H29" i="271"/>
  <c r="H28" i="271"/>
  <c r="M28" i="271" s="1"/>
  <c r="H27" i="271"/>
  <c r="H26" i="271"/>
  <c r="M26" i="271" s="1"/>
  <c r="H25" i="271"/>
  <c r="H24" i="271"/>
  <c r="M24" i="271" s="1"/>
  <c r="H23" i="271"/>
  <c r="H22" i="271"/>
  <c r="H21" i="271"/>
  <c r="H20" i="271"/>
  <c r="M20" i="271" s="1"/>
  <c r="H19" i="271"/>
  <c r="H18" i="271"/>
  <c r="H17" i="271"/>
  <c r="H16" i="271"/>
  <c r="H15" i="271"/>
  <c r="H14" i="271"/>
  <c r="H13" i="271"/>
  <c r="H12" i="271"/>
  <c r="H11" i="271"/>
  <c r="B7" i="271"/>
  <c r="H6" i="271"/>
  <c r="B4" i="271"/>
  <c r="F3" i="271"/>
  <c r="B3" i="271"/>
  <c r="H144" i="270"/>
  <c r="H143" i="270"/>
  <c r="H142" i="270"/>
  <c r="H141" i="270"/>
  <c r="H140" i="270"/>
  <c r="H139" i="270"/>
  <c r="H138" i="270"/>
  <c r="H137" i="270"/>
  <c r="H136" i="270"/>
  <c r="H135" i="270"/>
  <c r="H134" i="270"/>
  <c r="H133" i="270"/>
  <c r="H132" i="270"/>
  <c r="H131" i="270"/>
  <c r="H130" i="270"/>
  <c r="H129" i="270"/>
  <c r="H128" i="270"/>
  <c r="H127" i="270"/>
  <c r="H126" i="270"/>
  <c r="H125" i="270"/>
  <c r="H124" i="270"/>
  <c r="H123" i="270"/>
  <c r="H122" i="270"/>
  <c r="H121" i="270"/>
  <c r="H120" i="270"/>
  <c r="H119" i="270"/>
  <c r="H118" i="270"/>
  <c r="H117" i="270"/>
  <c r="H116" i="270"/>
  <c r="H115" i="270"/>
  <c r="H114" i="270"/>
  <c r="H113" i="270"/>
  <c r="H112" i="270"/>
  <c r="H111" i="270"/>
  <c r="H110" i="270"/>
  <c r="H109" i="270"/>
  <c r="H108" i="270"/>
  <c r="H100" i="270"/>
  <c r="H99" i="270"/>
  <c r="M99" i="270" s="1"/>
  <c r="H98" i="270"/>
  <c r="H97" i="270"/>
  <c r="H96" i="270"/>
  <c r="H95" i="270"/>
  <c r="M95" i="270" s="1"/>
  <c r="H94" i="270"/>
  <c r="H93" i="270"/>
  <c r="H91" i="270"/>
  <c r="H90" i="270"/>
  <c r="H89" i="270"/>
  <c r="H88" i="270"/>
  <c r="H87" i="270"/>
  <c r="H86" i="270"/>
  <c r="H85" i="270"/>
  <c r="H84" i="270"/>
  <c r="H83" i="270"/>
  <c r="H82" i="270"/>
  <c r="B77" i="270"/>
  <c r="B74" i="270"/>
  <c r="F73" i="270"/>
  <c r="B73" i="270"/>
  <c r="B72" i="270"/>
  <c r="B145" i="270" s="1"/>
  <c r="H71" i="270"/>
  <c r="H52" i="270"/>
  <c r="H51" i="270"/>
  <c r="H50" i="270"/>
  <c r="H49" i="270"/>
  <c r="H48" i="270"/>
  <c r="H47" i="270"/>
  <c r="H46" i="270"/>
  <c r="H45" i="270"/>
  <c r="H44" i="270"/>
  <c r="H43" i="270"/>
  <c r="H42" i="270"/>
  <c r="H41" i="270"/>
  <c r="H40" i="270"/>
  <c r="H39" i="270"/>
  <c r="H38" i="270"/>
  <c r="H37" i="270"/>
  <c r="H36" i="270"/>
  <c r="H35" i="270"/>
  <c r="H34" i="270"/>
  <c r="H33" i="270"/>
  <c r="H32" i="270"/>
  <c r="H31" i="270"/>
  <c r="H25" i="270"/>
  <c r="H17" i="270"/>
  <c r="H15" i="270"/>
  <c r="H14" i="270"/>
  <c r="H13" i="270"/>
  <c r="H12" i="270"/>
  <c r="H11" i="270"/>
  <c r="B7" i="270"/>
  <c r="H6" i="270"/>
  <c r="B4" i="270"/>
  <c r="F3" i="270"/>
  <c r="B3" i="270"/>
  <c r="B78" i="268"/>
  <c r="H11" i="268"/>
  <c r="B7" i="268"/>
  <c r="H6" i="268"/>
  <c r="B4" i="268"/>
  <c r="F3" i="268"/>
  <c r="B3" i="268"/>
  <c r="B220" i="267"/>
  <c r="H219" i="267"/>
  <c r="H189" i="267"/>
  <c r="H185" i="267"/>
  <c r="H184" i="267"/>
  <c r="H183" i="267"/>
  <c r="H182" i="267"/>
  <c r="H181" i="267"/>
  <c r="H180" i="267"/>
  <c r="H179" i="267"/>
  <c r="H178" i="267"/>
  <c r="H176" i="267"/>
  <c r="H175" i="267"/>
  <c r="H174" i="267"/>
  <c r="H173" i="267"/>
  <c r="H172" i="267"/>
  <c r="H171" i="267"/>
  <c r="H170" i="267"/>
  <c r="H169" i="267"/>
  <c r="H168" i="267"/>
  <c r="H167" i="267"/>
  <c r="H166" i="267"/>
  <c r="H165" i="267"/>
  <c r="H164" i="267"/>
  <c r="H163" i="267"/>
  <c r="B157" i="267"/>
  <c r="B154" i="267"/>
  <c r="F153" i="267"/>
  <c r="B153" i="267"/>
  <c r="H151" i="267"/>
  <c r="H150" i="267"/>
  <c r="H148" i="267"/>
  <c r="H146" i="267"/>
  <c r="H145" i="267"/>
  <c r="H144" i="267"/>
  <c r="H143" i="267"/>
  <c r="H142" i="267"/>
  <c r="H141" i="267"/>
  <c r="H140" i="267"/>
  <c r="H139" i="267"/>
  <c r="H138" i="267"/>
  <c r="H137" i="267"/>
  <c r="H136" i="267"/>
  <c r="H134" i="267"/>
  <c r="H132" i="267"/>
  <c r="H131" i="267"/>
  <c r="H130" i="267"/>
  <c r="H129" i="267"/>
  <c r="H128" i="267"/>
  <c r="H127" i="267"/>
  <c r="H126" i="267"/>
  <c r="H125" i="267"/>
  <c r="H124" i="267"/>
  <c r="H123" i="267"/>
  <c r="H122" i="267"/>
  <c r="H121" i="267"/>
  <c r="H120" i="267"/>
  <c r="H119" i="267"/>
  <c r="H117" i="267"/>
  <c r="H116" i="267"/>
  <c r="H115" i="267"/>
  <c r="H114" i="267"/>
  <c r="H113" i="267"/>
  <c r="H112" i="267"/>
  <c r="H111" i="267"/>
  <c r="H110" i="267"/>
  <c r="H109" i="267"/>
  <c r="H108" i="267"/>
  <c r="H107" i="267"/>
  <c r="H106" i="267"/>
  <c r="H105" i="267"/>
  <c r="H104" i="267"/>
  <c r="H103" i="267"/>
  <c r="H102" i="267"/>
  <c r="H101" i="267"/>
  <c r="H100" i="267"/>
  <c r="H99" i="267"/>
  <c r="H98" i="267"/>
  <c r="H97" i="267"/>
  <c r="H96" i="267"/>
  <c r="H95" i="267"/>
  <c r="H94" i="267"/>
  <c r="H93" i="267"/>
  <c r="H91" i="267"/>
  <c r="H90" i="267"/>
  <c r="H89" i="267"/>
  <c r="H88" i="267"/>
  <c r="H87" i="267"/>
  <c r="B82" i="267"/>
  <c r="B79" i="267"/>
  <c r="F78" i="267"/>
  <c r="B78" i="267"/>
  <c r="B77" i="267"/>
  <c r="B152" i="267" s="1"/>
  <c r="H11" i="267"/>
  <c r="B7" i="267"/>
  <c r="H6" i="267"/>
  <c r="B4" i="267"/>
  <c r="F3" i="267"/>
  <c r="B3" i="267"/>
  <c r="H364" i="250"/>
  <c r="M364" i="250" s="1"/>
  <c r="H362" i="250"/>
  <c r="M362" i="250" s="1"/>
  <c r="F40" i="260"/>
  <c r="F34" i="260"/>
  <c r="F28" i="260"/>
  <c r="F22" i="260"/>
  <c r="K25" i="278"/>
  <c r="K13" i="278"/>
  <c r="K52" i="278"/>
  <c r="P72" i="278" l="1"/>
  <c r="P49" i="278"/>
  <c r="T72" i="278"/>
  <c r="T49" i="278"/>
  <c r="D26" i="277"/>
  <c r="E25" i="277"/>
  <c r="F25" i="277" s="1"/>
  <c r="F26" i="277" s="1"/>
  <c r="O64" i="278"/>
  <c r="O65" i="278"/>
  <c r="O66" i="278"/>
  <c r="O33" i="278"/>
  <c r="O43" i="278"/>
  <c r="O89" i="278"/>
  <c r="O85" i="278"/>
  <c r="O38" i="278"/>
  <c r="O93" i="278"/>
  <c r="O76" i="278"/>
  <c r="O54" i="278"/>
  <c r="Q64" i="278"/>
  <c r="Q66" i="278"/>
  <c r="Q65" i="278"/>
  <c r="Q33" i="278"/>
  <c r="Q43" i="278"/>
  <c r="Q89" i="278"/>
  <c r="Q85" i="278"/>
  <c r="Q38" i="278"/>
  <c r="Q93" i="278"/>
  <c r="Q76" i="278"/>
  <c r="Q54" i="278"/>
  <c r="S64" i="278"/>
  <c r="S66" i="278"/>
  <c r="S65" i="278"/>
  <c r="S33" i="278"/>
  <c r="S43" i="278"/>
  <c r="S89" i="278"/>
  <c r="S85" i="278"/>
  <c r="S38" i="278"/>
  <c r="S93" i="278"/>
  <c r="S76" i="278"/>
  <c r="S54" i="278"/>
  <c r="Q72" i="278"/>
  <c r="P66" i="278"/>
  <c r="P65" i="278"/>
  <c r="P64" i="278"/>
  <c r="P33" i="278"/>
  <c r="P43" i="278"/>
  <c r="P89" i="278"/>
  <c r="P85" i="278"/>
  <c r="P38" i="278"/>
  <c r="P93" i="278"/>
  <c r="P76" i="278"/>
  <c r="P54" i="278"/>
  <c r="R66" i="278"/>
  <c r="R64" i="278"/>
  <c r="R65" i="278"/>
  <c r="R33" i="278"/>
  <c r="R43" i="278"/>
  <c r="R89" i="278"/>
  <c r="R85" i="278"/>
  <c r="R38" i="278"/>
  <c r="R93" i="278"/>
  <c r="R76" i="278"/>
  <c r="R54" i="278"/>
  <c r="T66" i="278"/>
  <c r="T64" i="278"/>
  <c r="T65" i="278"/>
  <c r="T33" i="278"/>
  <c r="T43" i="278"/>
  <c r="T89" i="278"/>
  <c r="T85" i="278"/>
  <c r="T38" i="278"/>
  <c r="T93" i="278"/>
  <c r="T76" i="278"/>
  <c r="T54" i="278"/>
  <c r="O72" i="278"/>
  <c r="S72" i="278"/>
  <c r="R72" i="278"/>
  <c r="H63" i="271"/>
  <c r="H197" i="271"/>
  <c r="H136" i="271"/>
  <c r="M18" i="271"/>
  <c r="H92" i="267"/>
  <c r="H106" i="272"/>
  <c r="H76" i="270"/>
  <c r="L38" i="270"/>
  <c r="H81" i="267"/>
  <c r="H156" i="267"/>
  <c r="H68" i="275"/>
  <c r="H78" i="268"/>
  <c r="G25" i="277"/>
  <c r="D33" i="277"/>
  <c r="D38" i="277" s="1"/>
  <c r="D40" i="277" s="1"/>
  <c r="D42" i="277" s="1"/>
  <c r="H177" i="267"/>
  <c r="H59" i="271"/>
  <c r="H58" i="272"/>
  <c r="H191" i="267"/>
  <c r="H72" i="275"/>
  <c r="H118" i="267"/>
  <c r="H62" i="272"/>
  <c r="H67" i="272" l="1"/>
  <c r="H102" i="272" s="1"/>
  <c r="H68" i="271"/>
  <c r="H132" i="271" s="1"/>
  <c r="H77" i="275"/>
  <c r="H122" i="275" s="1"/>
  <c r="E26" i="277"/>
  <c r="M38" i="270"/>
  <c r="H1" i="268"/>
  <c r="H77" i="267"/>
  <c r="G26" i="277"/>
  <c r="H25" i="277"/>
  <c r="D52" i="278"/>
  <c r="C78" i="268" l="1"/>
  <c r="H141" i="271"/>
  <c r="H111" i="272"/>
  <c r="H131" i="275"/>
  <c r="L52" i="278"/>
  <c r="G52" i="278"/>
  <c r="G74" i="278"/>
  <c r="I74" i="278" s="1"/>
  <c r="G62" i="278"/>
  <c r="I62" i="278" s="1"/>
  <c r="G71" i="278"/>
  <c r="H86" i="267"/>
  <c r="H152" i="267" s="1"/>
  <c r="I25" i="277"/>
  <c r="H26" i="277"/>
  <c r="H175" i="272" l="1"/>
  <c r="H1" i="272" s="1"/>
  <c r="H193" i="271"/>
  <c r="H161" i="267"/>
  <c r="H220" i="267" s="1"/>
  <c r="H189" i="275"/>
  <c r="T74" i="278"/>
  <c r="R74" i="278"/>
  <c r="P74" i="278"/>
  <c r="S74" i="278"/>
  <c r="Q74" i="278"/>
  <c r="O74" i="278"/>
  <c r="S62" i="278"/>
  <c r="Q62" i="278"/>
  <c r="O62" i="278"/>
  <c r="T62" i="278"/>
  <c r="R62" i="278"/>
  <c r="P62" i="278"/>
  <c r="J25" i="277"/>
  <c r="I26" i="277"/>
  <c r="D64" i="278"/>
  <c r="G64" i="278" l="1"/>
  <c r="H202" i="271"/>
  <c r="C175" i="272"/>
  <c r="C58" i="272"/>
  <c r="C102" i="272"/>
  <c r="H1" i="267"/>
  <c r="H198" i="275"/>
  <c r="K25" i="277"/>
  <c r="J26" i="277"/>
  <c r="D51" i="278"/>
  <c r="C220" i="267" l="1"/>
  <c r="H266" i="271"/>
  <c r="H1" i="271" s="1"/>
  <c r="G51" i="278"/>
  <c r="I52" i="278" s="1"/>
  <c r="L51" i="278"/>
  <c r="C77" i="267"/>
  <c r="C152" i="267"/>
  <c r="H256" i="275"/>
  <c r="H1" i="275"/>
  <c r="K26" i="277"/>
  <c r="L25" i="277"/>
  <c r="D60" i="278"/>
  <c r="G60" i="278" l="1"/>
  <c r="I60" i="278" s="1"/>
  <c r="C266" i="271"/>
  <c r="C59" i="271"/>
  <c r="C132" i="271"/>
  <c r="C193" i="271"/>
  <c r="G78" i="278"/>
  <c r="I78" i="278" s="1"/>
  <c r="C68" i="275"/>
  <c r="C122" i="275"/>
  <c r="C189" i="275"/>
  <c r="C256" i="275"/>
  <c r="M25" i="277"/>
  <c r="L26" i="277"/>
  <c r="Q60" i="278" l="1"/>
  <c r="T60" i="278"/>
  <c r="P60" i="278"/>
  <c r="S60" i="278"/>
  <c r="O60" i="278"/>
  <c r="R60" i="278"/>
  <c r="P78" i="278"/>
  <c r="S78" i="278"/>
  <c r="T78" i="278"/>
  <c r="Q78" i="278"/>
  <c r="R78" i="278"/>
  <c r="O78" i="278"/>
  <c r="N25" i="277"/>
  <c r="M26" i="277"/>
  <c r="O25" i="277" l="1"/>
  <c r="N26" i="277"/>
  <c r="O26" i="277" l="1"/>
  <c r="P25" i="277"/>
  <c r="Q25" i="277" l="1"/>
  <c r="P26" i="277"/>
  <c r="R25" i="277" l="1"/>
  <c r="Q26" i="277"/>
  <c r="S25" i="277" l="1"/>
  <c r="R26" i="277"/>
  <c r="S26" i="277" l="1"/>
  <c r="T25" i="277"/>
  <c r="U25" i="277" l="1"/>
  <c r="U26" i="277" s="1"/>
  <c r="T26" i="277"/>
  <c r="H179" i="159" l="1"/>
  <c r="M179" i="159" s="1"/>
  <c r="F16" i="159"/>
  <c r="H16" i="159" l="1"/>
  <c r="H181" i="159"/>
  <c r="F18" i="159"/>
  <c r="H18" i="159" l="1"/>
  <c r="E63" i="228"/>
  <c r="E57" i="228"/>
  <c r="E56" i="228"/>
  <c r="E55" i="228"/>
  <c r="E54" i="228"/>
  <c r="I352" i="320" s="1"/>
  <c r="J352" i="320" s="1"/>
  <c r="L352" i="320" s="1"/>
  <c r="M352" i="320" s="1"/>
  <c r="E53" i="228"/>
  <c r="I750" i="320" s="1"/>
  <c r="E52" i="228"/>
  <c r="E50" i="228"/>
  <c r="E47" i="228"/>
  <c r="E46" i="228"/>
  <c r="E45" i="228"/>
  <c r="E41" i="228"/>
  <c r="E38" i="228"/>
  <c r="E40" i="228" s="1"/>
  <c r="K34" i="228"/>
  <c r="K33" i="228"/>
  <c r="K32" i="228"/>
  <c r="K30" i="228"/>
  <c r="P28" i="228"/>
  <c r="O28" i="228"/>
  <c r="K28" i="228"/>
  <c r="C25" i="228"/>
  <c r="J14" i="228"/>
  <c r="C70" i="324" s="1"/>
  <c r="C13" i="228"/>
  <c r="I508" i="320" l="1"/>
  <c r="I503" i="320"/>
  <c r="I624" i="320"/>
  <c r="I619" i="320"/>
  <c r="J619" i="320" s="1"/>
  <c r="L619" i="320" s="1"/>
  <c r="M619" i="320" s="1"/>
  <c r="I727" i="320"/>
  <c r="I722" i="320"/>
  <c r="I505" i="320"/>
  <c r="J505" i="320" s="1"/>
  <c r="L505" i="320" s="1"/>
  <c r="M505" i="320" s="1"/>
  <c r="I728" i="320"/>
  <c r="J728" i="320" s="1"/>
  <c r="L728" i="320" s="1"/>
  <c r="M728" i="320" s="1"/>
  <c r="I723" i="320"/>
  <c r="I507" i="320"/>
  <c r="I502" i="320"/>
  <c r="J502" i="320" s="1"/>
  <c r="L502" i="320" s="1"/>
  <c r="M502" i="320" s="1"/>
  <c r="I623" i="320"/>
  <c r="J623" i="320" s="1"/>
  <c r="L623" i="320" s="1"/>
  <c r="M623" i="320" s="1"/>
  <c r="I734" i="320"/>
  <c r="I726" i="320"/>
  <c r="I625" i="320"/>
  <c r="J625" i="320" s="1"/>
  <c r="L625" i="320" s="1"/>
  <c r="M625" i="320" s="1"/>
  <c r="I620" i="320"/>
  <c r="J620" i="320" s="1"/>
  <c r="L620" i="320" s="1"/>
  <c r="M620" i="320" s="1"/>
  <c r="I506" i="320"/>
  <c r="I501" i="320"/>
  <c r="I621" i="320"/>
  <c r="J621" i="320" s="1"/>
  <c r="L621" i="320" s="1"/>
  <c r="M621" i="320" s="1"/>
  <c r="I731" i="320"/>
  <c r="J731" i="320" s="1"/>
  <c r="L731" i="320" s="1"/>
  <c r="M731" i="320" s="1"/>
  <c r="I724" i="320"/>
  <c r="J724" i="320" s="1"/>
  <c r="L724" i="320" s="1"/>
  <c r="M724" i="320" s="1"/>
  <c r="C1" i="261"/>
  <c r="D11" i="261"/>
  <c r="K147" i="282"/>
  <c r="L147" i="282" s="1"/>
  <c r="M147" i="282" s="1"/>
  <c r="K144" i="282"/>
  <c r="L144" i="282" s="1"/>
  <c r="M144" i="282" s="1"/>
  <c r="I189" i="320"/>
  <c r="J189" i="320" s="1"/>
  <c r="L189" i="320" s="1"/>
  <c r="M189" i="320" s="1"/>
  <c r="I218" i="320"/>
  <c r="J218" i="320" s="1"/>
  <c r="L218" i="320" s="1"/>
  <c r="M218" i="320" s="1"/>
  <c r="I193" i="320"/>
  <c r="J193" i="320" s="1"/>
  <c r="L193" i="320" s="1"/>
  <c r="M193" i="320" s="1"/>
  <c r="J750" i="320"/>
  <c r="L750" i="320" s="1"/>
  <c r="M750" i="320" s="1"/>
  <c r="I351" i="320"/>
  <c r="J351" i="320" s="1"/>
  <c r="L351" i="320" s="1"/>
  <c r="M351" i="320" s="1"/>
  <c r="I298" i="320"/>
  <c r="J298" i="320" s="1"/>
  <c r="L298" i="320" s="1"/>
  <c r="M298" i="320" s="1"/>
  <c r="I647" i="320"/>
  <c r="J647" i="320" s="1"/>
  <c r="L647" i="320" s="1"/>
  <c r="M647" i="320" s="1"/>
  <c r="K56" i="272"/>
  <c r="L56" i="272" s="1"/>
  <c r="M56" i="272" s="1"/>
  <c r="I349" i="320"/>
  <c r="J349" i="320" s="1"/>
  <c r="L349" i="320" s="1"/>
  <c r="M349" i="320" s="1"/>
  <c r="I628" i="320"/>
  <c r="J628" i="320" s="1"/>
  <c r="L628" i="320" s="1"/>
  <c r="M628" i="320" s="1"/>
  <c r="J624" i="320"/>
  <c r="L624" i="320" s="1"/>
  <c r="M624" i="320" s="1"/>
  <c r="I292" i="320"/>
  <c r="J292" i="320" s="1"/>
  <c r="L292" i="320" s="1"/>
  <c r="M292" i="320" s="1"/>
  <c r="I631" i="320"/>
  <c r="J631" i="320" s="1"/>
  <c r="L631" i="320" s="1"/>
  <c r="M631" i="320" s="1"/>
  <c r="I293" i="320"/>
  <c r="J293" i="320" s="1"/>
  <c r="L293" i="320" s="1"/>
  <c r="M293" i="320" s="1"/>
  <c r="I511" i="320"/>
  <c r="J511" i="320" s="1"/>
  <c r="L511" i="320" s="1"/>
  <c r="M511" i="320" s="1"/>
  <c r="J507" i="320"/>
  <c r="L507" i="320" s="1"/>
  <c r="M507" i="320" s="1"/>
  <c r="I345" i="320"/>
  <c r="J345" i="320" s="1"/>
  <c r="L345" i="320" s="1"/>
  <c r="M345" i="320" s="1"/>
  <c r="J734" i="320"/>
  <c r="L734" i="320" s="1"/>
  <c r="M734" i="320" s="1"/>
  <c r="J726" i="320"/>
  <c r="L726" i="320" s="1"/>
  <c r="M726" i="320" s="1"/>
  <c r="J723" i="320"/>
  <c r="L723" i="320" s="1"/>
  <c r="M723" i="320" s="1"/>
  <c r="J508" i="320"/>
  <c r="L508" i="320" s="1"/>
  <c r="M508" i="320" s="1"/>
  <c r="J506" i="320"/>
  <c r="L506" i="320" s="1"/>
  <c r="M506" i="320" s="1"/>
  <c r="J503" i="320"/>
  <c r="L503" i="320" s="1"/>
  <c r="M503" i="320" s="1"/>
  <c r="J501" i="320"/>
  <c r="L501" i="320" s="1"/>
  <c r="M501" i="320" s="1"/>
  <c r="I346" i="320"/>
  <c r="J346" i="320" s="1"/>
  <c r="L346" i="320" s="1"/>
  <c r="M346" i="320" s="1"/>
  <c r="J727" i="320"/>
  <c r="L727" i="320" s="1"/>
  <c r="M727" i="320" s="1"/>
  <c r="J722" i="320"/>
  <c r="L722" i="320" s="1"/>
  <c r="M722" i="320" s="1"/>
  <c r="I317" i="320"/>
  <c r="J317" i="320" s="1"/>
  <c r="L317" i="320" s="1"/>
  <c r="M317" i="320" s="1"/>
  <c r="I318" i="320"/>
  <c r="J318" i="320" s="1"/>
  <c r="L318" i="320" s="1"/>
  <c r="M318" i="320" s="1"/>
  <c r="I257" i="320"/>
  <c r="J257" i="320" s="1"/>
  <c r="L257" i="320" s="1"/>
  <c r="M257" i="320" s="1"/>
  <c r="I466" i="320"/>
  <c r="J466" i="320" s="1"/>
  <c r="L466" i="320" s="1"/>
  <c r="M466" i="320" s="1"/>
  <c r="I455" i="320"/>
  <c r="J455" i="320" s="1"/>
  <c r="L455" i="320" s="1"/>
  <c r="M455" i="320" s="1"/>
  <c r="I452" i="320"/>
  <c r="J452" i="320" s="1"/>
  <c r="L452" i="320" s="1"/>
  <c r="M452" i="320" s="1"/>
  <c r="I208" i="320"/>
  <c r="J208" i="320" s="1"/>
  <c r="L208" i="320" s="1"/>
  <c r="M208" i="320" s="1"/>
  <c r="I457" i="320"/>
  <c r="J457" i="320" s="1"/>
  <c r="L457" i="320" s="1"/>
  <c r="M457" i="320" s="1"/>
  <c r="I454" i="320"/>
  <c r="J454" i="320" s="1"/>
  <c r="L454" i="320" s="1"/>
  <c r="M454" i="320" s="1"/>
  <c r="I205" i="320"/>
  <c r="J205" i="320" s="1"/>
  <c r="L205" i="320" s="1"/>
  <c r="M205" i="320" s="1"/>
  <c r="I202" i="320"/>
  <c r="J202" i="320" s="1"/>
  <c r="L202" i="320" s="1"/>
  <c r="M202" i="320" s="1"/>
  <c r="I207" i="320"/>
  <c r="J207" i="320" s="1"/>
  <c r="L207" i="320" s="1"/>
  <c r="M207" i="320" s="1"/>
  <c r="I203" i="320"/>
  <c r="J203" i="320" s="1"/>
  <c r="L203" i="320" s="1"/>
  <c r="M203" i="320" s="1"/>
  <c r="I201" i="320"/>
  <c r="J201" i="320" s="1"/>
  <c r="L201" i="320" s="1"/>
  <c r="M201" i="320" s="1"/>
  <c r="K52" i="284"/>
  <c r="L52" i="284" s="1"/>
  <c r="M52" i="284" s="1"/>
  <c r="I421" i="320"/>
  <c r="J421" i="320" s="1"/>
  <c r="L421" i="320" s="1"/>
  <c r="M421" i="320" s="1"/>
  <c r="I258" i="320"/>
  <c r="J258" i="320" s="1"/>
  <c r="L258" i="320" s="1"/>
  <c r="M258" i="320" s="1"/>
  <c r="I399" i="320"/>
  <c r="J399" i="320" s="1"/>
  <c r="L399" i="320" s="1"/>
  <c r="M399" i="320" s="1"/>
  <c r="I579" i="320"/>
  <c r="J579" i="320" s="1"/>
  <c r="L579" i="320" s="1"/>
  <c r="M579" i="320" s="1"/>
  <c r="K22" i="321"/>
  <c r="L22" i="321" s="1"/>
  <c r="M22" i="321" s="1"/>
  <c r="K32" i="321"/>
  <c r="L32" i="321" s="1"/>
  <c r="M32" i="321" s="1"/>
  <c r="K28" i="270"/>
  <c r="L28" i="270" s="1"/>
  <c r="M28" i="270" s="1"/>
  <c r="F64" i="163"/>
  <c r="H64" i="163" s="1"/>
  <c r="F42" i="247"/>
  <c r="F24" i="247"/>
  <c r="F46" i="247"/>
  <c r="F20" i="247"/>
  <c r="F18" i="247"/>
  <c r="O135" i="280"/>
  <c r="S135" i="280" s="1"/>
  <c r="O213" i="280"/>
  <c r="S213" i="280" s="1"/>
  <c r="S215" i="280" s="1"/>
  <c r="S216" i="280" s="1"/>
  <c r="O150" i="280"/>
  <c r="S150" i="280" s="1"/>
  <c r="F26" i="163" s="1"/>
  <c r="O653" i="280"/>
  <c r="S653" i="280" s="1"/>
  <c r="S654" i="280" s="1"/>
  <c r="S655" i="280" s="1"/>
  <c r="S656" i="280" s="1"/>
  <c r="O158" i="280"/>
  <c r="S158" i="280" s="1"/>
  <c r="F62" i="163" s="1"/>
  <c r="H62" i="163" s="1"/>
  <c r="O23" i="280"/>
  <c r="S23" i="280" s="1"/>
  <c r="F132" i="159" s="1"/>
  <c r="O140" i="280"/>
  <c r="S140" i="280" s="1"/>
  <c r="O16" i="280"/>
  <c r="S16" i="280" s="1"/>
  <c r="K48" i="272"/>
  <c r="L48" i="272" s="1"/>
  <c r="M48" i="272" s="1"/>
  <c r="K50" i="272"/>
  <c r="L50" i="272" s="1"/>
  <c r="M50" i="272" s="1"/>
  <c r="K79" i="282"/>
  <c r="L79" i="282" s="1"/>
  <c r="M79" i="282" s="1"/>
  <c r="K77" i="282"/>
  <c r="L77" i="282" s="1"/>
  <c r="M77" i="282" s="1"/>
  <c r="K79" i="321"/>
  <c r="L79" i="321" s="1"/>
  <c r="M79" i="321" s="1"/>
  <c r="K81" i="321"/>
  <c r="L81" i="321" s="1"/>
  <c r="M81" i="321" s="1"/>
  <c r="K56" i="321"/>
  <c r="L56" i="321" s="1"/>
  <c r="M56" i="321" s="1"/>
  <c r="K62" i="321"/>
  <c r="L62" i="321" s="1"/>
  <c r="M62" i="321" s="1"/>
  <c r="K58" i="321"/>
  <c r="L58" i="321" s="1"/>
  <c r="M58" i="321" s="1"/>
  <c r="K54" i="321"/>
  <c r="L54" i="321" s="1"/>
  <c r="L168" i="321"/>
  <c r="M168" i="321" s="1"/>
  <c r="L162" i="321"/>
  <c r="M162" i="321" s="1"/>
  <c r="L156" i="321"/>
  <c r="M156" i="321" s="1"/>
  <c r="L166" i="321"/>
  <c r="M166" i="321" s="1"/>
  <c r="L158" i="321"/>
  <c r="M158" i="321" s="1"/>
  <c r="L154" i="321"/>
  <c r="L166" i="163"/>
  <c r="M166" i="163" s="1"/>
  <c r="L154" i="163"/>
  <c r="L168" i="163"/>
  <c r="M168" i="163" s="1"/>
  <c r="L162" i="163"/>
  <c r="M162" i="163" s="1"/>
  <c r="L156" i="163"/>
  <c r="M156" i="163" s="1"/>
  <c r="L158" i="163"/>
  <c r="M158" i="163" s="1"/>
  <c r="K73" i="272"/>
  <c r="L73" i="272" s="1"/>
  <c r="M73" i="272" s="1"/>
  <c r="J15" i="228"/>
  <c r="F12" i="264"/>
  <c r="L151" i="271"/>
  <c r="M151" i="271" s="1"/>
  <c r="L127" i="282"/>
  <c r="M127" i="282" s="1"/>
  <c r="K52" i="271"/>
  <c r="L52" i="271" s="1"/>
  <c r="M52" i="271" s="1"/>
  <c r="K71" i="272"/>
  <c r="L71" i="272" s="1"/>
  <c r="M71" i="272" s="1"/>
  <c r="K89" i="282"/>
  <c r="L89" i="282" s="1"/>
  <c r="M89" i="282" s="1"/>
  <c r="K22" i="275"/>
  <c r="L22" i="275" s="1"/>
  <c r="M22" i="275" s="1"/>
  <c r="K18" i="275"/>
  <c r="L18" i="275" s="1"/>
  <c r="M18" i="275" s="1"/>
  <c r="K28" i="275"/>
  <c r="L28" i="275" s="1"/>
  <c r="M28" i="275" s="1"/>
  <c r="K46" i="275"/>
  <c r="L46" i="275" s="1"/>
  <c r="M46" i="275" s="1"/>
  <c r="K24" i="275"/>
  <c r="L24" i="275" s="1"/>
  <c r="M24" i="275" s="1"/>
  <c r="K40" i="303"/>
  <c r="L40" i="303" s="1"/>
  <c r="M40" i="303" s="1"/>
  <c r="K40" i="310"/>
  <c r="L40" i="310" s="1"/>
  <c r="M40" i="310" s="1"/>
  <c r="K28" i="309"/>
  <c r="L28" i="309" s="1"/>
  <c r="M28" i="309" s="1"/>
  <c r="K22" i="309"/>
  <c r="L22" i="309" s="1"/>
  <c r="M22" i="309" s="1"/>
  <c r="K18" i="309"/>
  <c r="L18" i="309" s="1"/>
  <c r="M18" i="309" s="1"/>
  <c r="K38" i="291"/>
  <c r="L38" i="291" s="1"/>
  <c r="M38" i="291" s="1"/>
  <c r="K28" i="291"/>
  <c r="L28" i="291" s="1"/>
  <c r="M28" i="291" s="1"/>
  <c r="K18" i="291"/>
  <c r="L18" i="291" s="1"/>
  <c r="M18" i="291" s="1"/>
  <c r="K20" i="291"/>
  <c r="L20" i="291" s="1"/>
  <c r="M20" i="291" s="1"/>
  <c r="K36" i="309"/>
  <c r="L36" i="309" s="1"/>
  <c r="M36" i="309" s="1"/>
  <c r="K32" i="291"/>
  <c r="L32" i="291" s="1"/>
  <c r="M32" i="291" s="1"/>
  <c r="K22" i="291"/>
  <c r="L22" i="291" s="1"/>
  <c r="M22" i="291" s="1"/>
  <c r="K30" i="302"/>
  <c r="L30" i="302" s="1"/>
  <c r="M30" i="302" s="1"/>
  <c r="K28" i="302"/>
  <c r="L28" i="302" s="1"/>
  <c r="M28" i="302" s="1"/>
  <c r="K26" i="302"/>
  <c r="L26" i="302" s="1"/>
  <c r="M26" i="302" s="1"/>
  <c r="K22" i="302"/>
  <c r="L22" i="302" s="1"/>
  <c r="M22" i="302" s="1"/>
  <c r="K20" i="302"/>
  <c r="L20" i="302" s="1"/>
  <c r="M20" i="302" s="1"/>
  <c r="K18" i="302"/>
  <c r="L18" i="302" s="1"/>
  <c r="M18" i="302" s="1"/>
  <c r="K42" i="309"/>
  <c r="L42" i="309" s="1"/>
  <c r="M42" i="309" s="1"/>
  <c r="K30" i="309"/>
  <c r="L30" i="309" s="1"/>
  <c r="M30" i="309" s="1"/>
  <c r="K26" i="309"/>
  <c r="L26" i="309" s="1"/>
  <c r="M26" i="309" s="1"/>
  <c r="K20" i="309"/>
  <c r="L20" i="309" s="1"/>
  <c r="M20" i="309" s="1"/>
  <c r="K30" i="291"/>
  <c r="L30" i="291" s="1"/>
  <c r="M30" i="291" s="1"/>
  <c r="K42" i="302"/>
  <c r="L42" i="302" s="1"/>
  <c r="M42" i="302" s="1"/>
  <c r="K36" i="302"/>
  <c r="L36" i="302" s="1"/>
  <c r="M36" i="302" s="1"/>
  <c r="K26" i="291"/>
  <c r="L26" i="291" s="1"/>
  <c r="M26" i="291" s="1"/>
  <c r="K32" i="296"/>
  <c r="L32" i="296" s="1"/>
  <c r="M32" i="296" s="1"/>
  <c r="K54" i="271"/>
  <c r="L54" i="271" s="1"/>
  <c r="K28" i="279"/>
  <c r="L28" i="279" s="1"/>
  <c r="M28" i="279" s="1"/>
  <c r="L72" i="310"/>
  <c r="L1" i="310" s="1"/>
  <c r="L36" i="270"/>
  <c r="M36" i="270" s="1"/>
  <c r="F50" i="277"/>
  <c r="J50" i="277" s="1"/>
  <c r="J52" i="277" s="1"/>
  <c r="E48" i="228"/>
  <c r="I310" i="320" s="1"/>
  <c r="J310" i="320" s="1"/>
  <c r="L310" i="320" s="1"/>
  <c r="M310" i="320" s="1"/>
  <c r="E43" i="228"/>
  <c r="I309" i="320" s="1"/>
  <c r="J309" i="320" s="1"/>
  <c r="L309" i="320" s="1"/>
  <c r="M309" i="320" s="1"/>
  <c r="E62" i="228"/>
  <c r="E51" i="228"/>
  <c r="K59" i="167" s="1"/>
  <c r="L59" i="167" s="1"/>
  <c r="M59" i="167" s="1"/>
  <c r="E61" i="228"/>
  <c r="I411" i="320" s="1"/>
  <c r="J411" i="320" s="1"/>
  <c r="L411" i="320" s="1"/>
  <c r="M411" i="320" s="1"/>
  <c r="E44" i="228"/>
  <c r="K55" i="167" s="1"/>
  <c r="L55" i="167" s="1"/>
  <c r="E49" i="228"/>
  <c r="I311" i="320" s="1"/>
  <c r="J311" i="320" s="1"/>
  <c r="L311" i="320" s="1"/>
  <c r="M311" i="320" s="1"/>
  <c r="E60" i="228"/>
  <c r="L159" i="271"/>
  <c r="M159" i="271" s="1"/>
  <c r="P36" i="271"/>
  <c r="S36" i="271" s="1"/>
  <c r="P18" i="271"/>
  <c r="S18" i="271" s="1"/>
  <c r="E58" i="228"/>
  <c r="I330" i="320" s="1"/>
  <c r="J330" i="320" s="1"/>
  <c r="L330" i="320" s="1"/>
  <c r="M330" i="320" s="1"/>
  <c r="E42" i="228"/>
  <c r="I716" i="320" s="1"/>
  <c r="J716" i="320" s="1"/>
  <c r="L716" i="320" s="1"/>
  <c r="M716" i="320" s="1"/>
  <c r="K35" i="278"/>
  <c r="D11" i="263" l="1"/>
  <c r="C1" i="323"/>
  <c r="J16" i="228"/>
  <c r="M55" i="167"/>
  <c r="L72" i="167"/>
  <c r="L81" i="167" s="1"/>
  <c r="L144" i="167" s="1"/>
  <c r="F16" i="166"/>
  <c r="H16" i="166" s="1"/>
  <c r="I288" i="320"/>
  <c r="J288" i="320" s="1"/>
  <c r="L288" i="320" s="1"/>
  <c r="M288" i="320" s="1"/>
  <c r="I289" i="320"/>
  <c r="J289" i="320" s="1"/>
  <c r="L289" i="320" s="1"/>
  <c r="M289" i="320" s="1"/>
  <c r="I361" i="320"/>
  <c r="J361" i="320" s="1"/>
  <c r="L361" i="320" s="1"/>
  <c r="M361" i="320" s="1"/>
  <c r="I290" i="320"/>
  <c r="J290" i="320" s="1"/>
  <c r="L290" i="320" s="1"/>
  <c r="M290" i="320" s="1"/>
  <c r="I260" i="320"/>
  <c r="J260" i="320" s="1"/>
  <c r="L260" i="320" s="1"/>
  <c r="M260" i="320" s="1"/>
  <c r="I398" i="320"/>
  <c r="J398" i="320" s="1"/>
  <c r="L398" i="320" s="1"/>
  <c r="M398" i="320" s="1"/>
  <c r="I397" i="320"/>
  <c r="J397" i="320" s="1"/>
  <c r="L397" i="320" s="1"/>
  <c r="M397" i="320" s="1"/>
  <c r="I276" i="320"/>
  <c r="J276" i="320" s="1"/>
  <c r="L276" i="320" s="1"/>
  <c r="M276" i="320" s="1"/>
  <c r="I251" i="320"/>
  <c r="J251" i="320" s="1"/>
  <c r="L251" i="320" s="1"/>
  <c r="M251" i="320" s="1"/>
  <c r="I235" i="320"/>
  <c r="J235" i="320" s="1"/>
  <c r="L235" i="320" s="1"/>
  <c r="M235" i="320" s="1"/>
  <c r="I274" i="320"/>
  <c r="J274" i="320" s="1"/>
  <c r="L274" i="320" s="1"/>
  <c r="M274" i="320" s="1"/>
  <c r="I233" i="320"/>
  <c r="J233" i="320" s="1"/>
  <c r="L233" i="320" s="1"/>
  <c r="M233" i="320" s="1"/>
  <c r="I414" i="320"/>
  <c r="J414" i="320" s="1"/>
  <c r="L414" i="320" s="1"/>
  <c r="M414" i="320" s="1"/>
  <c r="I404" i="320"/>
  <c r="J404" i="320" s="1"/>
  <c r="L404" i="320" s="1"/>
  <c r="M404" i="320" s="1"/>
  <c r="I230" i="320"/>
  <c r="J230" i="320" s="1"/>
  <c r="L230" i="320" s="1"/>
  <c r="M230" i="320" s="1"/>
  <c r="I462" i="320"/>
  <c r="J462" i="320" s="1"/>
  <c r="L462" i="320" s="1"/>
  <c r="M462" i="320" s="1"/>
  <c r="I271" i="320"/>
  <c r="J271" i="320" s="1"/>
  <c r="L271" i="320" s="1"/>
  <c r="M271" i="320" s="1"/>
  <c r="I242" i="320"/>
  <c r="J242" i="320" s="1"/>
  <c r="L242" i="320" s="1"/>
  <c r="M242" i="320" s="1"/>
  <c r="I717" i="320"/>
  <c r="J717" i="320" s="1"/>
  <c r="L717" i="320" s="1"/>
  <c r="M717" i="320" s="1"/>
  <c r="I614" i="320"/>
  <c r="J614" i="320" s="1"/>
  <c r="L614" i="320" s="1"/>
  <c r="M614" i="320" s="1"/>
  <c r="I613" i="320"/>
  <c r="J613" i="320" s="1"/>
  <c r="L613" i="320" s="1"/>
  <c r="M613" i="320" s="1"/>
  <c r="I133" i="320"/>
  <c r="J133" i="320" s="1"/>
  <c r="L133" i="320" s="1"/>
  <c r="M133" i="320" s="1"/>
  <c r="H132" i="159"/>
  <c r="F134" i="159"/>
  <c r="H134" i="159" s="1"/>
  <c r="F36" i="281"/>
  <c r="H36" i="281" s="1"/>
  <c r="F20" i="281"/>
  <c r="F30" i="281"/>
  <c r="H30" i="281" s="1"/>
  <c r="F40" i="281"/>
  <c r="H40" i="281" s="1"/>
  <c r="O17" i="280"/>
  <c r="S17" i="280" s="1"/>
  <c r="F24" i="281" s="1"/>
  <c r="F18" i="281"/>
  <c r="H18" i="247"/>
  <c r="L18" i="247"/>
  <c r="H42" i="247"/>
  <c r="L42" i="247"/>
  <c r="F44" i="247"/>
  <c r="P172" i="280"/>
  <c r="S141" i="280"/>
  <c r="F24" i="163" s="1"/>
  <c r="H24" i="163" s="1"/>
  <c r="L26" i="163"/>
  <c r="L66" i="163" s="1"/>
  <c r="L75" i="163" s="1"/>
  <c r="L139" i="163" s="1"/>
  <c r="L148" i="163" s="1"/>
  <c r="L209" i="163" s="1"/>
  <c r="L1" i="163" s="1"/>
  <c r="H26" i="163"/>
  <c r="H20" i="247"/>
  <c r="L20" i="247"/>
  <c r="F16" i="270"/>
  <c r="F22" i="270"/>
  <c r="F18" i="270"/>
  <c r="F24" i="270"/>
  <c r="L46" i="247"/>
  <c r="H46" i="247"/>
  <c r="O172" i="280"/>
  <c r="S172" i="280" s="1"/>
  <c r="S173" i="280" s="1"/>
  <c r="S136" i="280"/>
  <c r="F20" i="163" s="1"/>
  <c r="H20" i="163" s="1"/>
  <c r="L24" i="247"/>
  <c r="H24" i="247"/>
  <c r="C1" i="263"/>
  <c r="K91" i="272"/>
  <c r="L91" i="272" s="1"/>
  <c r="M91" i="272" s="1"/>
  <c r="M54" i="321"/>
  <c r="L66" i="321"/>
  <c r="L75" i="321" s="1"/>
  <c r="L139" i="321" s="1"/>
  <c r="L148" i="321" s="1"/>
  <c r="L209" i="321" s="1"/>
  <c r="L1" i="321" s="1"/>
  <c r="K73" i="282"/>
  <c r="L73" i="282" s="1"/>
  <c r="M73" i="282" s="1"/>
  <c r="K40" i="281"/>
  <c r="M154" i="321"/>
  <c r="M154" i="163"/>
  <c r="L62" i="296"/>
  <c r="L71" i="296" s="1"/>
  <c r="L137" i="296" s="1"/>
  <c r="K18" i="272"/>
  <c r="L18" i="272" s="1"/>
  <c r="M18" i="272" s="1"/>
  <c r="K115" i="282"/>
  <c r="L115" i="282" s="1"/>
  <c r="M115" i="282" s="1"/>
  <c r="K38" i="284"/>
  <c r="L38" i="284" s="1"/>
  <c r="M38" i="284" s="1"/>
  <c r="K113" i="282"/>
  <c r="L113" i="282" s="1"/>
  <c r="M113" i="282" s="1"/>
  <c r="F13" i="264"/>
  <c r="F14" i="264" s="1"/>
  <c r="K111" i="282"/>
  <c r="L111" i="282" s="1"/>
  <c r="M111" i="282" s="1"/>
  <c r="K72" i="271"/>
  <c r="L72" i="271" s="1"/>
  <c r="M72" i="271" s="1"/>
  <c r="K22" i="282"/>
  <c r="L22" i="282" s="1"/>
  <c r="M22" i="282" s="1"/>
  <c r="K22" i="271"/>
  <c r="L22" i="271" s="1"/>
  <c r="M22" i="271" s="1"/>
  <c r="K30" i="281"/>
  <c r="K60" i="282"/>
  <c r="L60" i="282" s="1"/>
  <c r="M60" i="282" s="1"/>
  <c r="L113" i="272"/>
  <c r="M113" i="272" s="1"/>
  <c r="K32" i="282"/>
  <c r="L32" i="282" s="1"/>
  <c r="M32" i="282" s="1"/>
  <c r="K40" i="271"/>
  <c r="L40" i="271" s="1"/>
  <c r="M40" i="271" s="1"/>
  <c r="K28" i="282"/>
  <c r="L28" i="282" s="1"/>
  <c r="M28" i="282" s="1"/>
  <c r="K36" i="281"/>
  <c r="L36" i="281" s="1"/>
  <c r="M36" i="281" s="1"/>
  <c r="K58" i="282"/>
  <c r="L58" i="282" s="1"/>
  <c r="M58" i="282" s="1"/>
  <c r="K38" i="275"/>
  <c r="L38" i="275" s="1"/>
  <c r="M38" i="275" s="1"/>
  <c r="K32" i="284"/>
  <c r="L32" i="284" s="1"/>
  <c r="M32" i="284" s="1"/>
  <c r="K54" i="301"/>
  <c r="L54" i="301" s="1"/>
  <c r="M54" i="301" s="1"/>
  <c r="M54" i="271"/>
  <c r="K52" i="308"/>
  <c r="L52" i="308" s="1"/>
  <c r="M52" i="308" s="1"/>
  <c r="K24" i="279"/>
  <c r="L24" i="279" s="1"/>
  <c r="M24" i="279" s="1"/>
  <c r="K26" i="279"/>
  <c r="L26" i="279" s="1"/>
  <c r="M26" i="279" s="1"/>
  <c r="K52" i="301"/>
  <c r="L52" i="301" s="1"/>
  <c r="M52" i="301" s="1"/>
  <c r="K54" i="308"/>
  <c r="L54" i="308" s="1"/>
  <c r="M54" i="308" s="1"/>
  <c r="K54" i="193"/>
  <c r="L54" i="193" s="1"/>
  <c r="L74" i="309"/>
  <c r="L1" i="309" s="1"/>
  <c r="L71" i="303"/>
  <c r="L1" i="303" s="1"/>
  <c r="L69" i="307"/>
  <c r="L75" i="302"/>
  <c r="L1" i="302" s="1"/>
  <c r="L73" i="291"/>
  <c r="L1" i="291" s="1"/>
  <c r="E59" i="228"/>
  <c r="I333" i="320" s="1"/>
  <c r="J333" i="320" s="1"/>
  <c r="L333" i="320" s="1"/>
  <c r="M333" i="320" s="1"/>
  <c r="K18" i="284"/>
  <c r="L18" i="284" s="1"/>
  <c r="M18" i="284" s="1"/>
  <c r="L173" i="271"/>
  <c r="M173" i="271" s="1"/>
  <c r="B58" i="262"/>
  <c r="K46" i="278"/>
  <c r="K54" i="278"/>
  <c r="K87" i="278"/>
  <c r="K34" i="278"/>
  <c r="K45" i="278"/>
  <c r="K11" i="278"/>
  <c r="J17" i="228" l="1"/>
  <c r="C1" i="264" s="1"/>
  <c r="D11" i="323"/>
  <c r="L1" i="167"/>
  <c r="L30" i="281"/>
  <c r="M30" i="281" s="1"/>
  <c r="M18" i="247"/>
  <c r="M26" i="163"/>
  <c r="M24" i="247"/>
  <c r="M46" i="247"/>
  <c r="L40" i="281"/>
  <c r="M40" i="281" s="1"/>
  <c r="L16" i="270"/>
  <c r="H16" i="270"/>
  <c r="M20" i="247"/>
  <c r="L24" i="270"/>
  <c r="H24" i="270"/>
  <c r="L44" i="247"/>
  <c r="H44" i="247"/>
  <c r="H18" i="270"/>
  <c r="L18" i="270"/>
  <c r="M42" i="247"/>
  <c r="H18" i="281"/>
  <c r="L18" i="281"/>
  <c r="L20" i="281"/>
  <c r="H20" i="281"/>
  <c r="H22" i="270"/>
  <c r="L22" i="270"/>
  <c r="H24" i="281"/>
  <c r="L24" i="281"/>
  <c r="L54" i="278"/>
  <c r="L797" i="320"/>
  <c r="J2" i="320"/>
  <c r="L45" i="278"/>
  <c r="L34" i="278"/>
  <c r="L87" i="278"/>
  <c r="K24" i="272"/>
  <c r="L24" i="272" s="1"/>
  <c r="M24" i="272" s="1"/>
  <c r="L46" i="278"/>
  <c r="L39" i="278"/>
  <c r="L71" i="278"/>
  <c r="L62" i="282"/>
  <c r="L71" i="282" s="1"/>
  <c r="L129" i="282" s="1"/>
  <c r="L138" i="282" s="1"/>
  <c r="L200" i="282" s="1"/>
  <c r="L1" i="282" s="1"/>
  <c r="L59" i="271"/>
  <c r="L68" i="271" s="1"/>
  <c r="L132" i="271" s="1"/>
  <c r="L141" i="271" s="1"/>
  <c r="L193" i="271" s="1"/>
  <c r="L68" i="275"/>
  <c r="L77" i="275" s="1"/>
  <c r="L122" i="275" s="1"/>
  <c r="L131" i="275" s="1"/>
  <c r="L189" i="275" s="1"/>
  <c r="L198" i="275" s="1"/>
  <c r="L256" i="275" s="1"/>
  <c r="L1" i="296"/>
  <c r="L66" i="301"/>
  <c r="L75" i="301" s="1"/>
  <c r="L131" i="301" s="1"/>
  <c r="L140" i="301" s="1"/>
  <c r="L200" i="301" s="1"/>
  <c r="L64" i="308"/>
  <c r="L73" i="308" s="1"/>
  <c r="L129" i="308" s="1"/>
  <c r="L138" i="308" s="1"/>
  <c r="L198" i="308" s="1"/>
  <c r="L1" i="308" s="1"/>
  <c r="L71" i="193"/>
  <c r="L1" i="193" s="1"/>
  <c r="L78" i="307"/>
  <c r="L144" i="307" s="1"/>
  <c r="L71" i="279"/>
  <c r="L1" i="279" s="1"/>
  <c r="L69" i="284"/>
  <c r="B19" i="264"/>
  <c r="B17" i="264"/>
  <c r="B68" i="260"/>
  <c r="B5" i="264"/>
  <c r="B3" i="264"/>
  <c r="B2" i="264"/>
  <c r="B5" i="263"/>
  <c r="B3" i="263"/>
  <c r="B2" i="263"/>
  <c r="H64" i="262"/>
  <c r="B59" i="262"/>
  <c r="B56" i="262"/>
  <c r="F55" i="262"/>
  <c r="B55" i="262"/>
  <c r="B54" i="262"/>
  <c r="H12" i="262"/>
  <c r="H13" i="262"/>
  <c r="H14" i="262"/>
  <c r="H15" i="262"/>
  <c r="H16" i="262"/>
  <c r="H17" i="262"/>
  <c r="H18" i="262"/>
  <c r="H19" i="262"/>
  <c r="H20" i="262"/>
  <c r="H21" i="262"/>
  <c r="H22" i="262"/>
  <c r="H23" i="262"/>
  <c r="H29" i="262"/>
  <c r="H30" i="262"/>
  <c r="H31" i="262"/>
  <c r="H33" i="262"/>
  <c r="H35" i="262"/>
  <c r="H37" i="262"/>
  <c r="H39" i="262"/>
  <c r="H40" i="262"/>
  <c r="B123" i="262"/>
  <c r="H11" i="262"/>
  <c r="B7" i="262"/>
  <c r="H6" i="262"/>
  <c r="H58" i="262" s="1"/>
  <c r="B4" i="262"/>
  <c r="F3" i="262"/>
  <c r="B3" i="262"/>
  <c r="H41" i="260"/>
  <c r="H42" i="260"/>
  <c r="H43" i="260"/>
  <c r="H44" i="260"/>
  <c r="M44" i="260" s="1"/>
  <c r="H45" i="260"/>
  <c r="H46" i="260"/>
  <c r="H47" i="260"/>
  <c r="H48" i="260"/>
  <c r="H49" i="260"/>
  <c r="H50" i="260"/>
  <c r="H51" i="260"/>
  <c r="H52" i="260"/>
  <c r="H53" i="260"/>
  <c r="H54" i="260"/>
  <c r="H55" i="260"/>
  <c r="H56" i="260"/>
  <c r="H57" i="260"/>
  <c r="H58" i="260"/>
  <c r="H59" i="260"/>
  <c r="H60" i="260"/>
  <c r="H61" i="260"/>
  <c r="H67" i="260"/>
  <c r="B5" i="261"/>
  <c r="B3" i="261"/>
  <c r="E2" i="261"/>
  <c r="B2" i="261"/>
  <c r="H15" i="260"/>
  <c r="H16" i="260"/>
  <c r="H17" i="260"/>
  <c r="H18" i="260"/>
  <c r="H19" i="260"/>
  <c r="H20" i="260"/>
  <c r="H21" i="260"/>
  <c r="H22" i="260"/>
  <c r="H23" i="260"/>
  <c r="H24" i="260"/>
  <c r="H25" i="260"/>
  <c r="H26" i="260"/>
  <c r="H27" i="260"/>
  <c r="H28" i="260"/>
  <c r="H29" i="260"/>
  <c r="H30" i="260"/>
  <c r="H31" i="260"/>
  <c r="H32" i="260"/>
  <c r="M32" i="260" s="1"/>
  <c r="H33" i="260"/>
  <c r="H34" i="260"/>
  <c r="H35" i="260"/>
  <c r="H36" i="260"/>
  <c r="H37" i="260"/>
  <c r="H38" i="260"/>
  <c r="H39" i="260"/>
  <c r="H40" i="260"/>
  <c r="H90" i="192"/>
  <c r="H89" i="192"/>
  <c r="H88" i="192"/>
  <c r="H92" i="192"/>
  <c r="H14" i="260"/>
  <c r="H13" i="260"/>
  <c r="H12" i="260"/>
  <c r="H11" i="260"/>
  <c r="B7" i="260"/>
  <c r="H6" i="260"/>
  <c r="B4" i="260"/>
  <c r="F3" i="260"/>
  <c r="B3" i="260"/>
  <c r="B77" i="254"/>
  <c r="B75" i="254"/>
  <c r="D74" i="254"/>
  <c r="B74" i="254"/>
  <c r="B394" i="250"/>
  <c r="B330" i="250"/>
  <c r="B327" i="250"/>
  <c r="F326" i="250"/>
  <c r="B326" i="250"/>
  <c r="B325" i="250"/>
  <c r="B268" i="250"/>
  <c r="B265" i="250"/>
  <c r="F264" i="250"/>
  <c r="B264" i="250"/>
  <c r="B263" i="250"/>
  <c r="B201" i="250"/>
  <c r="B198" i="250"/>
  <c r="F197" i="250"/>
  <c r="B197" i="250"/>
  <c r="B196" i="250"/>
  <c r="B134" i="250"/>
  <c r="B131" i="250"/>
  <c r="F130" i="250"/>
  <c r="B130" i="250"/>
  <c r="B129" i="250"/>
  <c r="B77" i="250"/>
  <c r="B74" i="250"/>
  <c r="F73" i="250"/>
  <c r="B73" i="250"/>
  <c r="B72" i="250"/>
  <c r="H83" i="250"/>
  <c r="H84" i="250"/>
  <c r="H85" i="250"/>
  <c r="H86" i="250"/>
  <c r="H87" i="250"/>
  <c r="H88" i="250"/>
  <c r="H89" i="250"/>
  <c r="H90" i="250"/>
  <c r="H91" i="250"/>
  <c r="H92" i="250"/>
  <c r="H93" i="250"/>
  <c r="H94" i="250"/>
  <c r="H95" i="250"/>
  <c r="H96" i="250"/>
  <c r="H97" i="250"/>
  <c r="H98" i="250"/>
  <c r="H99" i="250"/>
  <c r="H100" i="250"/>
  <c r="H101" i="250"/>
  <c r="H102" i="250"/>
  <c r="H103" i="250"/>
  <c r="H104" i="250"/>
  <c r="H105" i="250"/>
  <c r="H106" i="250"/>
  <c r="H107" i="250"/>
  <c r="H108" i="250"/>
  <c r="H109" i="250"/>
  <c r="H110" i="250"/>
  <c r="H111" i="250"/>
  <c r="H112" i="250"/>
  <c r="H113" i="250"/>
  <c r="H114" i="250"/>
  <c r="H115" i="250"/>
  <c r="H116" i="250"/>
  <c r="H117" i="250"/>
  <c r="H118" i="250"/>
  <c r="H119" i="250"/>
  <c r="H120" i="250"/>
  <c r="H121" i="250"/>
  <c r="H122" i="250"/>
  <c r="H123" i="250"/>
  <c r="H124" i="250"/>
  <c r="H125" i="250"/>
  <c r="H126" i="250"/>
  <c r="H127" i="250"/>
  <c r="H139" i="250"/>
  <c r="H140" i="250"/>
  <c r="H141" i="250"/>
  <c r="H142" i="250"/>
  <c r="H143" i="250"/>
  <c r="H144" i="250"/>
  <c r="H145" i="250"/>
  <c r="H146" i="250"/>
  <c r="H147" i="250"/>
  <c r="H148" i="250"/>
  <c r="H149" i="250"/>
  <c r="H160" i="250"/>
  <c r="H161" i="250"/>
  <c r="H162" i="250"/>
  <c r="H163" i="250"/>
  <c r="H164" i="250"/>
  <c r="H165" i="250"/>
  <c r="H166" i="250"/>
  <c r="H167" i="250"/>
  <c r="H168" i="250"/>
  <c r="H169" i="250"/>
  <c r="H170" i="250"/>
  <c r="H171" i="250"/>
  <c r="H172" i="250"/>
  <c r="H173" i="250"/>
  <c r="H174" i="250"/>
  <c r="H175" i="250"/>
  <c r="H176" i="250"/>
  <c r="H177" i="250"/>
  <c r="H178" i="250"/>
  <c r="H179" i="250"/>
  <c r="H180" i="250"/>
  <c r="M180" i="250" s="1"/>
  <c r="H181" i="250"/>
  <c r="H182" i="250"/>
  <c r="H183" i="250"/>
  <c r="H184" i="250"/>
  <c r="M184" i="250" s="1"/>
  <c r="H185" i="250"/>
  <c r="H186" i="250"/>
  <c r="H187" i="250"/>
  <c r="H188" i="250"/>
  <c r="H195" i="250"/>
  <c r="H207" i="250"/>
  <c r="H208" i="250"/>
  <c r="H209" i="250"/>
  <c r="H210" i="250"/>
  <c r="H211" i="250"/>
  <c r="H212" i="250"/>
  <c r="H213" i="250"/>
  <c r="H214" i="250"/>
  <c r="H215" i="250"/>
  <c r="H216" i="250"/>
  <c r="H217" i="250"/>
  <c r="H218" i="250"/>
  <c r="H219" i="250"/>
  <c r="H220" i="250"/>
  <c r="H221" i="250"/>
  <c r="H222" i="250"/>
  <c r="H223" i="250"/>
  <c r="H224" i="250"/>
  <c r="H225" i="250"/>
  <c r="H226" i="250"/>
  <c r="H227" i="250"/>
  <c r="H228" i="250"/>
  <c r="H229" i="250"/>
  <c r="H230" i="250"/>
  <c r="H231" i="250"/>
  <c r="H232" i="250"/>
  <c r="H233" i="250"/>
  <c r="H234" i="250"/>
  <c r="H235" i="250"/>
  <c r="H236" i="250"/>
  <c r="H237" i="250"/>
  <c r="H238" i="250"/>
  <c r="H239" i="250"/>
  <c r="H240" i="250"/>
  <c r="H241" i="250"/>
  <c r="H242" i="250"/>
  <c r="H243" i="250"/>
  <c r="H244" i="250"/>
  <c r="H245" i="250"/>
  <c r="H246" i="250"/>
  <c r="H247" i="250"/>
  <c r="H248" i="250"/>
  <c r="H249" i="250"/>
  <c r="H250" i="250"/>
  <c r="H251" i="250"/>
  <c r="H252" i="250"/>
  <c r="H253" i="250"/>
  <c r="H254" i="250"/>
  <c r="H255" i="250"/>
  <c r="H256" i="250"/>
  <c r="H257" i="250"/>
  <c r="H258" i="250"/>
  <c r="H259" i="250"/>
  <c r="H260" i="250"/>
  <c r="H261" i="250"/>
  <c r="H274" i="250"/>
  <c r="H275" i="250"/>
  <c r="H276" i="250"/>
  <c r="H277" i="250"/>
  <c r="H278" i="250"/>
  <c r="H279" i="250"/>
  <c r="H280" i="250"/>
  <c r="H281" i="250"/>
  <c r="H282" i="250"/>
  <c r="H283" i="250"/>
  <c r="H284" i="250"/>
  <c r="H285" i="250"/>
  <c r="H286" i="250"/>
  <c r="H287" i="250"/>
  <c r="H288" i="250"/>
  <c r="H289" i="250"/>
  <c r="H290" i="250"/>
  <c r="H291" i="250"/>
  <c r="H292" i="250"/>
  <c r="H293" i="250"/>
  <c r="H294" i="250"/>
  <c r="H296" i="250"/>
  <c r="H297" i="250"/>
  <c r="H298" i="250"/>
  <c r="H299" i="250"/>
  <c r="H300" i="250"/>
  <c r="H301" i="250"/>
  <c r="H302" i="250"/>
  <c r="H303" i="250"/>
  <c r="H304" i="250"/>
  <c r="H305" i="250"/>
  <c r="H306" i="250"/>
  <c r="H307" i="250"/>
  <c r="H308" i="250"/>
  <c r="H309" i="250"/>
  <c r="H310" i="250"/>
  <c r="H311" i="250"/>
  <c r="H312" i="250"/>
  <c r="H313" i="250"/>
  <c r="H314" i="250"/>
  <c r="H315" i="250"/>
  <c r="H316" i="250"/>
  <c r="H317" i="250"/>
  <c r="H318" i="250"/>
  <c r="H324" i="250"/>
  <c r="H336" i="250"/>
  <c r="H337" i="250"/>
  <c r="H338" i="250"/>
  <c r="H339" i="250"/>
  <c r="H340" i="250"/>
  <c r="H341" i="250"/>
  <c r="H342" i="250"/>
  <c r="H344" i="250"/>
  <c r="H345" i="250"/>
  <c r="H346" i="250"/>
  <c r="H347" i="250"/>
  <c r="H348" i="250"/>
  <c r="H349" i="250"/>
  <c r="H350" i="250"/>
  <c r="H351" i="250"/>
  <c r="H352" i="250"/>
  <c r="H353" i="250"/>
  <c r="H354" i="250"/>
  <c r="H355" i="250"/>
  <c r="H356" i="250"/>
  <c r="H389" i="250"/>
  <c r="H390" i="250"/>
  <c r="H391" i="250"/>
  <c r="H392" i="250"/>
  <c r="H393" i="250"/>
  <c r="H6" i="250"/>
  <c r="B263" i="247"/>
  <c r="B205" i="247"/>
  <c r="B202" i="247"/>
  <c r="F201" i="247"/>
  <c r="B201" i="247"/>
  <c r="B200" i="247"/>
  <c r="B136" i="247"/>
  <c r="B133" i="247"/>
  <c r="F132" i="247"/>
  <c r="B132" i="247"/>
  <c r="B131" i="247"/>
  <c r="B69" i="247"/>
  <c r="H6" i="247"/>
  <c r="B74" i="247"/>
  <c r="B71" i="247"/>
  <c r="F70" i="247"/>
  <c r="B70" i="247"/>
  <c r="B205" i="193"/>
  <c r="B141" i="193"/>
  <c r="B138" i="193"/>
  <c r="F137" i="193"/>
  <c r="B137" i="193"/>
  <c r="B136" i="193"/>
  <c r="B76" i="193"/>
  <c r="B73" i="193"/>
  <c r="F72" i="193"/>
  <c r="B72" i="193"/>
  <c r="B71" i="193"/>
  <c r="H27" i="193"/>
  <c r="H28" i="193"/>
  <c r="M28" i="193" s="1"/>
  <c r="H29" i="193"/>
  <c r="H30" i="193"/>
  <c r="M30" i="193" s="1"/>
  <c r="H31" i="193"/>
  <c r="H35" i="193"/>
  <c r="H36" i="193"/>
  <c r="M36" i="193" s="1"/>
  <c r="H40" i="193"/>
  <c r="M40" i="193" s="1"/>
  <c r="H41" i="193"/>
  <c r="H42" i="193"/>
  <c r="M42" i="193" s="1"/>
  <c r="H43" i="193"/>
  <c r="H44" i="193"/>
  <c r="M44" i="193" s="1"/>
  <c r="H45" i="193"/>
  <c r="H46" i="193"/>
  <c r="M46" i="193" s="1"/>
  <c r="H47" i="193"/>
  <c r="H48" i="193"/>
  <c r="H49" i="193"/>
  <c r="H50" i="193"/>
  <c r="M50" i="193" s="1"/>
  <c r="H51" i="193"/>
  <c r="H52" i="193"/>
  <c r="M52" i="193" s="1"/>
  <c r="H53" i="193"/>
  <c r="H54" i="193"/>
  <c r="M54" i="193" s="1"/>
  <c r="H55" i="193"/>
  <c r="H56" i="193"/>
  <c r="H57" i="193"/>
  <c r="H58" i="193"/>
  <c r="H59" i="193"/>
  <c r="H64" i="193"/>
  <c r="H65" i="193"/>
  <c r="H66" i="193"/>
  <c r="H67" i="193"/>
  <c r="H68" i="193"/>
  <c r="H69" i="193"/>
  <c r="H70" i="193"/>
  <c r="H147" i="193"/>
  <c r="H148" i="193"/>
  <c r="H149" i="193"/>
  <c r="H150" i="193"/>
  <c r="H151" i="193"/>
  <c r="H152" i="193"/>
  <c r="H153" i="193"/>
  <c r="H154" i="193"/>
  <c r="H155" i="193"/>
  <c r="H156" i="193"/>
  <c r="H157" i="193"/>
  <c r="H158" i="193"/>
  <c r="H159" i="193"/>
  <c r="H160" i="193"/>
  <c r="H161" i="193"/>
  <c r="H162" i="193"/>
  <c r="H163" i="193"/>
  <c r="H164" i="193"/>
  <c r="H165" i="193"/>
  <c r="H166" i="193"/>
  <c r="H167" i="193"/>
  <c r="H168" i="193"/>
  <c r="H169" i="193"/>
  <c r="H170" i="193"/>
  <c r="H171" i="193"/>
  <c r="H172" i="193"/>
  <c r="H173" i="193"/>
  <c r="H174" i="193"/>
  <c r="H175" i="193"/>
  <c r="H176" i="193"/>
  <c r="H177" i="193"/>
  <c r="H178" i="193"/>
  <c r="H179" i="193"/>
  <c r="H180" i="193"/>
  <c r="H181" i="193"/>
  <c r="H182" i="193"/>
  <c r="H183" i="193"/>
  <c r="H184" i="193"/>
  <c r="H185" i="193"/>
  <c r="H186" i="193"/>
  <c r="H187" i="193"/>
  <c r="H188" i="193"/>
  <c r="H189" i="193"/>
  <c r="H190" i="193"/>
  <c r="H191" i="193"/>
  <c r="H192" i="193"/>
  <c r="H193" i="193"/>
  <c r="H194" i="193"/>
  <c r="H195" i="193"/>
  <c r="H196" i="193"/>
  <c r="H197" i="193"/>
  <c r="H198" i="193"/>
  <c r="H199" i="193"/>
  <c r="H200" i="193"/>
  <c r="H201" i="193"/>
  <c r="H202" i="193"/>
  <c r="H203" i="193"/>
  <c r="H204" i="193"/>
  <c r="B246" i="168"/>
  <c r="B191" i="168"/>
  <c r="B188" i="168"/>
  <c r="F187" i="168"/>
  <c r="B187" i="168"/>
  <c r="B186" i="168"/>
  <c r="B129" i="168"/>
  <c r="B126" i="168"/>
  <c r="F125" i="168"/>
  <c r="B125" i="168"/>
  <c r="B124" i="168"/>
  <c r="B74" i="168"/>
  <c r="B71" i="168"/>
  <c r="F70" i="168"/>
  <c r="B70" i="168"/>
  <c r="B69" i="168"/>
  <c r="H80" i="168"/>
  <c r="H81" i="168"/>
  <c r="H82" i="168"/>
  <c r="H83" i="168"/>
  <c r="H84" i="168"/>
  <c r="H85" i="168"/>
  <c r="H86" i="168"/>
  <c r="H87" i="168"/>
  <c r="H88" i="168"/>
  <c r="H89" i="168"/>
  <c r="H90" i="168"/>
  <c r="H91" i="168"/>
  <c r="H92" i="168"/>
  <c r="H93" i="168"/>
  <c r="H94" i="168"/>
  <c r="H95" i="168"/>
  <c r="H96" i="168"/>
  <c r="H97" i="168"/>
  <c r="H98" i="168"/>
  <c r="H99" i="168"/>
  <c r="H100" i="168"/>
  <c r="H101" i="168"/>
  <c r="H102" i="168"/>
  <c r="H103" i="168"/>
  <c r="H104" i="168"/>
  <c r="H105" i="168"/>
  <c r="H106" i="168"/>
  <c r="H107" i="168"/>
  <c r="H108" i="168"/>
  <c r="H109" i="168"/>
  <c r="H110" i="168"/>
  <c r="H111" i="168"/>
  <c r="H112" i="168"/>
  <c r="H113" i="168"/>
  <c r="H114" i="168"/>
  <c r="H115" i="168"/>
  <c r="H116" i="168"/>
  <c r="H117" i="168"/>
  <c r="H118" i="168"/>
  <c r="H119" i="168"/>
  <c r="H120" i="168"/>
  <c r="H123" i="168"/>
  <c r="H135" i="168"/>
  <c r="H136" i="168"/>
  <c r="H137" i="168"/>
  <c r="H138" i="168"/>
  <c r="H139" i="168"/>
  <c r="H140" i="168"/>
  <c r="H141" i="168"/>
  <c r="H142" i="168"/>
  <c r="H143" i="168"/>
  <c r="H144" i="168"/>
  <c r="H145" i="168"/>
  <c r="H146" i="168"/>
  <c r="H147" i="168"/>
  <c r="H148" i="168"/>
  <c r="H149" i="168"/>
  <c r="H150" i="168"/>
  <c r="H151" i="168"/>
  <c r="H152" i="168"/>
  <c r="H153" i="168"/>
  <c r="H154" i="168"/>
  <c r="H155" i="168"/>
  <c r="H156" i="168"/>
  <c r="H157" i="168"/>
  <c r="H158" i="168"/>
  <c r="H159" i="168"/>
  <c r="H160" i="168"/>
  <c r="H161" i="168"/>
  <c r="H162" i="168"/>
  <c r="H163" i="168"/>
  <c r="H164" i="168"/>
  <c r="H165" i="168"/>
  <c r="H166" i="168"/>
  <c r="H167" i="168"/>
  <c r="H168" i="168"/>
  <c r="H169" i="168"/>
  <c r="H170" i="168"/>
  <c r="H171" i="168"/>
  <c r="H172" i="168"/>
  <c r="H173" i="168"/>
  <c r="H174" i="168"/>
  <c r="H175" i="168"/>
  <c r="H176" i="168"/>
  <c r="H177" i="168"/>
  <c r="H178" i="168"/>
  <c r="H179" i="168"/>
  <c r="H180" i="168"/>
  <c r="H181" i="168"/>
  <c r="H184" i="168"/>
  <c r="H197" i="168"/>
  <c r="H198" i="168"/>
  <c r="H199" i="168"/>
  <c r="H200" i="168"/>
  <c r="H201" i="168"/>
  <c r="H202" i="168"/>
  <c r="H203" i="168"/>
  <c r="H204" i="168"/>
  <c r="H205" i="168"/>
  <c r="H206" i="168"/>
  <c r="H207" i="168"/>
  <c r="H208" i="168"/>
  <c r="H209" i="168"/>
  <c r="H211" i="168"/>
  <c r="H213" i="168"/>
  <c r="H214" i="168"/>
  <c r="H215" i="168"/>
  <c r="H216" i="168"/>
  <c r="H217" i="168"/>
  <c r="H218" i="168"/>
  <c r="H219" i="168"/>
  <c r="H220" i="168"/>
  <c r="H221" i="168"/>
  <c r="H222" i="168"/>
  <c r="H223" i="168"/>
  <c r="H224" i="168"/>
  <c r="H231" i="168"/>
  <c r="H232" i="168"/>
  <c r="H233" i="168"/>
  <c r="H244" i="168"/>
  <c r="B148" i="200"/>
  <c r="B78" i="200"/>
  <c r="B75" i="200"/>
  <c r="F74" i="200"/>
  <c r="B74" i="200"/>
  <c r="B73" i="200"/>
  <c r="H84" i="200"/>
  <c r="H85" i="200"/>
  <c r="H86" i="200"/>
  <c r="H87" i="200"/>
  <c r="H88" i="200"/>
  <c r="H89" i="200"/>
  <c r="H90" i="200"/>
  <c r="H91" i="200"/>
  <c r="H92" i="200"/>
  <c r="H93" i="200"/>
  <c r="H94" i="200"/>
  <c r="H95" i="200"/>
  <c r="H96" i="200"/>
  <c r="H97" i="200"/>
  <c r="H98" i="200"/>
  <c r="H99" i="200"/>
  <c r="H100" i="200"/>
  <c r="H101" i="200"/>
  <c r="H102" i="200"/>
  <c r="H103" i="200"/>
  <c r="H104" i="200"/>
  <c r="H105" i="200"/>
  <c r="H106" i="200"/>
  <c r="H107" i="200"/>
  <c r="H108" i="200"/>
  <c r="H109" i="200"/>
  <c r="H110" i="200"/>
  <c r="H111" i="200"/>
  <c r="H112" i="200"/>
  <c r="H113" i="200"/>
  <c r="H114" i="200"/>
  <c r="H115" i="200"/>
  <c r="H116" i="200"/>
  <c r="H117" i="200"/>
  <c r="H118" i="200"/>
  <c r="H119" i="200"/>
  <c r="H120" i="200"/>
  <c r="H121" i="200"/>
  <c r="H122" i="200"/>
  <c r="H123" i="200"/>
  <c r="H124" i="200"/>
  <c r="H125" i="200"/>
  <c r="H126" i="200"/>
  <c r="H127" i="200"/>
  <c r="H128" i="200"/>
  <c r="H129" i="200"/>
  <c r="H130" i="200"/>
  <c r="H131" i="200"/>
  <c r="H132" i="200"/>
  <c r="H133" i="200"/>
  <c r="H134" i="200"/>
  <c r="H135" i="200"/>
  <c r="H136" i="200"/>
  <c r="H137" i="200"/>
  <c r="H138" i="200"/>
  <c r="H139" i="200"/>
  <c r="H140" i="200"/>
  <c r="H141" i="200"/>
  <c r="H142" i="200"/>
  <c r="H143" i="200"/>
  <c r="H144" i="200"/>
  <c r="H145" i="200"/>
  <c r="H146" i="200"/>
  <c r="H147" i="200"/>
  <c r="B148" i="199"/>
  <c r="B78" i="199"/>
  <c r="B75" i="199"/>
  <c r="F74" i="199"/>
  <c r="B74" i="199"/>
  <c r="B73" i="199"/>
  <c r="H84" i="199"/>
  <c r="H85" i="199"/>
  <c r="H86" i="199"/>
  <c r="H87" i="199"/>
  <c r="H88" i="199"/>
  <c r="H89" i="199"/>
  <c r="H90" i="199"/>
  <c r="H91" i="199"/>
  <c r="H92" i="199"/>
  <c r="H93" i="199"/>
  <c r="H94" i="199"/>
  <c r="H95" i="199"/>
  <c r="H96" i="199"/>
  <c r="H97" i="199"/>
  <c r="H98" i="199"/>
  <c r="H99" i="199"/>
  <c r="H100" i="199"/>
  <c r="H101" i="199"/>
  <c r="H102" i="199"/>
  <c r="H103" i="199"/>
  <c r="H104" i="199"/>
  <c r="H105" i="199"/>
  <c r="H106" i="199"/>
  <c r="H107" i="199"/>
  <c r="H108" i="199"/>
  <c r="H109" i="199"/>
  <c r="H110" i="199"/>
  <c r="H111" i="199"/>
  <c r="H112" i="199"/>
  <c r="H113" i="199"/>
  <c r="H114" i="199"/>
  <c r="H115" i="199"/>
  <c r="H116" i="199"/>
  <c r="H117" i="199"/>
  <c r="H118" i="199"/>
  <c r="H119" i="199"/>
  <c r="H120" i="199"/>
  <c r="H121" i="199"/>
  <c r="H122" i="199"/>
  <c r="H123" i="199"/>
  <c r="H124" i="199"/>
  <c r="H125" i="199"/>
  <c r="H126" i="199"/>
  <c r="H127" i="199"/>
  <c r="H128" i="199"/>
  <c r="H129" i="199"/>
  <c r="H130" i="199"/>
  <c r="H131" i="199"/>
  <c r="H132" i="199"/>
  <c r="H133" i="199"/>
  <c r="H134" i="199"/>
  <c r="H135" i="199"/>
  <c r="H136" i="199"/>
  <c r="H137" i="199"/>
  <c r="H138" i="199"/>
  <c r="H139" i="199"/>
  <c r="H140" i="199"/>
  <c r="H141" i="199"/>
  <c r="H142" i="199"/>
  <c r="H143" i="199"/>
  <c r="H144" i="199"/>
  <c r="H145" i="199"/>
  <c r="H146" i="199"/>
  <c r="H147" i="199"/>
  <c r="B146" i="169"/>
  <c r="B81" i="169"/>
  <c r="B78" i="169"/>
  <c r="F77" i="169"/>
  <c r="B77" i="169"/>
  <c r="B76" i="169"/>
  <c r="M18" i="169"/>
  <c r="M20" i="169"/>
  <c r="M34" i="169"/>
  <c r="H87" i="169"/>
  <c r="H88" i="169"/>
  <c r="H89" i="169"/>
  <c r="H90" i="169"/>
  <c r="H91" i="169"/>
  <c r="H92" i="169"/>
  <c r="H93" i="169"/>
  <c r="H94" i="169"/>
  <c r="H95" i="169"/>
  <c r="H96" i="169"/>
  <c r="H97" i="169"/>
  <c r="H98" i="169"/>
  <c r="H99" i="169"/>
  <c r="H100" i="169"/>
  <c r="H101" i="169"/>
  <c r="H102" i="169"/>
  <c r="H103" i="169"/>
  <c r="H104" i="169"/>
  <c r="H105" i="169"/>
  <c r="H106" i="169"/>
  <c r="H107" i="169"/>
  <c r="H108" i="169"/>
  <c r="H109" i="169"/>
  <c r="H110" i="169"/>
  <c r="H111" i="169"/>
  <c r="H112" i="169"/>
  <c r="H113" i="169"/>
  <c r="H114" i="169"/>
  <c r="H115" i="169"/>
  <c r="H116" i="169"/>
  <c r="H117" i="169"/>
  <c r="H118" i="169"/>
  <c r="H119" i="169"/>
  <c r="H120" i="169"/>
  <c r="H121" i="169"/>
  <c r="H122" i="169"/>
  <c r="H123" i="169"/>
  <c r="H124" i="169"/>
  <c r="H125" i="169"/>
  <c r="H126" i="169"/>
  <c r="H127" i="169"/>
  <c r="H128" i="169"/>
  <c r="H129" i="169"/>
  <c r="H130" i="169"/>
  <c r="H131" i="169"/>
  <c r="H132" i="169"/>
  <c r="H133" i="169"/>
  <c r="H134" i="169"/>
  <c r="H135" i="169"/>
  <c r="H136" i="169"/>
  <c r="H137" i="169"/>
  <c r="H138" i="169"/>
  <c r="H139" i="169"/>
  <c r="H140" i="169"/>
  <c r="H141" i="169"/>
  <c r="H142" i="169"/>
  <c r="H143" i="169"/>
  <c r="H144" i="169"/>
  <c r="H145" i="169"/>
  <c r="B75" i="198"/>
  <c r="H12" i="171"/>
  <c r="H13" i="171"/>
  <c r="H14" i="171"/>
  <c r="H15" i="171"/>
  <c r="H16" i="171"/>
  <c r="H17" i="171"/>
  <c r="H18" i="171"/>
  <c r="H19" i="171"/>
  <c r="H20" i="171"/>
  <c r="H21" i="171"/>
  <c r="H22" i="171"/>
  <c r="H23" i="171"/>
  <c r="H24" i="171"/>
  <c r="M24" i="171" s="1"/>
  <c r="H25" i="171"/>
  <c r="H27" i="171"/>
  <c r="H28" i="171"/>
  <c r="H29" i="171"/>
  <c r="H30" i="171"/>
  <c r="H31" i="171"/>
  <c r="H32" i="171"/>
  <c r="H33" i="171"/>
  <c r="H34" i="171"/>
  <c r="H35" i="171"/>
  <c r="H36" i="171"/>
  <c r="H37" i="171"/>
  <c r="H38" i="171"/>
  <c r="H39" i="171"/>
  <c r="H40" i="171"/>
  <c r="H41" i="171"/>
  <c r="H42" i="171"/>
  <c r="H43" i="171"/>
  <c r="H44" i="171"/>
  <c r="H45" i="171"/>
  <c r="H46" i="171"/>
  <c r="H47" i="171"/>
  <c r="H48" i="171"/>
  <c r="H49" i="171"/>
  <c r="H50" i="171"/>
  <c r="H51" i="171"/>
  <c r="H52" i="171"/>
  <c r="H53" i="171"/>
  <c r="H54" i="171"/>
  <c r="H55" i="171"/>
  <c r="H56" i="171"/>
  <c r="H57" i="171"/>
  <c r="H58" i="171"/>
  <c r="H59" i="171"/>
  <c r="H60" i="171"/>
  <c r="H61" i="171"/>
  <c r="H62" i="171"/>
  <c r="H63" i="171"/>
  <c r="H64" i="171"/>
  <c r="H65" i="171"/>
  <c r="H66" i="171"/>
  <c r="H67" i="171"/>
  <c r="H68" i="171"/>
  <c r="H69" i="171"/>
  <c r="H70" i="171"/>
  <c r="H71" i="171"/>
  <c r="H72" i="171"/>
  <c r="H73" i="171"/>
  <c r="H74" i="171"/>
  <c r="H75" i="171"/>
  <c r="H76" i="171"/>
  <c r="B77" i="171"/>
  <c r="B212" i="235"/>
  <c r="B151" i="235"/>
  <c r="B148" i="235"/>
  <c r="F147" i="235"/>
  <c r="B147" i="235"/>
  <c r="B146" i="235"/>
  <c r="H157" i="235"/>
  <c r="H85" i="235"/>
  <c r="B80" i="235"/>
  <c r="B77" i="235"/>
  <c r="F76" i="235"/>
  <c r="B76" i="235"/>
  <c r="B75" i="235"/>
  <c r="H6" i="235"/>
  <c r="H79" i="235" s="1"/>
  <c r="H11" i="235"/>
  <c r="H91" i="192"/>
  <c r="H93" i="192"/>
  <c r="H94" i="192"/>
  <c r="H95" i="192"/>
  <c r="H96" i="192"/>
  <c r="H97" i="192"/>
  <c r="H98" i="192"/>
  <c r="H99" i="192"/>
  <c r="H100" i="192"/>
  <c r="H101" i="192"/>
  <c r="H102" i="192"/>
  <c r="H103" i="192"/>
  <c r="H104" i="192"/>
  <c r="H105" i="192"/>
  <c r="H106" i="192"/>
  <c r="H107" i="192"/>
  <c r="H108" i="192"/>
  <c r="H109" i="192"/>
  <c r="H110" i="192"/>
  <c r="H111" i="192"/>
  <c r="H112" i="192"/>
  <c r="H113" i="192"/>
  <c r="H114" i="192"/>
  <c r="H115" i="192"/>
  <c r="H116" i="192"/>
  <c r="H117" i="192"/>
  <c r="H118" i="192"/>
  <c r="H119" i="192"/>
  <c r="H120" i="192"/>
  <c r="H121" i="192"/>
  <c r="H122" i="192"/>
  <c r="H123" i="192"/>
  <c r="H124" i="192"/>
  <c r="H125" i="192"/>
  <c r="H126" i="192"/>
  <c r="H127" i="192"/>
  <c r="H128" i="192"/>
  <c r="H129" i="192"/>
  <c r="H130" i="192"/>
  <c r="H131" i="192"/>
  <c r="H132" i="192"/>
  <c r="H133" i="192"/>
  <c r="H134" i="192"/>
  <c r="H135" i="192"/>
  <c r="H136" i="192"/>
  <c r="H137" i="192"/>
  <c r="H138" i="192"/>
  <c r="H139" i="192"/>
  <c r="H141" i="192"/>
  <c r="H142" i="192"/>
  <c r="H144" i="192"/>
  <c r="H145" i="192"/>
  <c r="H146" i="192"/>
  <c r="H147" i="192"/>
  <c r="H148" i="192"/>
  <c r="H87" i="192"/>
  <c r="H11" i="192"/>
  <c r="B149" i="192"/>
  <c r="B82" i="192"/>
  <c r="B79" i="192"/>
  <c r="F78" i="192"/>
  <c r="B78" i="192"/>
  <c r="B77" i="192"/>
  <c r="K72" i="278"/>
  <c r="K93" i="278"/>
  <c r="K62" i="278"/>
  <c r="K23" i="278"/>
  <c r="K16" i="278"/>
  <c r="M20" i="281" l="1"/>
  <c r="L72" i="281"/>
  <c r="L81" i="281" s="1"/>
  <c r="L133" i="281" s="1"/>
  <c r="L142" i="281" s="1"/>
  <c r="L190" i="281" s="1"/>
  <c r="L199" i="281" s="1"/>
  <c r="L244" i="281" s="1"/>
  <c r="L253" i="281" s="1"/>
  <c r="L293" i="281" s="1"/>
  <c r="L302" i="281" s="1"/>
  <c r="L350" i="281" s="1"/>
  <c r="L359" i="281" s="1"/>
  <c r="L417" i="281" s="1"/>
  <c r="L1" i="281" s="1"/>
  <c r="M22" i="270"/>
  <c r="M24" i="270"/>
  <c r="L69" i="247"/>
  <c r="L78" i="247" s="1"/>
  <c r="L131" i="247" s="1"/>
  <c r="L140" i="247" s="1"/>
  <c r="L200" i="247" s="1"/>
  <c r="L209" i="247" s="1"/>
  <c r="L263" i="247" s="1"/>
  <c r="M24" i="281"/>
  <c r="M18" i="270"/>
  <c r="M16" i="270"/>
  <c r="H72" i="270"/>
  <c r="M18" i="281"/>
  <c r="H72" i="281"/>
  <c r="M44" i="247"/>
  <c r="L72" i="270"/>
  <c r="L81" i="270" s="1"/>
  <c r="L145" i="270" s="1"/>
  <c r="L1" i="270" s="1"/>
  <c r="N797" i="320"/>
  <c r="L801" i="320"/>
  <c r="L2" i="320"/>
  <c r="H135" i="247"/>
  <c r="H204" i="247"/>
  <c r="H76" i="250"/>
  <c r="H267" i="250"/>
  <c r="H133" i="250"/>
  <c r="H329" i="250"/>
  <c r="H200" i="250"/>
  <c r="L58" i="272"/>
  <c r="L62" i="278"/>
  <c r="L93" i="278"/>
  <c r="L20" i="278"/>
  <c r="L72" i="278"/>
  <c r="L35" i="278"/>
  <c r="L38" i="278"/>
  <c r="L76" i="278"/>
  <c r="L1" i="307"/>
  <c r="L78" i="284"/>
  <c r="L141" i="284" s="1"/>
  <c r="L150" i="284" s="1"/>
  <c r="L213" i="284" s="1"/>
  <c r="L1" i="301"/>
  <c r="L1" i="275"/>
  <c r="L202" i="271"/>
  <c r="L266" i="271" s="1"/>
  <c r="L1" i="271" s="1"/>
  <c r="H68" i="260"/>
  <c r="H77" i="192"/>
  <c r="H150" i="235"/>
  <c r="H75" i="235"/>
  <c r="B144" i="167"/>
  <c r="K43" i="278"/>
  <c r="K58" i="278"/>
  <c r="K56" i="278"/>
  <c r="K60" i="278"/>
  <c r="K78" i="278"/>
  <c r="K49" i="278"/>
  <c r="H81" i="270" l="1"/>
  <c r="H145" i="270" s="1"/>
  <c r="H81" i="281"/>
  <c r="L1" i="247"/>
  <c r="L67" i="272"/>
  <c r="L102" i="272" s="1"/>
  <c r="L111" i="272" s="1"/>
  <c r="L175" i="272" s="1"/>
  <c r="L60" i="278"/>
  <c r="L43" i="278"/>
  <c r="L78" i="278"/>
  <c r="L85" i="278"/>
  <c r="E11" i="261"/>
  <c r="E70" i="261" s="1"/>
  <c r="D97" i="278" s="1"/>
  <c r="L1" i="284"/>
  <c r="H86" i="192"/>
  <c r="H149" i="192" s="1"/>
  <c r="H1" i="192" s="1"/>
  <c r="H1" i="260"/>
  <c r="C68" i="260" s="1"/>
  <c r="H84" i="235"/>
  <c r="H146" i="235" s="1"/>
  <c r="B77" i="167"/>
  <c r="B74" i="167"/>
  <c r="F73" i="167"/>
  <c r="B73" i="167"/>
  <c r="B72" i="167"/>
  <c r="H83" i="167"/>
  <c r="H84" i="167"/>
  <c r="H85" i="167"/>
  <c r="H86" i="167"/>
  <c r="H87" i="167"/>
  <c r="H88" i="167"/>
  <c r="H89" i="167"/>
  <c r="H90" i="167"/>
  <c r="H91" i="167"/>
  <c r="H92" i="167"/>
  <c r="H93" i="167"/>
  <c r="H94" i="167"/>
  <c r="H95" i="167"/>
  <c r="H96" i="167"/>
  <c r="H97" i="167"/>
  <c r="H98" i="167"/>
  <c r="H99" i="167"/>
  <c r="H100" i="167"/>
  <c r="H101" i="167"/>
  <c r="H102" i="167"/>
  <c r="H103" i="167"/>
  <c r="H104" i="167"/>
  <c r="H105" i="167"/>
  <c r="H106" i="167"/>
  <c r="H107" i="167"/>
  <c r="H108" i="167"/>
  <c r="H109" i="167"/>
  <c r="H110" i="167"/>
  <c r="H111" i="167"/>
  <c r="H112" i="167"/>
  <c r="H113" i="167"/>
  <c r="H114" i="167"/>
  <c r="H115" i="167"/>
  <c r="H116" i="167"/>
  <c r="H117" i="167"/>
  <c r="H118" i="167"/>
  <c r="H119" i="167"/>
  <c r="H120" i="167"/>
  <c r="H121" i="167"/>
  <c r="H122" i="167"/>
  <c r="H123" i="167"/>
  <c r="H124" i="167"/>
  <c r="H125" i="167"/>
  <c r="H126" i="167"/>
  <c r="H127" i="167"/>
  <c r="H128" i="167"/>
  <c r="H129" i="167"/>
  <c r="H130" i="167"/>
  <c r="H131" i="167"/>
  <c r="H132" i="167"/>
  <c r="H133" i="167"/>
  <c r="H134" i="167"/>
  <c r="H135" i="167"/>
  <c r="H136" i="167"/>
  <c r="H137" i="167"/>
  <c r="H138" i="167"/>
  <c r="H139" i="167"/>
  <c r="H140" i="167"/>
  <c r="H141" i="167"/>
  <c r="H142" i="167"/>
  <c r="H143" i="167"/>
  <c r="H11" i="167"/>
  <c r="B305" i="166"/>
  <c r="B234" i="166"/>
  <c r="B231" i="166"/>
  <c r="F230" i="166"/>
  <c r="B230" i="166"/>
  <c r="B229" i="166"/>
  <c r="B156" i="166"/>
  <c r="B153" i="166"/>
  <c r="F152" i="166"/>
  <c r="B152" i="166"/>
  <c r="B151" i="166"/>
  <c r="B78" i="166"/>
  <c r="B75" i="166"/>
  <c r="F74" i="166"/>
  <c r="B74" i="166"/>
  <c r="B73" i="166"/>
  <c r="H6" i="166"/>
  <c r="H84" i="166"/>
  <c r="H85" i="166"/>
  <c r="H86" i="166"/>
  <c r="H87" i="166"/>
  <c r="H88" i="166"/>
  <c r="H89" i="166"/>
  <c r="H90" i="166"/>
  <c r="H91" i="166"/>
  <c r="H92" i="166"/>
  <c r="H93" i="166"/>
  <c r="H94" i="166"/>
  <c r="H95" i="166"/>
  <c r="H96" i="166"/>
  <c r="H97" i="166"/>
  <c r="H98" i="166"/>
  <c r="H99" i="166"/>
  <c r="H100" i="166"/>
  <c r="H101" i="166"/>
  <c r="H102" i="166"/>
  <c r="H103" i="166"/>
  <c r="H104" i="166"/>
  <c r="H105" i="166"/>
  <c r="H106" i="166"/>
  <c r="H107" i="166"/>
  <c r="H108" i="166"/>
  <c r="H109" i="166"/>
  <c r="H110" i="166"/>
  <c r="H111" i="166"/>
  <c r="H112" i="166"/>
  <c r="H113" i="166"/>
  <c r="H114" i="166"/>
  <c r="H115" i="166"/>
  <c r="H116" i="166"/>
  <c r="H117" i="166"/>
  <c r="H118" i="166"/>
  <c r="H119" i="166"/>
  <c r="H120" i="166"/>
  <c r="H121" i="166"/>
  <c r="H122" i="166"/>
  <c r="H123" i="166"/>
  <c r="H124" i="166"/>
  <c r="H125" i="166"/>
  <c r="H126" i="166"/>
  <c r="H127" i="166"/>
  <c r="H128" i="166"/>
  <c r="H129" i="166"/>
  <c r="H130" i="166"/>
  <c r="H131" i="166"/>
  <c r="H140" i="166"/>
  <c r="H141" i="166"/>
  <c r="H142" i="166"/>
  <c r="H143" i="166"/>
  <c r="H144" i="166"/>
  <c r="H145" i="166"/>
  <c r="H146" i="166"/>
  <c r="H147" i="166"/>
  <c r="H162" i="166"/>
  <c r="H163" i="166"/>
  <c r="H164" i="166"/>
  <c r="H165" i="166"/>
  <c r="H166" i="166"/>
  <c r="H167" i="166"/>
  <c r="H168" i="166"/>
  <c r="H169" i="166"/>
  <c r="H170" i="166"/>
  <c r="H171" i="166"/>
  <c r="H172" i="166"/>
  <c r="H173" i="166"/>
  <c r="H174" i="166"/>
  <c r="H175" i="166"/>
  <c r="H176" i="166"/>
  <c r="H177" i="166"/>
  <c r="H178" i="166"/>
  <c r="H179" i="166"/>
  <c r="H180" i="166"/>
  <c r="H181" i="166"/>
  <c r="H182" i="166"/>
  <c r="H183" i="166"/>
  <c r="H184" i="166"/>
  <c r="H185" i="166"/>
  <c r="H186" i="166"/>
  <c r="H187" i="166"/>
  <c r="H188" i="166"/>
  <c r="H189" i="166"/>
  <c r="H190" i="166"/>
  <c r="H191" i="166"/>
  <c r="H192" i="166"/>
  <c r="H193" i="166"/>
  <c r="H194" i="166"/>
  <c r="H195" i="166"/>
  <c r="H196" i="166"/>
  <c r="H197" i="166"/>
  <c r="H198" i="166"/>
  <c r="H199" i="166"/>
  <c r="H200" i="166"/>
  <c r="H201" i="166"/>
  <c r="H202" i="166"/>
  <c r="H203" i="166"/>
  <c r="H204" i="166"/>
  <c r="H205" i="166"/>
  <c r="H206" i="166"/>
  <c r="H207" i="166"/>
  <c r="H208" i="166"/>
  <c r="H209" i="166"/>
  <c r="H210" i="166"/>
  <c r="H211" i="166"/>
  <c r="H212" i="166"/>
  <c r="H222" i="166"/>
  <c r="H223" i="166"/>
  <c r="H224" i="166"/>
  <c r="H225" i="166"/>
  <c r="H226" i="166"/>
  <c r="H240" i="166"/>
  <c r="H241" i="166"/>
  <c r="H242" i="166"/>
  <c r="H243" i="166"/>
  <c r="H244" i="166"/>
  <c r="H245" i="166"/>
  <c r="H246" i="166"/>
  <c r="H247" i="166"/>
  <c r="H248" i="166"/>
  <c r="H249" i="166"/>
  <c r="H250" i="166"/>
  <c r="H251" i="166"/>
  <c r="H252" i="166"/>
  <c r="H253" i="166"/>
  <c r="H254" i="166"/>
  <c r="H255" i="166"/>
  <c r="H256" i="166"/>
  <c r="H293" i="166"/>
  <c r="H294" i="166"/>
  <c r="H295" i="166"/>
  <c r="H296" i="166"/>
  <c r="H297" i="166"/>
  <c r="H299" i="166"/>
  <c r="H300" i="166"/>
  <c r="H301" i="166"/>
  <c r="H302" i="166"/>
  <c r="H303" i="166"/>
  <c r="H304" i="166"/>
  <c r="H11" i="166"/>
  <c r="D21" i="278"/>
  <c r="K74" i="278"/>
  <c r="E37" i="254"/>
  <c r="K80" i="278"/>
  <c r="L49" i="278" l="1"/>
  <c r="H1" i="270"/>
  <c r="H133" i="281"/>
  <c r="H77" i="166"/>
  <c r="H155" i="166"/>
  <c r="H233" i="166"/>
  <c r="L1" i="272"/>
  <c r="L74" i="278"/>
  <c r="L82" i="278"/>
  <c r="L21" i="278"/>
  <c r="G21" i="278"/>
  <c r="L97" i="278"/>
  <c r="G97" i="278"/>
  <c r="G12" i="264"/>
  <c r="E1" i="261"/>
  <c r="B70" i="261" s="1"/>
  <c r="H155" i="235"/>
  <c r="H212" i="235" s="1"/>
  <c r="H72" i="167"/>
  <c r="H73" i="166"/>
  <c r="B5" i="254"/>
  <c r="B3" i="254"/>
  <c r="B2" i="254"/>
  <c r="H85" i="212"/>
  <c r="H86" i="212"/>
  <c r="H87" i="212"/>
  <c r="H88" i="212"/>
  <c r="H89" i="212"/>
  <c r="H90" i="212"/>
  <c r="H91" i="212"/>
  <c r="H92" i="212"/>
  <c r="H93" i="212"/>
  <c r="H94" i="212"/>
  <c r="H95" i="212"/>
  <c r="H96" i="212"/>
  <c r="H97" i="212"/>
  <c r="H98" i="212"/>
  <c r="H99" i="212"/>
  <c r="H100" i="212"/>
  <c r="H101" i="212"/>
  <c r="H102" i="212"/>
  <c r="H103" i="212"/>
  <c r="H104" i="212"/>
  <c r="H105" i="212"/>
  <c r="H106" i="212"/>
  <c r="H107" i="212"/>
  <c r="H108" i="212"/>
  <c r="H109" i="212"/>
  <c r="H110" i="212"/>
  <c r="H111" i="212"/>
  <c r="H112" i="212"/>
  <c r="H113" i="212"/>
  <c r="H114" i="212"/>
  <c r="H115" i="212"/>
  <c r="H116" i="212"/>
  <c r="H117" i="212"/>
  <c r="H118" i="212"/>
  <c r="H119" i="212"/>
  <c r="H120" i="212"/>
  <c r="H121" i="212"/>
  <c r="H122" i="212"/>
  <c r="H123" i="212"/>
  <c r="H124" i="212"/>
  <c r="H125" i="212"/>
  <c r="H126" i="212"/>
  <c r="H127" i="212"/>
  <c r="H128" i="212"/>
  <c r="H129" i="212"/>
  <c r="H130" i="212"/>
  <c r="H131" i="212"/>
  <c r="H132" i="212"/>
  <c r="H133" i="212"/>
  <c r="H134" i="212"/>
  <c r="H135" i="212"/>
  <c r="H136" i="212"/>
  <c r="H137" i="212"/>
  <c r="H138" i="212"/>
  <c r="H139" i="212"/>
  <c r="H84" i="212"/>
  <c r="B228" i="212"/>
  <c r="B157" i="212"/>
  <c r="B154" i="212"/>
  <c r="F153" i="212"/>
  <c r="B153" i="212"/>
  <c r="B152" i="212"/>
  <c r="H12" i="212"/>
  <c r="H13" i="212"/>
  <c r="H14" i="212"/>
  <c r="H15" i="212"/>
  <c r="H16" i="212"/>
  <c r="H18" i="212"/>
  <c r="H19" i="212"/>
  <c r="H20" i="212"/>
  <c r="H21" i="212"/>
  <c r="H22" i="212"/>
  <c r="H23" i="212"/>
  <c r="H24" i="212"/>
  <c r="M24" i="212" s="1"/>
  <c r="H25" i="212"/>
  <c r="H26" i="212"/>
  <c r="M26" i="212" s="1"/>
  <c r="H27" i="212"/>
  <c r="H28" i="212"/>
  <c r="M28" i="212" s="1"/>
  <c r="B79" i="212"/>
  <c r="B76" i="212"/>
  <c r="F75" i="212"/>
  <c r="B75" i="212"/>
  <c r="B74" i="212"/>
  <c r="D56" i="278"/>
  <c r="K64" i="278"/>
  <c r="L56" i="278" l="1"/>
  <c r="G56" i="278"/>
  <c r="I56" i="278" s="1"/>
  <c r="S56" i="278" s="1"/>
  <c r="C72" i="270"/>
  <c r="C145" i="270"/>
  <c r="H142" i="281"/>
  <c r="H1" i="235"/>
  <c r="L64" i="278"/>
  <c r="K98" i="278"/>
  <c r="K100" i="278" s="1"/>
  <c r="H81" i="167"/>
  <c r="H144" i="167" s="1"/>
  <c r="H82" i="166"/>
  <c r="H151" i="166" s="1"/>
  <c r="H6" i="212"/>
  <c r="B219" i="211"/>
  <c r="B153" i="211"/>
  <c r="B150" i="211"/>
  <c r="F149" i="211"/>
  <c r="B149" i="211"/>
  <c r="B148" i="211"/>
  <c r="B76" i="211"/>
  <c r="B73" i="211"/>
  <c r="F72" i="211"/>
  <c r="B72" i="211"/>
  <c r="B71" i="211"/>
  <c r="H82" i="211"/>
  <c r="H83" i="211"/>
  <c r="H84" i="211"/>
  <c r="H89" i="211"/>
  <c r="H90" i="211"/>
  <c r="H91" i="211"/>
  <c r="H94" i="211"/>
  <c r="H95" i="211"/>
  <c r="H96" i="211"/>
  <c r="H97" i="211"/>
  <c r="H98" i="211"/>
  <c r="H99" i="211"/>
  <c r="H100" i="211"/>
  <c r="H101" i="211"/>
  <c r="H102" i="211"/>
  <c r="H103" i="211"/>
  <c r="H104" i="211"/>
  <c r="H105" i="211"/>
  <c r="H106" i="211"/>
  <c r="H107" i="211"/>
  <c r="H108" i="211"/>
  <c r="H109" i="211"/>
  <c r="H110" i="211"/>
  <c r="H111" i="211"/>
  <c r="H112" i="211"/>
  <c r="H113" i="211"/>
  <c r="H114" i="211"/>
  <c r="H115" i="211"/>
  <c r="H116" i="211"/>
  <c r="H117" i="211"/>
  <c r="H118" i="211"/>
  <c r="H119" i="211"/>
  <c r="H120" i="211"/>
  <c r="H121" i="211"/>
  <c r="H122" i="211"/>
  <c r="H123" i="211"/>
  <c r="H124" i="211"/>
  <c r="H125" i="211"/>
  <c r="H126" i="211"/>
  <c r="H127" i="211"/>
  <c r="H128" i="211"/>
  <c r="H129" i="211"/>
  <c r="H130" i="211"/>
  <c r="H131" i="211"/>
  <c r="H132" i="211"/>
  <c r="H133" i="211"/>
  <c r="H134" i="211"/>
  <c r="H135" i="211"/>
  <c r="H136" i="211"/>
  <c r="H139" i="211"/>
  <c r="H140" i="211"/>
  <c r="H147" i="211"/>
  <c r="H158" i="211"/>
  <c r="H159" i="211"/>
  <c r="H160" i="211"/>
  <c r="H161" i="211"/>
  <c r="H163" i="211"/>
  <c r="H164" i="211"/>
  <c r="H165" i="211"/>
  <c r="H166" i="211"/>
  <c r="H167" i="211"/>
  <c r="H168" i="211"/>
  <c r="H169" i="211"/>
  <c r="H170" i="211"/>
  <c r="H171" i="211"/>
  <c r="H172" i="211"/>
  <c r="H173" i="211"/>
  <c r="H174" i="211"/>
  <c r="H175" i="211"/>
  <c r="H176" i="211"/>
  <c r="H177" i="211"/>
  <c r="H178" i="211"/>
  <c r="H179" i="211"/>
  <c r="H180" i="211"/>
  <c r="H181" i="211"/>
  <c r="H182" i="211"/>
  <c r="H183" i="211"/>
  <c r="H184" i="211"/>
  <c r="H185" i="211"/>
  <c r="H186" i="211"/>
  <c r="H187" i="211"/>
  <c r="H188" i="211"/>
  <c r="H189" i="211"/>
  <c r="H190" i="211"/>
  <c r="H191" i="211"/>
  <c r="H192" i="211"/>
  <c r="H193" i="211"/>
  <c r="H194" i="211"/>
  <c r="H195" i="211"/>
  <c r="H196" i="211"/>
  <c r="E23" i="254"/>
  <c r="D14" i="278"/>
  <c r="O56" i="278" l="1"/>
  <c r="G14" i="278"/>
  <c r="P56" i="278"/>
  <c r="R56" i="278"/>
  <c r="Q56" i="278"/>
  <c r="T56" i="278"/>
  <c r="H190" i="281"/>
  <c r="L14" i="278"/>
  <c r="C212" i="235"/>
  <c r="C75" i="235"/>
  <c r="C146" i="235"/>
  <c r="H160" i="166"/>
  <c r="H229" i="166" s="1"/>
  <c r="H78" i="212"/>
  <c r="H156" i="212"/>
  <c r="H71" i="211"/>
  <c r="H80" i="211" s="1"/>
  <c r="H148" i="211" s="1"/>
  <c r="B7" i="159"/>
  <c r="B7" i="161"/>
  <c r="B7" i="162"/>
  <c r="B7" i="163"/>
  <c r="B7" i="211"/>
  <c r="B7" i="212"/>
  <c r="B7" i="235"/>
  <c r="B7" i="166"/>
  <c r="B7" i="167"/>
  <c r="B7" i="168"/>
  <c r="B7" i="169"/>
  <c r="B7" i="171"/>
  <c r="B7" i="250"/>
  <c r="B7" i="247"/>
  <c r="B7" i="193"/>
  <c r="B7" i="198"/>
  <c r="B7" i="199"/>
  <c r="B7" i="200"/>
  <c r="B7" i="192"/>
  <c r="H6" i="159"/>
  <c r="H6" i="161"/>
  <c r="H6" i="162"/>
  <c r="H6" i="163"/>
  <c r="H6" i="211"/>
  <c r="H152" i="211" s="1"/>
  <c r="H6" i="167"/>
  <c r="H6" i="168"/>
  <c r="H6" i="169"/>
  <c r="H80" i="169" s="1"/>
  <c r="H6" i="171"/>
  <c r="H73" i="247"/>
  <c r="H6" i="193"/>
  <c r="H140" i="193" s="1"/>
  <c r="H6" i="198"/>
  <c r="H6" i="199"/>
  <c r="H77" i="199" s="1"/>
  <c r="H6" i="200"/>
  <c r="H77" i="200" s="1"/>
  <c r="H6" i="192"/>
  <c r="B4" i="159"/>
  <c r="B4" i="161"/>
  <c r="B4" i="162"/>
  <c r="B4" i="163"/>
  <c r="B4" i="211"/>
  <c r="B4" i="212"/>
  <c r="B4" i="235"/>
  <c r="B4" i="166"/>
  <c r="B4" i="167"/>
  <c r="B4" i="168"/>
  <c r="B4" i="169"/>
  <c r="B4" i="171"/>
  <c r="B4" i="250"/>
  <c r="B4" i="247"/>
  <c r="B4" i="193"/>
  <c r="B4" i="198"/>
  <c r="B4" i="199"/>
  <c r="B4" i="200"/>
  <c r="B4" i="192"/>
  <c r="B3" i="159"/>
  <c r="B3" i="161"/>
  <c r="B3" i="162"/>
  <c r="B3" i="163"/>
  <c r="B3" i="211"/>
  <c r="B3" i="212"/>
  <c r="B3" i="235"/>
  <c r="B3" i="166"/>
  <c r="B3" i="167"/>
  <c r="B3" i="168"/>
  <c r="B3" i="169"/>
  <c r="B3" i="171"/>
  <c r="B3" i="250"/>
  <c r="B3" i="247"/>
  <c r="B3" i="193"/>
  <c r="B3" i="198"/>
  <c r="B3" i="199"/>
  <c r="B3" i="200"/>
  <c r="B3" i="192"/>
  <c r="F3" i="159"/>
  <c r="F3" i="161"/>
  <c r="F3" i="162"/>
  <c r="F3" i="163"/>
  <c r="F3" i="211"/>
  <c r="F3" i="212"/>
  <c r="F3" i="235"/>
  <c r="F3" i="166"/>
  <c r="F3" i="167"/>
  <c r="F3" i="168"/>
  <c r="F3" i="169"/>
  <c r="F3" i="171"/>
  <c r="F3" i="250"/>
  <c r="F3" i="247"/>
  <c r="F3" i="193"/>
  <c r="F3" i="198"/>
  <c r="F3" i="199"/>
  <c r="F3" i="200"/>
  <c r="F3" i="192"/>
  <c r="H11" i="250"/>
  <c r="H72" i="250" s="1"/>
  <c r="H11" i="247"/>
  <c r="H79" i="247"/>
  <c r="H80" i="247"/>
  <c r="H81" i="247"/>
  <c r="H82" i="247"/>
  <c r="H87" i="247"/>
  <c r="H88" i="247"/>
  <c r="H91" i="247"/>
  <c r="H92" i="247"/>
  <c r="H93" i="247"/>
  <c r="H94" i="247"/>
  <c r="H95" i="247"/>
  <c r="H96" i="247"/>
  <c r="H98" i="247"/>
  <c r="H99" i="247"/>
  <c r="H100" i="247"/>
  <c r="H101" i="247"/>
  <c r="H102" i="247"/>
  <c r="H103" i="247"/>
  <c r="H104" i="247"/>
  <c r="H105" i="247"/>
  <c r="H106" i="247"/>
  <c r="H107" i="247"/>
  <c r="H108" i="247"/>
  <c r="H109" i="247"/>
  <c r="H110" i="247"/>
  <c r="H111" i="247"/>
  <c r="H112" i="247"/>
  <c r="H113" i="247"/>
  <c r="H114" i="247"/>
  <c r="H115" i="247"/>
  <c r="H116" i="247"/>
  <c r="H117" i="247"/>
  <c r="H118" i="247"/>
  <c r="H119" i="247"/>
  <c r="H120" i="247"/>
  <c r="H121" i="247"/>
  <c r="H122" i="247"/>
  <c r="H123" i="247"/>
  <c r="H124" i="247"/>
  <c r="H129" i="247"/>
  <c r="H142" i="247"/>
  <c r="H143" i="247"/>
  <c r="H144" i="247"/>
  <c r="H145" i="247"/>
  <c r="H146" i="247"/>
  <c r="H147" i="247"/>
  <c r="H148" i="247"/>
  <c r="H149" i="247"/>
  <c r="H150" i="247"/>
  <c r="H151" i="247"/>
  <c r="H152" i="247"/>
  <c r="H153" i="247"/>
  <c r="H154" i="247"/>
  <c r="H157" i="247"/>
  <c r="H158" i="247"/>
  <c r="H159" i="247"/>
  <c r="H160" i="247"/>
  <c r="H175" i="247"/>
  <c r="H176" i="247"/>
  <c r="H177" i="247"/>
  <c r="H178" i="247"/>
  <c r="H179" i="247"/>
  <c r="H180" i="247"/>
  <c r="H181" i="247"/>
  <c r="H182" i="247"/>
  <c r="H199" i="247"/>
  <c r="H211" i="247"/>
  <c r="H212" i="247"/>
  <c r="H213" i="247"/>
  <c r="H216" i="247"/>
  <c r="H217" i="247"/>
  <c r="H218" i="247"/>
  <c r="H219" i="247"/>
  <c r="H220" i="247"/>
  <c r="H221" i="247"/>
  <c r="H222" i="247"/>
  <c r="H223" i="247"/>
  <c r="H224" i="247"/>
  <c r="H225" i="247"/>
  <c r="H226" i="247"/>
  <c r="H227" i="247"/>
  <c r="H228" i="247"/>
  <c r="H229" i="247"/>
  <c r="H230" i="247"/>
  <c r="H231" i="247"/>
  <c r="H232" i="247"/>
  <c r="H233" i="247"/>
  <c r="H234" i="247"/>
  <c r="H235" i="247"/>
  <c r="H236" i="247"/>
  <c r="H237" i="247"/>
  <c r="H238" i="247"/>
  <c r="H239" i="247"/>
  <c r="H240" i="247"/>
  <c r="H241" i="247"/>
  <c r="H242" i="247"/>
  <c r="H243" i="247"/>
  <c r="H247" i="247"/>
  <c r="H249" i="247"/>
  <c r="H252" i="247"/>
  <c r="H253" i="247"/>
  <c r="H199" i="281" l="1"/>
  <c r="H190" i="168"/>
  <c r="H128" i="168"/>
  <c r="H238" i="166"/>
  <c r="H76" i="167"/>
  <c r="H1" i="167" s="1"/>
  <c r="H81" i="192"/>
  <c r="H70" i="163"/>
  <c r="H143" i="163"/>
  <c r="H138" i="162"/>
  <c r="H216" i="162"/>
  <c r="H75" i="162"/>
  <c r="H146" i="159"/>
  <c r="H80" i="159"/>
  <c r="H81" i="250"/>
  <c r="H129" i="250" s="1"/>
  <c r="H69" i="247"/>
  <c r="H75" i="193"/>
  <c r="H73" i="168"/>
  <c r="H157" i="211"/>
  <c r="H75" i="211"/>
  <c r="E27" i="254"/>
  <c r="D16" i="278"/>
  <c r="H244" i="281" l="1"/>
  <c r="G16" i="278"/>
  <c r="L16" i="278"/>
  <c r="C72" i="167"/>
  <c r="C144" i="167"/>
  <c r="H305" i="166"/>
  <c r="H1" i="166" s="1"/>
  <c r="H78" i="247"/>
  <c r="H131" i="247" s="1"/>
  <c r="H138" i="250"/>
  <c r="H196" i="250" s="1"/>
  <c r="H219" i="211"/>
  <c r="C77" i="192"/>
  <c r="C149" i="192"/>
  <c r="E25" i="254"/>
  <c r="D15" i="278"/>
  <c r="H253" i="281" l="1"/>
  <c r="L15" i="278"/>
  <c r="H140" i="247"/>
  <c r="H200" i="247" s="1"/>
  <c r="C305" i="166"/>
  <c r="C73" i="166"/>
  <c r="C151" i="166"/>
  <c r="C229" i="166"/>
  <c r="H205" i="250"/>
  <c r="H263" i="250" s="1"/>
  <c r="H293" i="281" l="1"/>
  <c r="H209" i="247"/>
  <c r="H263" i="247" s="1"/>
  <c r="H272" i="250"/>
  <c r="H325" i="250" s="1"/>
  <c r="H302" i="281" l="1"/>
  <c r="H350" i="281" s="1"/>
  <c r="H1" i="247"/>
  <c r="H334" i="250"/>
  <c r="D80" i="278"/>
  <c r="C69" i="247" l="1"/>
  <c r="C131" i="247"/>
  <c r="C200" i="247"/>
  <c r="C263" i="247"/>
  <c r="H359" i="281"/>
  <c r="H417" i="281" s="1"/>
  <c r="L80" i="278"/>
  <c r="G80" i="278"/>
  <c r="I80" i="278" s="1"/>
  <c r="H394" i="250"/>
  <c r="H1" i="250" s="1"/>
  <c r="E31" i="254"/>
  <c r="D18" i="278"/>
  <c r="H1" i="281" l="1"/>
  <c r="T80" i="278"/>
  <c r="R80" i="278"/>
  <c r="P80" i="278"/>
  <c r="S80" i="278"/>
  <c r="Q80" i="278"/>
  <c r="O80" i="278"/>
  <c r="L18" i="278"/>
  <c r="G18" i="278"/>
  <c r="C394" i="250"/>
  <c r="C72" i="250"/>
  <c r="C129" i="250"/>
  <c r="C196" i="250"/>
  <c r="C263" i="250"/>
  <c r="C325" i="250"/>
  <c r="B144" i="163"/>
  <c r="B141" i="163"/>
  <c r="F140" i="163"/>
  <c r="B140" i="163"/>
  <c r="B139" i="163"/>
  <c r="B71" i="163"/>
  <c r="B68" i="163"/>
  <c r="F67" i="163"/>
  <c r="B67" i="163"/>
  <c r="B66" i="163"/>
  <c r="M14" i="163"/>
  <c r="H149" i="163"/>
  <c r="H223" i="162"/>
  <c r="H224" i="162"/>
  <c r="H225" i="162"/>
  <c r="H226" i="162"/>
  <c r="H227" i="162"/>
  <c r="H228" i="162"/>
  <c r="H229" i="162"/>
  <c r="H230" i="162"/>
  <c r="H231" i="162"/>
  <c r="H232" i="162"/>
  <c r="H233" i="162"/>
  <c r="H234" i="162"/>
  <c r="H235" i="162"/>
  <c r="H236" i="162"/>
  <c r="H237" i="162"/>
  <c r="H238" i="162"/>
  <c r="H239" i="162"/>
  <c r="H240" i="162"/>
  <c r="H241" i="162"/>
  <c r="H242" i="162"/>
  <c r="H243" i="162"/>
  <c r="H244" i="162"/>
  <c r="H245" i="162"/>
  <c r="H246" i="162"/>
  <c r="H247" i="162"/>
  <c r="H248" i="162"/>
  <c r="H249" i="162"/>
  <c r="H250" i="162"/>
  <c r="H251" i="162"/>
  <c r="H252" i="162"/>
  <c r="H253" i="162"/>
  <c r="H254" i="162"/>
  <c r="H255" i="162"/>
  <c r="H256" i="162"/>
  <c r="H257" i="162"/>
  <c r="H259" i="162"/>
  <c r="H260" i="162"/>
  <c r="H261" i="162"/>
  <c r="H262" i="162"/>
  <c r="H263" i="162"/>
  <c r="H264" i="162"/>
  <c r="H265" i="162"/>
  <c r="H266" i="162"/>
  <c r="H267" i="162"/>
  <c r="H268" i="162"/>
  <c r="H269" i="162"/>
  <c r="H270" i="162"/>
  <c r="H271" i="162"/>
  <c r="H272" i="162"/>
  <c r="H273" i="162"/>
  <c r="H274" i="162"/>
  <c r="H222" i="162"/>
  <c r="H145" i="162"/>
  <c r="H146" i="162"/>
  <c r="H147" i="162"/>
  <c r="H148" i="162"/>
  <c r="H149" i="162"/>
  <c r="H150" i="162"/>
  <c r="H151" i="162"/>
  <c r="H152" i="162"/>
  <c r="H153" i="162"/>
  <c r="H154" i="162"/>
  <c r="H155" i="162"/>
  <c r="H156" i="162"/>
  <c r="H157" i="162"/>
  <c r="H158" i="162"/>
  <c r="H159" i="162"/>
  <c r="H164" i="162"/>
  <c r="H165" i="162"/>
  <c r="H166" i="162"/>
  <c r="H167" i="162"/>
  <c r="H168" i="162"/>
  <c r="H169" i="162"/>
  <c r="H170" i="162"/>
  <c r="H171" i="162"/>
  <c r="H172" i="162"/>
  <c r="H173" i="162"/>
  <c r="H190" i="162"/>
  <c r="H191" i="162"/>
  <c r="H192" i="162"/>
  <c r="H193" i="162"/>
  <c r="H194" i="162"/>
  <c r="H195" i="162"/>
  <c r="H196" i="162"/>
  <c r="H197" i="162"/>
  <c r="H198" i="162"/>
  <c r="H199" i="162"/>
  <c r="H200" i="162"/>
  <c r="H201" i="162"/>
  <c r="H202" i="162"/>
  <c r="H203" i="162"/>
  <c r="H204" i="162"/>
  <c r="H205" i="162"/>
  <c r="H206" i="162"/>
  <c r="H207" i="162"/>
  <c r="H208" i="162"/>
  <c r="H209" i="162"/>
  <c r="H210" i="162"/>
  <c r="H211" i="162"/>
  <c r="H144" i="162"/>
  <c r="H109" i="162"/>
  <c r="H110" i="162"/>
  <c r="H111" i="162"/>
  <c r="H112" i="162"/>
  <c r="H113" i="162"/>
  <c r="H114" i="162"/>
  <c r="H115" i="162"/>
  <c r="H116" i="162"/>
  <c r="H117" i="162"/>
  <c r="H118" i="162"/>
  <c r="M118" i="162" s="1"/>
  <c r="H119" i="162"/>
  <c r="H120" i="162"/>
  <c r="H121" i="162"/>
  <c r="H122" i="162"/>
  <c r="H123" i="162"/>
  <c r="H124" i="162"/>
  <c r="H126" i="162"/>
  <c r="H127" i="162"/>
  <c r="H128" i="162"/>
  <c r="H81" i="162"/>
  <c r="H82" i="162"/>
  <c r="H83" i="162"/>
  <c r="H84" i="162"/>
  <c r="H85" i="162"/>
  <c r="H86" i="162"/>
  <c r="H87" i="162"/>
  <c r="H88" i="162"/>
  <c r="H89" i="162"/>
  <c r="H90" i="162"/>
  <c r="H91" i="162"/>
  <c r="H92" i="162"/>
  <c r="H93" i="162"/>
  <c r="H94" i="162"/>
  <c r="H95" i="162"/>
  <c r="H96" i="162"/>
  <c r="H97" i="162"/>
  <c r="H98" i="162"/>
  <c r="H99" i="162"/>
  <c r="H100" i="162"/>
  <c r="H101" i="162"/>
  <c r="H102" i="162"/>
  <c r="H103" i="162"/>
  <c r="H104" i="162"/>
  <c r="M104" i="162" s="1"/>
  <c r="H105" i="162"/>
  <c r="H106" i="162"/>
  <c r="H107" i="162"/>
  <c r="B217" i="162"/>
  <c r="B214" i="162"/>
  <c r="F213" i="162"/>
  <c r="B213" i="162"/>
  <c r="B212" i="162"/>
  <c r="B134" i="162"/>
  <c r="B71" i="162"/>
  <c r="B139" i="162"/>
  <c r="B136" i="162"/>
  <c r="F135" i="162"/>
  <c r="B135" i="162"/>
  <c r="B76" i="162"/>
  <c r="B73" i="162"/>
  <c r="F72" i="162"/>
  <c r="B72" i="162"/>
  <c r="B147" i="159"/>
  <c r="B144" i="159"/>
  <c r="F143" i="159"/>
  <c r="B143" i="159"/>
  <c r="B81" i="159"/>
  <c r="B78" i="159"/>
  <c r="F77" i="159"/>
  <c r="B77" i="159"/>
  <c r="D58" i="278"/>
  <c r="C417" i="281" l="1"/>
  <c r="C72" i="281"/>
  <c r="C133" i="281"/>
  <c r="C190" i="281"/>
  <c r="C244" i="281"/>
  <c r="C293" i="281"/>
  <c r="C350" i="281"/>
  <c r="G58" i="278"/>
  <c r="I58" i="278" s="1"/>
  <c r="L58" i="278"/>
  <c r="H11" i="212"/>
  <c r="H11" i="211"/>
  <c r="H1" i="211" s="1"/>
  <c r="E19" i="254"/>
  <c r="D12" i="278"/>
  <c r="T58" i="278" l="1"/>
  <c r="S58" i="278"/>
  <c r="R58" i="278"/>
  <c r="Q58" i="278"/>
  <c r="P58" i="278"/>
  <c r="O58" i="278"/>
  <c r="L12" i="278"/>
  <c r="C71" i="211"/>
  <c r="C148" i="211"/>
  <c r="C219" i="211"/>
  <c r="H74" i="212"/>
  <c r="H83" i="212" l="1"/>
  <c r="H152" i="212" s="1"/>
  <c r="H153" i="159"/>
  <c r="H154" i="159"/>
  <c r="H155" i="159"/>
  <c r="H156" i="159"/>
  <c r="H157" i="159"/>
  <c r="H158" i="159"/>
  <c r="H159" i="159"/>
  <c r="H160" i="159"/>
  <c r="H161" i="159"/>
  <c r="H162" i="159"/>
  <c r="H163" i="159"/>
  <c r="H164" i="159"/>
  <c r="H165" i="159"/>
  <c r="H166" i="159"/>
  <c r="H167" i="159"/>
  <c r="H168" i="159"/>
  <c r="H169" i="159"/>
  <c r="H170" i="159"/>
  <c r="H171" i="159"/>
  <c r="H172" i="159"/>
  <c r="H173" i="159"/>
  <c r="H174" i="159"/>
  <c r="H175" i="159"/>
  <c r="H200" i="159"/>
  <c r="H86" i="159"/>
  <c r="M34" i="159"/>
  <c r="M58" i="159"/>
  <c r="H11" i="162"/>
  <c r="H71" i="162" s="1"/>
  <c r="H80" i="162" s="1"/>
  <c r="H11" i="159"/>
  <c r="B76" i="159"/>
  <c r="B142" i="159" s="1"/>
  <c r="H161" i="212" l="1"/>
  <c r="H228" i="212" s="1"/>
  <c r="H76" i="159"/>
  <c r="H1" i="212" l="1"/>
  <c r="H85" i="159"/>
  <c r="H142" i="159" s="1"/>
  <c r="H13" i="200"/>
  <c r="H73" i="200" s="1"/>
  <c r="H13" i="199"/>
  <c r="H73" i="199" s="1"/>
  <c r="H13" i="198"/>
  <c r="H75" i="198" s="1"/>
  <c r="H13" i="193"/>
  <c r="H71" i="193" s="1"/>
  <c r="H11" i="171"/>
  <c r="H77" i="171" s="1"/>
  <c r="H11" i="169"/>
  <c r="H76" i="169" s="1"/>
  <c r="H11" i="168"/>
  <c r="H69" i="168" s="1"/>
  <c r="B209" i="163"/>
  <c r="H11" i="163"/>
  <c r="B275" i="162"/>
  <c r="H108" i="162"/>
  <c r="H134" i="162" s="1"/>
  <c r="H143" i="162" s="1"/>
  <c r="H212" i="162" s="1"/>
  <c r="B78" i="161"/>
  <c r="H11" i="161"/>
  <c r="B201" i="159"/>
  <c r="D13" i="278"/>
  <c r="E21" i="254"/>
  <c r="C152" i="212" l="1"/>
  <c r="G13" i="278"/>
  <c r="L13" i="278"/>
  <c r="C74" i="212"/>
  <c r="C228" i="212"/>
  <c r="H1" i="171"/>
  <c r="H1" i="198"/>
  <c r="H82" i="200"/>
  <c r="H148" i="200" s="1"/>
  <c r="H1" i="200" s="1"/>
  <c r="H82" i="199"/>
  <c r="H148" i="199" s="1"/>
  <c r="H1" i="199" s="1"/>
  <c r="H80" i="193"/>
  <c r="H136" i="193" s="1"/>
  <c r="H145" i="193" s="1"/>
  <c r="H205" i="193" s="1"/>
  <c r="H1" i="193" s="1"/>
  <c r="H85" i="169"/>
  <c r="H146" i="169" s="1"/>
  <c r="H78" i="168"/>
  <c r="H124" i="168" s="1"/>
  <c r="H133" i="168" s="1"/>
  <c r="H186" i="168" s="1"/>
  <c r="H195" i="168" s="1"/>
  <c r="H246" i="168" s="1"/>
  <c r="H151" i="159"/>
  <c r="H201" i="159" s="1"/>
  <c r="H221" i="162"/>
  <c r="H275" i="162" s="1"/>
  <c r="H66" i="163"/>
  <c r="H75" i="163" s="1"/>
  <c r="H78" i="161"/>
  <c r="H1" i="161" s="1"/>
  <c r="E19" i="318"/>
  <c r="D24" i="278"/>
  <c r="D23" i="278"/>
  <c r="E13" i="254"/>
  <c r="D26" i="278"/>
  <c r="E13" i="318"/>
  <c r="D25" i="278"/>
  <c r="E17" i="318"/>
  <c r="E15" i="318"/>
  <c r="D9" i="278"/>
  <c r="E29" i="254"/>
  <c r="D17" i="278"/>
  <c r="C73" i="200" l="1"/>
  <c r="C73" i="199"/>
  <c r="C71" i="193"/>
  <c r="C75" i="198"/>
  <c r="H1" i="162"/>
  <c r="L25" i="278"/>
  <c r="G25" i="278"/>
  <c r="L26" i="278"/>
  <c r="G26" i="278"/>
  <c r="L23" i="278"/>
  <c r="G23" i="278"/>
  <c r="L17" i="278"/>
  <c r="G17" i="278"/>
  <c r="L9" i="278"/>
  <c r="G9" i="278"/>
  <c r="L24" i="278"/>
  <c r="G24" i="278"/>
  <c r="C77" i="171"/>
  <c r="H1" i="169"/>
  <c r="C148" i="200"/>
  <c r="C148" i="199"/>
  <c r="C205" i="193"/>
  <c r="C136" i="193"/>
  <c r="H1" i="168"/>
  <c r="C78" i="161"/>
  <c r="H1" i="159"/>
  <c r="H139" i="163"/>
  <c r="D10" i="278"/>
  <c r="E15" i="254"/>
  <c r="D68" i="278"/>
  <c r="D69" i="278"/>
  <c r="E11" i="254"/>
  <c r="D8" i="278"/>
  <c r="C76" i="159" l="1"/>
  <c r="C71" i="162"/>
  <c r="C146" i="169"/>
  <c r="L10" i="278"/>
  <c r="C134" i="162"/>
  <c r="C275" i="162"/>
  <c r="C212" i="162"/>
  <c r="L69" i="278"/>
  <c r="G69" i="278"/>
  <c r="L68" i="278"/>
  <c r="G68" i="278"/>
  <c r="C76" i="169"/>
  <c r="C201" i="159"/>
  <c r="C246" i="168"/>
  <c r="C69" i="168"/>
  <c r="C124" i="168"/>
  <c r="C186" i="168"/>
  <c r="G12" i="278"/>
  <c r="G10" i="278"/>
  <c r="C142" i="159"/>
  <c r="H148" i="163"/>
  <c r="H209" i="163" s="1"/>
  <c r="I69" i="278" l="1"/>
  <c r="Q69" i="278" s="1"/>
  <c r="H1" i="163"/>
  <c r="L8" i="278"/>
  <c r="G8" i="278"/>
  <c r="E17" i="254"/>
  <c r="D11" i="278"/>
  <c r="S69" i="278" l="1"/>
  <c r="R69" i="278"/>
  <c r="P69" i="278"/>
  <c r="T69" i="278"/>
  <c r="O69" i="278"/>
  <c r="D96" i="278"/>
  <c r="L11" i="278"/>
  <c r="G11" i="278"/>
  <c r="E55" i="318"/>
  <c r="E73" i="254"/>
  <c r="C139" i="163"/>
  <c r="C66" i="163"/>
  <c r="C209" i="163"/>
  <c r="G15" i="278"/>
  <c r="L96" i="278" l="1"/>
  <c r="D98" i="278"/>
  <c r="H31" i="278" s="1"/>
  <c r="G96" i="278"/>
  <c r="G98" i="278" s="1"/>
  <c r="D100" i="278" s="1"/>
  <c r="E64" i="318"/>
  <c r="E82" i="254"/>
  <c r="E144" i="254" s="1"/>
  <c r="D20" i="322" l="1"/>
  <c r="H13" i="278"/>
  <c r="H14" i="278"/>
  <c r="H54" i="278"/>
  <c r="H19" i="278"/>
  <c r="H11" i="278"/>
  <c r="H87" i="278"/>
  <c r="H46" i="278"/>
  <c r="H48" i="278"/>
  <c r="H49" i="278"/>
  <c r="H40" i="278"/>
  <c r="H83" i="278"/>
  <c r="H20" i="278"/>
  <c r="H85" i="278"/>
  <c r="H38" i="278"/>
  <c r="H45" i="278"/>
  <c r="H37" i="278"/>
  <c r="H41" i="278"/>
  <c r="H43" i="278"/>
  <c r="H28" i="278"/>
  <c r="I98" i="278" s="1"/>
  <c r="H35" i="278"/>
  <c r="H93" i="278"/>
  <c r="H92" i="278"/>
  <c r="H36" i="278"/>
  <c r="H47" i="278"/>
  <c r="H88" i="278"/>
  <c r="H89" i="278"/>
  <c r="H29" i="278"/>
  <c r="H34" i="278"/>
  <c r="H91" i="278"/>
  <c r="H82" i="278"/>
  <c r="H76" i="278"/>
  <c r="H72" i="278"/>
  <c r="H71" i="278"/>
  <c r="H74" i="278"/>
  <c r="H78" i="278"/>
  <c r="H64" i="278"/>
  <c r="H62" i="278"/>
  <c r="H60" i="278"/>
  <c r="H15" i="278"/>
  <c r="H112" i="278"/>
  <c r="H16" i="278"/>
  <c r="H9" i="278"/>
  <c r="H10" i="278"/>
  <c r="H58" i="278"/>
  <c r="H56" i="278"/>
  <c r="H17" i="278"/>
  <c r="H12" i="278"/>
  <c r="H23" i="278"/>
  <c r="H24" i="278"/>
  <c r="H110" i="278"/>
  <c r="H51" i="278"/>
  <c r="H52" i="278"/>
  <c r="H26" i="278"/>
  <c r="H21" i="278"/>
  <c r="H25" i="278"/>
  <c r="H68" i="278"/>
  <c r="H113" i="278"/>
  <c r="H111" i="278"/>
  <c r="D101" i="278"/>
  <c r="H109" i="278"/>
  <c r="H97" i="278"/>
  <c r="H80" i="278"/>
  <c r="H8" i="278"/>
  <c r="H18" i="278"/>
  <c r="H69" i="278"/>
  <c r="H96" i="278"/>
  <c r="F98" i="278"/>
  <c r="H98" i="278"/>
  <c r="E126" i="318"/>
  <c r="G11" i="264" s="1"/>
  <c r="G10" i="264"/>
  <c r="E1" i="254"/>
  <c r="B73" i="254" s="1"/>
  <c r="F32" i="262" l="1"/>
  <c r="F36" i="262"/>
  <c r="F38" i="262" s="1"/>
  <c r="F100" i="278"/>
  <c r="B102" i="278"/>
  <c r="D102" i="278"/>
  <c r="E1" i="318"/>
  <c r="B55" i="318" s="1"/>
  <c r="B144" i="254"/>
  <c r="F102" i="278" l="1"/>
  <c r="G13" i="228"/>
  <c r="B126" i="318"/>
  <c r="H36" i="262"/>
  <c r="H38" i="262"/>
  <c r="F34" i="262"/>
  <c r="H34" i="262" s="1"/>
  <c r="H32" i="262"/>
  <c r="H54" i="262" l="1"/>
  <c r="L1" i="262" s="1"/>
  <c r="H63" i="262" l="1"/>
  <c r="H123" i="262" s="1"/>
  <c r="E11" i="263" l="1"/>
  <c r="E73" i="263" s="1"/>
  <c r="H1" i="262"/>
  <c r="C54" i="262" s="1"/>
  <c r="E73" i="323" l="1"/>
  <c r="E1" i="323" s="1"/>
  <c r="G14" i="264" s="1"/>
  <c r="C123" i="262"/>
  <c r="G13" i="264"/>
  <c r="E1" i="263"/>
  <c r="B73" i="263" s="1"/>
  <c r="G16" i="264" l="1"/>
  <c r="K16" i="264" s="1"/>
  <c r="B73" i="323"/>
  <c r="M13" i="278" l="1"/>
  <c r="M47" i="278"/>
  <c r="M68" i="278"/>
  <c r="M15" i="278"/>
  <c r="M8" i="278"/>
  <c r="M87" i="278"/>
  <c r="M9" i="278"/>
  <c r="M23" i="278"/>
  <c r="M83" i="278"/>
  <c r="M88" i="278"/>
  <c r="M43" i="278"/>
  <c r="M51" i="278"/>
  <c r="M93" i="278"/>
  <c r="M56" i="278"/>
  <c r="M35" i="278"/>
  <c r="M71" i="278"/>
  <c r="M25" i="278"/>
  <c r="M26" i="278"/>
  <c r="M60" i="278"/>
  <c r="M29" i="278"/>
  <c r="M76" i="278"/>
  <c r="M49" i="278"/>
  <c r="M28" i="278"/>
  <c r="M62" i="278"/>
  <c r="M18" i="278"/>
  <c r="M38" i="278"/>
  <c r="M52" i="278"/>
  <c r="M85" i="278"/>
  <c r="M14" i="278"/>
  <c r="M48" i="278"/>
  <c r="M45" i="278"/>
  <c r="M92" i="278"/>
  <c r="M78" i="278"/>
  <c r="M58" i="278"/>
  <c r="M19" i="278"/>
  <c r="M11" i="278"/>
  <c r="M17" i="278"/>
  <c r="M36" i="278"/>
  <c r="M82" i="278"/>
  <c r="M20" i="278"/>
  <c r="G17" i="264"/>
  <c r="G18" i="264" s="1"/>
  <c r="G19" i="264" s="1"/>
  <c r="G20" i="264" s="1"/>
  <c r="M64" i="278"/>
  <c r="M12" i="278"/>
  <c r="M97" i="278"/>
  <c r="M46" i="278"/>
  <c r="M37" i="278"/>
  <c r="M89" i="278"/>
  <c r="M74" i="278"/>
  <c r="M54" i="278"/>
  <c r="K101" i="278"/>
  <c r="L100" i="278" s="1"/>
  <c r="D50" i="277"/>
  <c r="D52" i="277" s="1"/>
  <c r="M21" i="278"/>
  <c r="M34" i="278"/>
  <c r="M72" i="278"/>
  <c r="M69" i="278"/>
  <c r="M16" i="278"/>
  <c r="M91" i="278"/>
  <c r="M24" i="278"/>
  <c r="G33" i="264"/>
  <c r="M10" i="278"/>
  <c r="M98" i="278"/>
  <c r="M80" i="278"/>
  <c r="L798" i="320"/>
  <c r="L803" i="320" s="1"/>
  <c r="G14" i="228" s="1"/>
  <c r="M31" i="278"/>
  <c r="G21" i="264" l="1"/>
  <c r="G22" i="264" s="1"/>
  <c r="F12" i="228" s="1"/>
  <c r="H5" i="325"/>
  <c r="H7" i="325" s="1"/>
  <c r="H17" i="325" s="1"/>
  <c r="H18" i="325" s="1"/>
  <c r="L101" i="278"/>
  <c r="N798" i="320"/>
  <c r="M2" i="320"/>
  <c r="E50" i="277"/>
  <c r="I50" i="277" s="1"/>
  <c r="I52" i="277" s="1"/>
  <c r="K50" i="277" l="1"/>
  <c r="K52" i="277" s="1"/>
  <c r="L50" i="277" l="1"/>
  <c r="L52" i="2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Stefan Kaffka</author>
  </authors>
  <commentList>
    <comment ref="N1280" authorId="0" shapeId="0" xr:uid="{00000000-0006-0000-0000-000001000000}">
      <text>
        <r>
          <rPr>
            <b/>
            <sz val="9"/>
            <color indexed="81"/>
            <rFont val="Tahoma"/>
            <family val="2"/>
          </rPr>
          <t>Stefan Kaffka:</t>
        </r>
        <r>
          <rPr>
            <sz val="9"/>
            <color indexed="81"/>
            <rFont val="Tahoma"/>
            <family val="2"/>
          </rPr>
          <t xml:space="preserve">
</t>
        </r>
      </text>
    </comment>
    <comment ref="N1283" authorId="0" shapeId="0" xr:uid="{00000000-0006-0000-0000-000002000000}">
      <text>
        <r>
          <rPr>
            <b/>
            <sz val="9"/>
            <color indexed="81"/>
            <rFont val="Tahoma"/>
            <family val="2"/>
          </rPr>
          <t>Stefan Kaffka: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Pierre Queripel</author>
  </authors>
  <commentList>
    <comment ref="H29" authorId="0" shapeId="0" xr:uid="{E92A8EA6-8658-4A6F-8DEE-1AEAE5AD0CFF}">
      <text>
        <r>
          <rPr>
            <b/>
            <sz val="9"/>
            <color indexed="81"/>
            <rFont val="Tahoma"/>
            <family val="2"/>
          </rPr>
          <t>Pierre Queripel:</t>
        </r>
        <r>
          <rPr>
            <sz val="9"/>
            <color indexed="81"/>
            <rFont val="Tahoma"/>
            <family val="2"/>
          </rPr>
          <t xml:space="preserve">
Why does this not include the "Additional Costs"?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Tammy</author>
    <author>Pierre Queripel</author>
  </authors>
  <commentList>
    <comment ref="C120" authorId="0" shapeId="0" xr:uid="{00000000-0006-0000-0500-000001000000}">
      <text>
        <r>
          <rPr>
            <sz val="9"/>
            <color indexed="81"/>
            <rFont val="Tahoma"/>
            <family val="2"/>
          </rPr>
          <t xml:space="preserve">Includes Construction of new survey beacons and protection of existing survey beacons
</t>
        </r>
      </text>
    </comment>
    <comment ref="F132" authorId="1" shapeId="0" xr:uid="{00000000-0006-0000-0500-000002000000}">
      <text>
        <r>
          <rPr>
            <b/>
            <sz val="9"/>
            <color indexed="81"/>
            <rFont val="Tahoma"/>
            <family val="2"/>
          </rPr>
          <t>Pierre Queripel:</t>
        </r>
        <r>
          <rPr>
            <sz val="9"/>
            <color indexed="81"/>
            <rFont val="Tahoma"/>
            <family val="2"/>
          </rPr>
          <t xml:space="preserve">
Included R50k for construction of new or protection of existing survey beacons.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Motsatsi</author>
  </authors>
  <commentList>
    <comment ref="R362" authorId="0" shapeId="0" xr:uid="{00000000-0006-0000-0F00-000001000000}">
      <text>
        <r>
          <rPr>
            <b/>
            <sz val="9"/>
            <color indexed="81"/>
            <rFont val="Tahoma"/>
            <family val="2"/>
          </rPr>
          <t>Motsatsi:</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Ntembeko Zifuku</author>
  </authors>
  <commentList>
    <comment ref="P36" authorId="0" shapeId="0" xr:uid="{00000000-0006-0000-2600-000001000000}">
      <text>
        <r>
          <rPr>
            <b/>
            <sz val="9"/>
            <color indexed="81"/>
            <rFont val="Tahoma"/>
            <family val="2"/>
          </rPr>
          <t>Ntembeko Zifuku:</t>
        </r>
        <r>
          <rPr>
            <sz val="9"/>
            <color indexed="81"/>
            <rFont val="Tahoma"/>
            <family val="2"/>
          </rPr>
          <t xml:space="preserve">
TBC</t>
        </r>
      </text>
    </comment>
  </commentList>
</comments>
</file>

<file path=xl/sharedStrings.xml><?xml version="1.0" encoding="utf-8"?>
<sst xmlns="http://schemas.openxmlformats.org/spreadsheetml/2006/main" count="9757" uniqueCount="2357">
  <si>
    <t>ITEM NO</t>
  </si>
  <si>
    <t>DESCRIPTION</t>
  </si>
  <si>
    <t>UNIT</t>
  </si>
  <si>
    <t>QUANTITY</t>
  </si>
  <si>
    <t>RATE</t>
  </si>
  <si>
    <t>AMOUNT</t>
  </si>
  <si>
    <t>m</t>
  </si>
  <si>
    <t>t</t>
  </si>
  <si>
    <t>SCHEDULE A: ROADWORKS</t>
  </si>
  <si>
    <t>Province of KwaZulu-Natal</t>
  </si>
  <si>
    <t>Department of Transport</t>
  </si>
  <si>
    <t>Lump Sum</t>
  </si>
  <si>
    <t>TOTAL CARRIED FORWARD</t>
  </si>
  <si>
    <t>GENERAL REQUIREMENTS AND PAYMENT</t>
  </si>
  <si>
    <t>C1.2</t>
  </si>
  <si>
    <t>Environmental Management</t>
  </si>
  <si>
    <t>C1.2.1.1</t>
  </si>
  <si>
    <t>Monitoring of compliance with and reporting on the EMP</t>
  </si>
  <si>
    <t>month</t>
  </si>
  <si>
    <t>C1.2.1.2</t>
  </si>
  <si>
    <t>Dedicated environmental officer (if specified in the Contract Documentation)</t>
  </si>
  <si>
    <t>ha</t>
  </si>
  <si>
    <t>km</t>
  </si>
  <si>
    <r>
      <t>m</t>
    </r>
    <r>
      <rPr>
        <vertAlign val="superscript"/>
        <sz val="10"/>
        <rFont val="Arial"/>
        <family val="2"/>
      </rPr>
      <t>3</t>
    </r>
  </si>
  <si>
    <t>kg</t>
  </si>
  <si>
    <t>kl</t>
  </si>
  <si>
    <t>%</t>
  </si>
  <si>
    <t>TOTAL BROUGHT FORWARD</t>
  </si>
  <si>
    <t>Stakeholder liaison</t>
  </si>
  <si>
    <t>Safety</t>
  </si>
  <si>
    <t>C1.2.5.1</t>
  </si>
  <si>
    <t>Health and safety plan</t>
  </si>
  <si>
    <t>C1.2.5.2</t>
  </si>
  <si>
    <t>Implementation of health and safety plan</t>
  </si>
  <si>
    <t>No</t>
  </si>
  <si>
    <t>C1.2.8</t>
  </si>
  <si>
    <t>Dayworks</t>
  </si>
  <si>
    <t>C1.2.8.1</t>
  </si>
  <si>
    <t>Personnel</t>
  </si>
  <si>
    <t>(a)</t>
  </si>
  <si>
    <t>Unskilled labourer</t>
  </si>
  <si>
    <t>(b)</t>
  </si>
  <si>
    <t xml:space="preserve">(c) </t>
  </si>
  <si>
    <t>(d)</t>
  </si>
  <si>
    <t>(e)</t>
  </si>
  <si>
    <t>(f)</t>
  </si>
  <si>
    <t>Semi-skilled labourer</t>
  </si>
  <si>
    <t>Skilled Artisan</t>
  </si>
  <si>
    <t>C1.2.8.2</t>
  </si>
  <si>
    <t>Vibratory roller</t>
  </si>
  <si>
    <t>(h)</t>
  </si>
  <si>
    <t>C1.2.8.3</t>
  </si>
  <si>
    <t>(c)</t>
  </si>
  <si>
    <t>C1.3</t>
  </si>
  <si>
    <t>CONTRACTOR'S SITE ESTABLISHMENT AND GENERAL OBLIGATIONS</t>
  </si>
  <si>
    <t>The Contractor's general obligations</t>
  </si>
  <si>
    <t>C1.3.1.1</t>
  </si>
  <si>
    <t>C1.3.1.3</t>
  </si>
  <si>
    <t>Fixed obligations</t>
  </si>
  <si>
    <t>Time-related obligations</t>
  </si>
  <si>
    <t>Contract sign boards</t>
  </si>
  <si>
    <r>
      <t>m</t>
    </r>
    <r>
      <rPr>
        <vertAlign val="superscript"/>
        <sz val="10"/>
        <rFont val="Arial"/>
        <family val="2"/>
      </rPr>
      <t>2</t>
    </r>
  </si>
  <si>
    <t>C1.4</t>
  </si>
  <si>
    <t>FACILITIES FOR THE ENGINEER</t>
  </si>
  <si>
    <t>Site accommodation</t>
  </si>
  <si>
    <t>C1.4.1.1</t>
  </si>
  <si>
    <t>C1.4.1.2</t>
  </si>
  <si>
    <t>C1.4.1.3</t>
  </si>
  <si>
    <t>C1.4.1.4</t>
  </si>
  <si>
    <t>C1.4.1.6</t>
  </si>
  <si>
    <t>C1.4.1.7</t>
  </si>
  <si>
    <t>C1.4.1.9</t>
  </si>
  <si>
    <t>Offices and conference room</t>
  </si>
  <si>
    <t>Laboratories</t>
  </si>
  <si>
    <t>Open concrete working floors and verandas</t>
  </si>
  <si>
    <t>Roofs over open concrete working floors and verandas</t>
  </si>
  <si>
    <t>Car ports</t>
  </si>
  <si>
    <t>Items measured by area</t>
  </si>
  <si>
    <t>C1.4.2.7</t>
  </si>
  <si>
    <t>C1.4.2.9</t>
  </si>
  <si>
    <t>Venetian blinds</t>
  </si>
  <si>
    <t>Items measured by number</t>
  </si>
  <si>
    <t>Office chair</t>
  </si>
  <si>
    <t>Office desk with 3 drawers (at least one lockable drawer)</t>
  </si>
  <si>
    <t>Drawing table</t>
  </si>
  <si>
    <t>Conference table</t>
  </si>
  <si>
    <t>Filling cabinet</t>
  </si>
  <si>
    <t>General purpose steel cabinet with shelves</t>
  </si>
  <si>
    <t>C1.4.3.2</t>
  </si>
  <si>
    <t>C1.4.3.5</t>
  </si>
  <si>
    <t>C1.4.3.7</t>
  </si>
  <si>
    <t>C1.4.3.8</t>
  </si>
  <si>
    <t>C1.4.3.10</t>
  </si>
  <si>
    <t>C1.4.3.11</t>
  </si>
  <si>
    <t>C1.4.3.12</t>
  </si>
  <si>
    <t>C1.4.3.13</t>
  </si>
  <si>
    <t>C1.4.3.15</t>
  </si>
  <si>
    <t>C1.4.3.19</t>
  </si>
  <si>
    <t>220/250 volt power outlet plug point</t>
  </si>
  <si>
    <t>Wash-hand basin</t>
  </si>
  <si>
    <t>C1.4.3.23</t>
  </si>
  <si>
    <t>C1.4.3.24</t>
  </si>
  <si>
    <t>C1.4.3.28</t>
  </si>
  <si>
    <t>C1.4.3.31</t>
  </si>
  <si>
    <t>C1.4.3.32</t>
  </si>
  <si>
    <t>C1.4.3.33</t>
  </si>
  <si>
    <t>C1.4.3.35</t>
  </si>
  <si>
    <t>C1.4.3.36</t>
  </si>
  <si>
    <t>C1.4.3.38</t>
  </si>
  <si>
    <t>Fire extinguisher 9,0 kg, dry powder type</t>
  </si>
  <si>
    <t>Air-conditioning unit</t>
  </si>
  <si>
    <t>Rain gauge</t>
  </si>
  <si>
    <t>Minimum / maximum atmospheric temperature guage</t>
  </si>
  <si>
    <t>Digital thermometer</t>
  </si>
  <si>
    <t>3,0 m aluminium straight edge complete with two measuring wedges</t>
  </si>
  <si>
    <t>Measuring wheel</t>
  </si>
  <si>
    <t>Standpipe complete with 30m of 19 mm dia. Heavy duty hose pipe</t>
  </si>
  <si>
    <t>C1.4.4</t>
  </si>
  <si>
    <t>Prime cost items</t>
  </si>
  <si>
    <t>C1.4.4.1</t>
  </si>
  <si>
    <t>C1.4.4.2</t>
  </si>
  <si>
    <t>C1.4.4.7</t>
  </si>
  <si>
    <t>C1.4.4.8</t>
  </si>
  <si>
    <t>Cell phones costs, including pro-rate rentals, for calls made in connection with contract administration</t>
  </si>
  <si>
    <t>Handling cost and profit in respect of item C1.4.4.1</t>
  </si>
  <si>
    <t>C1.4.5</t>
  </si>
  <si>
    <t>Services at site offices, laboratories and site accommodation</t>
  </si>
  <si>
    <t>C1.4.5.1</t>
  </si>
  <si>
    <t>Fixed costs</t>
  </si>
  <si>
    <t>C1.4.5.2</t>
  </si>
  <si>
    <t>Running costs</t>
  </si>
  <si>
    <t>C1.4.8</t>
  </si>
  <si>
    <t>Site security measures for the Engineer's facilities</t>
  </si>
  <si>
    <t>C1.4.8.1</t>
  </si>
  <si>
    <t>ACCOMMODATION OF TRAFFIC</t>
  </si>
  <si>
    <t>Handling cost and profit in respect of item C1.4.4.7</t>
  </si>
  <si>
    <t>Accommodation of vehicular traffic</t>
  </si>
  <si>
    <t>C1.5.4</t>
  </si>
  <si>
    <t xml:space="preserve">Construction of temporary deviations </t>
  </si>
  <si>
    <t>C1.5.5</t>
  </si>
  <si>
    <t>Maintenance of temporary deviations</t>
  </si>
  <si>
    <t>C1.5.5.10</t>
  </si>
  <si>
    <t>Watering of temporary deviations and existing roads used as detours</t>
  </si>
  <si>
    <t>C1.5.7</t>
  </si>
  <si>
    <t>Temporary traffic control facilities</t>
  </si>
  <si>
    <t>C1.5.7.1</t>
  </si>
  <si>
    <t>C1.5.7.3</t>
  </si>
  <si>
    <t>C1.5.7.5</t>
  </si>
  <si>
    <t>Delineators including mounting bases and ballast:</t>
  </si>
  <si>
    <t>Flagmen</t>
  </si>
  <si>
    <t>Provision of illuminated traffic signs</t>
  </si>
  <si>
    <t>Sign mounted flashing amber lights (2 lights with the specified power supply) mounted on a backing board which is:</t>
  </si>
  <si>
    <t>(a.i)</t>
  </si>
  <si>
    <t>900 mm wide x 150mm high</t>
  </si>
  <si>
    <t>(a.ii)</t>
  </si>
  <si>
    <t>Traffic control stations</t>
  </si>
  <si>
    <t>Traffic safety officer</t>
  </si>
  <si>
    <t>Additional traffic accommodation facilities ordered by the Engineer:</t>
  </si>
  <si>
    <t>C1.5.12.1</t>
  </si>
  <si>
    <t>C1.5.12.2</t>
  </si>
  <si>
    <t>C1.5.12</t>
  </si>
  <si>
    <t>Provision of additional traffic accomodation facilities</t>
  </si>
  <si>
    <t>Handling cost, profit and all other charges in respect of item C1.5.12.1</t>
  </si>
  <si>
    <t>C1.6</t>
  </si>
  <si>
    <t>CLEARING AND GRUBBING</t>
  </si>
  <si>
    <t>C1.6.1</t>
  </si>
  <si>
    <t>Clearing</t>
  </si>
  <si>
    <t>C1.6.1.1</t>
  </si>
  <si>
    <t>C1.6.1.2</t>
  </si>
  <si>
    <t>Clearing with machines and some hand labour where necessary</t>
  </si>
  <si>
    <t>Clearing with hand labour only when labour enhanced work is specified</t>
  </si>
  <si>
    <t>C1.6.2</t>
  </si>
  <si>
    <t>Grubbing</t>
  </si>
  <si>
    <t>C1.6.2.1</t>
  </si>
  <si>
    <t>Clearing for new fence lines (over a width of 2,0 m)</t>
  </si>
  <si>
    <t>C1.6.2.2</t>
  </si>
  <si>
    <t>C1.6.3.1</t>
  </si>
  <si>
    <t>Removal and grubbing of large trees and tree stumps:</t>
  </si>
  <si>
    <t>Girth equal to or exceeding 1,0 m up to and including 2,0 m</t>
  </si>
  <si>
    <t>C1.6.3.2</t>
  </si>
  <si>
    <t>Girth exceeding 2,0 m up to and including 3,0 m</t>
  </si>
  <si>
    <t>Stockpilling topsoil</t>
  </si>
  <si>
    <t>Hauling</t>
  </si>
  <si>
    <t>C1.7.2.1</t>
  </si>
  <si>
    <t>C1.7.2.2</t>
  </si>
  <si>
    <t>Hauling material for use in the Works and off-loading it on the site of the Works:</t>
  </si>
  <si>
    <t>Soil, gravel, crushed stone and pavement layer material</t>
  </si>
  <si>
    <t>Boulders and hard material</t>
  </si>
  <si>
    <t>Hauling material to spoil and off-loading it at a designated spoil or stockpile are:</t>
  </si>
  <si>
    <t>Soil and gravel material</t>
  </si>
  <si>
    <t>Boulders, hard material and concrete</t>
  </si>
  <si>
    <t>hour</t>
  </si>
  <si>
    <t>man-shift</t>
  </si>
  <si>
    <t>Man-month</t>
  </si>
  <si>
    <r>
      <t>m</t>
    </r>
    <r>
      <rPr>
        <vertAlign val="superscript"/>
        <sz val="10"/>
        <rFont val="Arial"/>
        <family val="2"/>
      </rPr>
      <t>3</t>
    </r>
    <r>
      <rPr>
        <sz val="10"/>
        <rFont val="Arial"/>
        <family val="2"/>
      </rPr>
      <t xml:space="preserve"> - km</t>
    </r>
  </si>
  <si>
    <t>C5.1</t>
  </si>
  <si>
    <t>ROADBED</t>
  </si>
  <si>
    <t>Roadbed construction and compaction</t>
  </si>
  <si>
    <t>C5.1.1</t>
  </si>
  <si>
    <t>C5.1.1.2</t>
  </si>
  <si>
    <t>Compaction of in-situ material to 93% of MDD</t>
  </si>
  <si>
    <t>Soft excavation</t>
  </si>
  <si>
    <t>Hard excavation (other than by blasting)</t>
  </si>
  <si>
    <t>Hard excavation (by blasting)</t>
  </si>
  <si>
    <t>C5.1.4</t>
  </si>
  <si>
    <t>Removal of unsuitable material to spoil</t>
  </si>
  <si>
    <t>C5.1.4.1</t>
  </si>
  <si>
    <t>In layer thicknesses of 200mm and less</t>
  </si>
  <si>
    <t>Stable material</t>
  </si>
  <si>
    <t>C5.1.5</t>
  </si>
  <si>
    <t>In-situ treatment of roadbed in hard material</t>
  </si>
  <si>
    <t>C5.1.5.1</t>
  </si>
  <si>
    <t>In-situ treatment by ripping</t>
  </si>
  <si>
    <t>C5.1.5.2</t>
  </si>
  <si>
    <t>In-situ treatment by ripping and blasting</t>
  </si>
  <si>
    <t>C5.1.11</t>
  </si>
  <si>
    <t>Construction of roadbed comprising a pioneer layer</t>
  </si>
  <si>
    <t>(b.i)</t>
  </si>
  <si>
    <t>(b.ii)</t>
  </si>
  <si>
    <t>C5.2</t>
  </si>
  <si>
    <t>FILL</t>
  </si>
  <si>
    <t>C5.2.2</t>
  </si>
  <si>
    <t>Fill construction</t>
  </si>
  <si>
    <t>C5.2.2.4</t>
  </si>
  <si>
    <t>Normal fill material in compacted layer thicknesses of 200 mm and less:</t>
  </si>
  <si>
    <t>Rock fill material all as per Clause A5.2.7.6</t>
  </si>
  <si>
    <t>Compacted to 90% MDD</t>
  </si>
  <si>
    <t>Rock fill</t>
  </si>
  <si>
    <t>C5.2.11</t>
  </si>
  <si>
    <t>Finishing off fill slopes, medians and interchange areas</t>
  </si>
  <si>
    <t>C5.2.11.1</t>
  </si>
  <si>
    <t>Fill slopes</t>
  </si>
  <si>
    <t>C5.3</t>
  </si>
  <si>
    <t>ROAD PAVEMENT LAYERS</t>
  </si>
  <si>
    <t>Construction of pavement layers</t>
  </si>
  <si>
    <t>(i)</t>
  </si>
  <si>
    <t>(j)</t>
  </si>
  <si>
    <t>(l)</t>
  </si>
  <si>
    <t>(n)</t>
  </si>
  <si>
    <t>(g)</t>
  </si>
  <si>
    <t>C5.4</t>
  </si>
  <si>
    <t>STABILISATION</t>
  </si>
  <si>
    <t>C5.4.2</t>
  </si>
  <si>
    <t>Chemical stabilisation</t>
  </si>
  <si>
    <t>C5.4.2.1</t>
  </si>
  <si>
    <t>Cement</t>
  </si>
  <si>
    <t>C5.4.10</t>
  </si>
  <si>
    <t>Provision and application of water for curing</t>
  </si>
  <si>
    <t>C5.4.11</t>
  </si>
  <si>
    <t>Curing by covering with subsequent layer</t>
  </si>
  <si>
    <t>C5.4.14</t>
  </si>
  <si>
    <t>Trial section for a chemically stabilised layer</t>
  </si>
  <si>
    <t>(a.iii)</t>
  </si>
  <si>
    <t>(c.i)</t>
  </si>
  <si>
    <t>(c.ii)</t>
  </si>
  <si>
    <t>C8.1</t>
  </si>
  <si>
    <t>PRIME COAT</t>
  </si>
  <si>
    <t>C8.1.1</t>
  </si>
  <si>
    <t>Prime coat:</t>
  </si>
  <si>
    <t>C8.1.1.2</t>
  </si>
  <si>
    <t>MC - 30 cut-back bitumen</t>
  </si>
  <si>
    <t>C8.1.2</t>
  </si>
  <si>
    <t>Aggregate for blinding</t>
  </si>
  <si>
    <t>C8.1.2.1</t>
  </si>
  <si>
    <t>Natural sand</t>
  </si>
  <si>
    <t>C8.1.3</t>
  </si>
  <si>
    <t>Extra over item C8.1.1 for applying the prime coat accessible only to hand-held or light equipment</t>
  </si>
  <si>
    <t>Partial member or element (location and description)</t>
  </si>
  <si>
    <t>C20.1</t>
  </si>
  <si>
    <t>TESTING MATERIALS AND JUDGEMENT OF WORKMANSHIP</t>
  </si>
  <si>
    <t>Special tests requested by the Engineer</t>
  </si>
  <si>
    <t>(d.i)</t>
  </si>
  <si>
    <t>Employer’s contribution to other special tests</t>
  </si>
  <si>
    <t>Handling costs and profit in respect of item C20.1.2.2(a)</t>
  </si>
  <si>
    <t>Financial contribution for an independent site/commercial laboratory</t>
  </si>
  <si>
    <t>C20.1.5</t>
  </si>
  <si>
    <t>C20.1.2.2</t>
  </si>
  <si>
    <t>C13.1</t>
  </si>
  <si>
    <t>FOUNDATIONS</t>
  </si>
  <si>
    <t>Excavation:</t>
  </si>
  <si>
    <t>Excavating soft material situated within the following successive depth ranges:</t>
  </si>
  <si>
    <t>0 m up to 1,5 m</t>
  </si>
  <si>
    <t>&gt; 1,5 m and &lt; 3,0 m</t>
  </si>
  <si>
    <t>Extra over subitem C13.1.3.1 for excavation in hard material irrespective of depth</t>
  </si>
  <si>
    <t>Extra over subitem C13.1.3.1 for additional excavation required by the Engineer after excavation is complete</t>
  </si>
  <si>
    <t>Extra over subitem C13.1.3.1 for excavation by hand</t>
  </si>
  <si>
    <t>C13.1.3</t>
  </si>
  <si>
    <t>C13.1.3.1</t>
  </si>
  <si>
    <t>C13.1.3.2</t>
  </si>
  <si>
    <t>C13.1.3.3</t>
  </si>
  <si>
    <t>C13.1.3.4</t>
  </si>
  <si>
    <t>Access and drainage:</t>
  </si>
  <si>
    <t>C13.1.6</t>
  </si>
  <si>
    <t>C13.1.6.1</t>
  </si>
  <si>
    <t>C13.1.6.2</t>
  </si>
  <si>
    <t>Access</t>
  </si>
  <si>
    <t>Drainage</t>
  </si>
  <si>
    <t>Backfill to excavations utilising:</t>
  </si>
  <si>
    <t>Material from excavation</t>
  </si>
  <si>
    <t>C13.1.7</t>
  </si>
  <si>
    <t>C13.1.7.1</t>
  </si>
  <si>
    <t>C13.1.7.2</t>
  </si>
  <si>
    <t>Fill within a restricted area (extra over item C5.2.2)</t>
  </si>
  <si>
    <t>Haul in excess of 1,0 km on excavated material and on material imported for backfill, foundation fill and fill for caissons</t>
  </si>
  <si>
    <t>C13.1.10</t>
  </si>
  <si>
    <t>C13.1.14.1</t>
  </si>
  <si>
    <t>C13.1.14.3</t>
  </si>
  <si>
    <t>C13.1.14.4</t>
  </si>
  <si>
    <t>C13.1.14.5</t>
  </si>
  <si>
    <t>Foundation fill consisting of:</t>
  </si>
  <si>
    <t>Mild-steel bars</t>
  </si>
  <si>
    <t>FALSEWORK, FORMWORK AND CONCRETE FINISH</t>
  </si>
  <si>
    <t>C13.2</t>
  </si>
  <si>
    <t>C13.2.2</t>
  </si>
  <si>
    <t>C13.2.3</t>
  </si>
  <si>
    <t>C13.2.4</t>
  </si>
  <si>
    <t>C13.3</t>
  </si>
  <si>
    <t>STEEL REINFORCEMENT</t>
  </si>
  <si>
    <t>C13.3.1</t>
  </si>
  <si>
    <t>C13.3.1.1</t>
  </si>
  <si>
    <t>C13.3.1.2</t>
  </si>
  <si>
    <t>C13.3.4</t>
  </si>
  <si>
    <t>Reinforcement for:</t>
  </si>
  <si>
    <t>C13.4</t>
  </si>
  <si>
    <t>CONCRETE</t>
  </si>
  <si>
    <t>Strength concrete (class C):</t>
  </si>
  <si>
    <t>Extra over item C13.4.1 for the protection of concrete from adverse environmental conditions, if required:</t>
  </si>
  <si>
    <t>Complete demolition and disposal of existing structural concrete elements or parts existing structures:</t>
  </si>
  <si>
    <t>C13.4.1</t>
  </si>
  <si>
    <t>C13.4.1.1</t>
  </si>
  <si>
    <t>C13.4.3</t>
  </si>
  <si>
    <t>C13.4.3.1</t>
  </si>
  <si>
    <t>C13.4.13</t>
  </si>
  <si>
    <t>C13.4.13.1</t>
  </si>
  <si>
    <t>BEARINGS</t>
  </si>
  <si>
    <t>C13.6</t>
  </si>
  <si>
    <t>Specialist proprietary bearings:</t>
  </si>
  <si>
    <t>Prime cost sum allowed for purchasing and taking delivery of bearing</t>
  </si>
  <si>
    <t>Percentage on prime cost sum for charges and profit</t>
  </si>
  <si>
    <t>C13.6.4</t>
  </si>
  <si>
    <t>C13.6.5</t>
  </si>
  <si>
    <t>C13.6.5.1</t>
  </si>
  <si>
    <t>C13.6.5.2</t>
  </si>
  <si>
    <t>C13.6.6</t>
  </si>
  <si>
    <t>JOINTS</t>
  </si>
  <si>
    <t>C13.7</t>
  </si>
  <si>
    <t>C13.7.1</t>
  </si>
  <si>
    <t>Expansion joints:</t>
  </si>
  <si>
    <t>Filled joints:</t>
  </si>
  <si>
    <t>Unfilled joints:</t>
  </si>
  <si>
    <t>Sealing joints with:</t>
  </si>
  <si>
    <t>C13.7.1.1</t>
  </si>
  <si>
    <t>C13.7.2.1</t>
  </si>
  <si>
    <t>C13.7.2</t>
  </si>
  <si>
    <t>C13.7.2.2</t>
  </si>
  <si>
    <t>C13.7.3</t>
  </si>
  <si>
    <t>C13.7.3.1</t>
  </si>
  <si>
    <t>C13.7.4</t>
  </si>
  <si>
    <t>C13.7.4.1</t>
  </si>
  <si>
    <t>C13.8</t>
  </si>
  <si>
    <t>ANCILLARY STRUCTURAL ELEMENTS</t>
  </si>
  <si>
    <t>C13.8.1</t>
  </si>
  <si>
    <t>Concrete barriers and parapets (refer to drawings)</t>
  </si>
  <si>
    <t>Service ducts in structures</t>
  </si>
  <si>
    <t>Numbers for structures: (refer to drawings)</t>
  </si>
  <si>
    <t>Drainage pipes and weep holes:</t>
  </si>
  <si>
    <t>Drainage pipes:</t>
  </si>
  <si>
    <t>Weep holes:</t>
  </si>
  <si>
    <t>Perforated drainage pipes:</t>
  </si>
  <si>
    <t>C13.8.6.1</t>
  </si>
  <si>
    <t>C13.8.7.3</t>
  </si>
  <si>
    <t>C13.8.10</t>
  </si>
  <si>
    <t>C13.8.10.1</t>
  </si>
  <si>
    <t>C13.8.10.2</t>
  </si>
  <si>
    <t>C13.8.15</t>
  </si>
  <si>
    <t>C13.8.16.1</t>
  </si>
  <si>
    <t>C3.3.13</t>
  </si>
  <si>
    <t>Welded steel fabric</t>
  </si>
  <si>
    <t>C3.3.12.3</t>
  </si>
  <si>
    <t>High-tensile steel bars</t>
  </si>
  <si>
    <t>Mild steel bars</t>
  </si>
  <si>
    <t>Reinforcement:</t>
  </si>
  <si>
    <t>C3.3.12</t>
  </si>
  <si>
    <t>C3.3.10</t>
  </si>
  <si>
    <t>To ends of slabs</t>
  </si>
  <si>
    <t>C3.3.9.3</t>
  </si>
  <si>
    <t>To sides with formwork on both internal and external faces (each face measured)</t>
  </si>
  <si>
    <t>C3.3.9.2</t>
  </si>
  <si>
    <t>C3.3.9</t>
  </si>
  <si>
    <t>C3.3.8.2</t>
  </si>
  <si>
    <t>C3.3.8.1</t>
  </si>
  <si>
    <t>Linings for open drains:</t>
  </si>
  <si>
    <t>C3.3.8</t>
  </si>
  <si>
    <t>On curves of radii more than or equal to 5,0 m but less than 20 m</t>
  </si>
  <si>
    <t>C3.3.3.1</t>
  </si>
  <si>
    <t>Extra over items C3.3.1 and C3.3.2 for concrete kerbing or concrete kerbing and channeling on curves</t>
  </si>
  <si>
    <t>C3.3.3</t>
  </si>
  <si>
    <t>Prefabricated kerbing-channeling (description of type of channel and bedding with reference to drawing)</t>
  </si>
  <si>
    <t>C3.3.2.1</t>
  </si>
  <si>
    <t>Concrete kerbing-channeling combination:</t>
  </si>
  <si>
    <t>C3.3.2</t>
  </si>
  <si>
    <t>Prefabricated kerbing (description of type of kerb and bedding with reference to drawing)</t>
  </si>
  <si>
    <t>C3.3.1.1</t>
  </si>
  <si>
    <t>Concrete kerbing:</t>
  </si>
  <si>
    <t>C3.3.1</t>
  </si>
  <si>
    <t>CONCRETE KERBING AND CHANNELING, ASPHALT BERMS, CHUTES, DOWNPIPES, AS WELL AS CONCRETE, STONE PITCHED AND GABION LININGS FOR OPEN DRAINS</t>
  </si>
  <si>
    <t>C3.3</t>
  </si>
  <si>
    <t>Test flushing of subsoil drain pipe systems</t>
  </si>
  <si>
    <t>C3.1.22</t>
  </si>
  <si>
    <t>Loading and hauling of material in excess of 1.0km</t>
  </si>
  <si>
    <t>C3.1.16</t>
  </si>
  <si>
    <t>Concrete caps</t>
  </si>
  <si>
    <t>C3.1.14.1</t>
  </si>
  <si>
    <t>Caps for subsoil drain pipe :</t>
  </si>
  <si>
    <t>C3.1.14</t>
  </si>
  <si>
    <t>C3.1.13.4</t>
  </si>
  <si>
    <t>C3.1.13.1</t>
  </si>
  <si>
    <t>Concrete outlet structures, manhole boxes, junction boxes and cleaning eyes for subsoil drainage systems:</t>
  </si>
  <si>
    <t>C3.1.13</t>
  </si>
  <si>
    <t>C3.1.11.</t>
  </si>
  <si>
    <t>C3.1.9.1</t>
  </si>
  <si>
    <t>Pipes in subsoil drainage systems :</t>
  </si>
  <si>
    <t>C3.1.9</t>
  </si>
  <si>
    <t>C3.1.8.2</t>
  </si>
  <si>
    <t>Natural permeable material in subsoil drainage system (approved natural sand)</t>
  </si>
  <si>
    <t>C3.1.8</t>
  </si>
  <si>
    <t>C3.1.7</t>
  </si>
  <si>
    <t>Un-stabilised natural gravel obtained from approved sources on the site</t>
  </si>
  <si>
    <t>C3.1.5.1</t>
  </si>
  <si>
    <t>Impermeable backfilling to subsoil drainage system</t>
  </si>
  <si>
    <t>C3.1.5</t>
  </si>
  <si>
    <t>Extra over sub-item C3.1.4.1 for excavation in hard and boulder material, irrespective of depth</t>
  </si>
  <si>
    <t>C3.1.4.4</t>
  </si>
  <si>
    <t>Excavating intermediate material situated within 0m to 1.5m below the surface level using labour enhanced construction methods</t>
  </si>
  <si>
    <t>C3.1.4.3</t>
  </si>
  <si>
    <t>Exceeding 1.5m and up to 3.0m</t>
  </si>
  <si>
    <t>0m to 1.5m</t>
  </si>
  <si>
    <t>Excavating in all material situated within the following depth ranges below the surface :</t>
  </si>
  <si>
    <t>C3.1.4.1</t>
  </si>
  <si>
    <t>Excavation and disposal of material for subsoil drainage systems</t>
  </si>
  <si>
    <t>C3.1.4</t>
  </si>
  <si>
    <t>Using labour enhanced construction methods</t>
  </si>
  <si>
    <t>C3.1.2.2</t>
  </si>
  <si>
    <t>C3.1.2</t>
  </si>
  <si>
    <t>Excavating soft material situated 0m to 1.5m below the surface level using labour enhanced construction methods</t>
  </si>
  <si>
    <t>C3.1.1.4</t>
  </si>
  <si>
    <t>Extra over sub-item C3.1.1.1 for excavation in hard and boulder material , irrespective of depth</t>
  </si>
  <si>
    <t>C3.1.1.2</t>
  </si>
  <si>
    <t xml:space="preserve">Excavating all material situated within the following depth ranges below the surface level using conventional methods : </t>
  </si>
  <si>
    <t>C3.1.1.1</t>
  </si>
  <si>
    <t>Excavation for open drains:</t>
  </si>
  <si>
    <t>C3.1.1</t>
  </si>
  <si>
    <t>DRAINS</t>
  </si>
  <si>
    <t>C3.1</t>
  </si>
  <si>
    <t>ℓ</t>
  </si>
  <si>
    <t>C3.2.19.2</t>
  </si>
  <si>
    <t>Accessories:</t>
  </si>
  <si>
    <t>C3.2.19</t>
  </si>
  <si>
    <t>Plaster</t>
  </si>
  <si>
    <t>C3.2.18</t>
  </si>
  <si>
    <t>C3.2.17</t>
  </si>
  <si>
    <t>230 mm thick</t>
  </si>
  <si>
    <t>C3.2.16.2</t>
  </si>
  <si>
    <t>Brickwork (Engineering bricks):</t>
  </si>
  <si>
    <t>C3.2.16</t>
  </si>
  <si>
    <t>Removing and stacking existing culverts for re-use (size and type indicated)</t>
  </si>
  <si>
    <t>C3.2.13.1</t>
  </si>
  <si>
    <t>Removing and re-laying existing culverts:</t>
  </si>
  <si>
    <t>C3.2.13</t>
  </si>
  <si>
    <t>C3.2.12.2</t>
  </si>
  <si>
    <t>Demolition of concrete members or elements:</t>
  </si>
  <si>
    <t>C3.2.12</t>
  </si>
  <si>
    <t>C3.2.10.3</t>
  </si>
  <si>
    <t>C3.2.10.2</t>
  </si>
  <si>
    <t>.</t>
  </si>
  <si>
    <t>C3.2.10.1</t>
  </si>
  <si>
    <t>C3.2.10</t>
  </si>
  <si>
    <t>C3.2.7.6</t>
  </si>
  <si>
    <t>C3.2.7.5</t>
  </si>
  <si>
    <t>C3.2.7.2</t>
  </si>
  <si>
    <t>C3.2.7.1</t>
  </si>
  <si>
    <t>Cast in situ concrete and formwork:</t>
  </si>
  <si>
    <t>C3.2.7</t>
  </si>
  <si>
    <t>Extra over items C3.2.3, C3.2.4 and C3.2.5 for constructing inclined culverts</t>
  </si>
  <si>
    <t>C3.2.6</t>
  </si>
  <si>
    <t>C3.2.5.1</t>
  </si>
  <si>
    <t>Rectangular culverts with prefabricated elements</t>
  </si>
  <si>
    <t>C3.2.5</t>
  </si>
  <si>
    <t>C3.2.4.1</t>
  </si>
  <si>
    <t>Metal and U-PVC culverts</t>
  </si>
  <si>
    <t>C3.2.4</t>
  </si>
  <si>
    <t>On Class C bedding (type and diameter indicated)</t>
  </si>
  <si>
    <t>C3.2.3.3</t>
  </si>
  <si>
    <t>Concrete pipe culverts:</t>
  </si>
  <si>
    <t>C3.2.3</t>
  </si>
  <si>
    <t>Using imported selected material:</t>
  </si>
  <si>
    <t>C3.2.2.2</t>
  </si>
  <si>
    <t>Using the excavated material</t>
  </si>
  <si>
    <t>C3.2.2.1</t>
  </si>
  <si>
    <t>Backfilling:</t>
  </si>
  <si>
    <t>C3.2.2</t>
  </si>
  <si>
    <t>C3.2.1.4</t>
  </si>
  <si>
    <t>Excavating soft material 0 m to 1,5 m below the surface level using labour enhanced construction methods, or instructed by hand under Clause A3.2.7.2d):</t>
  </si>
  <si>
    <t>C3.2.1.2</t>
  </si>
  <si>
    <t>Excavating in all material situated within the following depth ranges below the surface level:</t>
  </si>
  <si>
    <t>C3.2.1.1</t>
  </si>
  <si>
    <t>Excavation for culvert structures:</t>
  </si>
  <si>
    <t>C3.2.1</t>
  </si>
  <si>
    <t>CULVERTS</t>
  </si>
  <si>
    <t>C3.2</t>
  </si>
  <si>
    <r>
      <t>m</t>
    </r>
    <r>
      <rPr>
        <vertAlign val="superscript"/>
        <sz val="10"/>
        <rFont val="Arial"/>
        <family val="2"/>
      </rPr>
      <t>3</t>
    </r>
    <r>
      <rPr>
        <sz val="10"/>
        <rFont val="Arial"/>
        <family val="2"/>
      </rPr>
      <t>-km</t>
    </r>
  </si>
  <si>
    <r>
      <t>m</t>
    </r>
    <r>
      <rPr>
        <sz val="10"/>
        <rFont val="Calibri"/>
        <family val="2"/>
      </rPr>
      <t>²</t>
    </r>
  </si>
  <si>
    <r>
      <t>m</t>
    </r>
    <r>
      <rPr>
        <sz val="10"/>
        <rFont val="Calibri"/>
        <family val="2"/>
      </rPr>
      <t>³</t>
    </r>
  </si>
  <si>
    <t>kℓ</t>
  </si>
  <si>
    <t>Handling costs and profit in respect of item C4.1.18.1</t>
  </si>
  <si>
    <t>C4.1.18.2</t>
  </si>
  <si>
    <t>Amount allowed, expenditure to be approved or instructed by the Employer</t>
  </si>
  <si>
    <t>C4.1.18.1</t>
  </si>
  <si>
    <t>Compensation to landowners or legal occupants in respect of land acquisition, royalties and/or loss of crops</t>
  </si>
  <si>
    <t>Shaping and finishing the borrow pit and quarry areas, and the stockpile sites:</t>
  </si>
  <si>
    <t>C4.1.15.1</t>
  </si>
  <si>
    <t>Material from a producing plant</t>
  </si>
  <si>
    <t>C4.1.12.1</t>
  </si>
  <si>
    <t>Stockpiling the material</t>
  </si>
  <si>
    <t>Single-stage crushing plant</t>
  </si>
  <si>
    <t>C4.1.8.1</t>
  </si>
  <si>
    <t>Moving and re-erecting the crushing, screening and related plants on the site</t>
  </si>
  <si>
    <t>C4.1.8</t>
  </si>
  <si>
    <t>Single-stage crushing</t>
  </si>
  <si>
    <t>C4.1.7.1</t>
  </si>
  <si>
    <t>Producing the material by:</t>
  </si>
  <si>
    <t>C4.1.6.1</t>
  </si>
  <si>
    <t>Providing crushing, screening and related plants</t>
  </si>
  <si>
    <t>C4.1.6</t>
  </si>
  <si>
    <t>Boulder excavation class B</t>
  </si>
  <si>
    <t>In borrow pits</t>
  </si>
  <si>
    <t>C4.1.4.1</t>
  </si>
  <si>
    <t>Removing of the overburden</t>
  </si>
  <si>
    <t>C4.1.4</t>
  </si>
  <si>
    <t>Cuttings:</t>
  </si>
  <si>
    <t>C4.2.12.1</t>
  </si>
  <si>
    <t>Finishing the side slopes</t>
  </si>
  <si>
    <t>C4.2.12</t>
  </si>
  <si>
    <t>C4.2.3.5</t>
  </si>
  <si>
    <t>C4.2.3.4</t>
  </si>
  <si>
    <t>C4.2.3.3</t>
  </si>
  <si>
    <t>C4.2.3.1</t>
  </si>
  <si>
    <t>Excavating of materials in cuttings, material obtained from</t>
  </si>
  <si>
    <t>C4.2.3</t>
  </si>
  <si>
    <t>Cuttings exceeding 20 000 m3 up to 50 000 m3</t>
  </si>
  <si>
    <t>C4.2.1.3</t>
  </si>
  <si>
    <t>Cuttings exceeding 5 000 m3 up to 10 000 m3</t>
  </si>
  <si>
    <t>C4.2.1.1</t>
  </si>
  <si>
    <t>Compiling and implementing M&amp;U plans for the cuttings</t>
  </si>
  <si>
    <t>C4.2.1</t>
  </si>
  <si>
    <t>m2</t>
  </si>
  <si>
    <t>Prov Sum</t>
  </si>
  <si>
    <t>PC Sum</t>
  </si>
  <si>
    <t>Excavating all material situated within the following depth ranges below the surface level</t>
  </si>
  <si>
    <t>Foundation trench excavation:</t>
  </si>
  <si>
    <t>Pre-splitting - compensation for additional holes</t>
  </si>
  <si>
    <t>Excavation in hard rock using controlled blasting techniques</t>
  </si>
  <si>
    <t>Lump sum</t>
  </si>
  <si>
    <t>Client Line 1:</t>
  </si>
  <si>
    <t>Client Line 2:</t>
  </si>
  <si>
    <t>l</t>
  </si>
  <si>
    <t>Reinforced concrete</t>
  </si>
  <si>
    <t>Road lime</t>
  </si>
  <si>
    <t>C4.4.4.2</t>
  </si>
  <si>
    <t>C4.4.4.1</t>
  </si>
  <si>
    <t>Cementitious stabilising agents</t>
  </si>
  <si>
    <t>C4.4.4</t>
  </si>
  <si>
    <t>Commercial materials identified by the Contractor from commercial, private or other non-commercial suppliers</t>
  </si>
  <si>
    <t>C4.4.2</t>
  </si>
  <si>
    <t>COMMERCIAL MATERIALS</t>
  </si>
  <si>
    <t>C4.4</t>
  </si>
  <si>
    <r>
      <t>m</t>
    </r>
    <r>
      <rPr>
        <sz val="9"/>
        <rFont val="Calibri"/>
        <family val="2"/>
      </rPr>
      <t>³</t>
    </r>
  </si>
  <si>
    <t>m³</t>
  </si>
  <si>
    <t>From the excavated trench material</t>
  </si>
  <si>
    <t>Backfill compacted tp 90% (100% for sand) of MDD or complying with the DCP requirements of Clause A2.1.8.2c)(areas not subject to traffic loads) using material:</t>
  </si>
  <si>
    <t>C2.1.11.2</t>
  </si>
  <si>
    <t>Backfill compacted tp 93% (100% for sand) of MDD (areas subject to traffic loads) using material:</t>
  </si>
  <si>
    <t>C2.1.11.1</t>
  </si>
  <si>
    <t>Backfilling of trenches</t>
  </si>
  <si>
    <t>C2.1.11</t>
  </si>
  <si>
    <t>Up to 1.0m deep</t>
  </si>
  <si>
    <t xml:space="preserve">Trenches up to 1.0m wide (in soft material) : </t>
  </si>
  <si>
    <t>C2.1.9.1</t>
  </si>
  <si>
    <t>Trench excavation using labour enhanced construction methods</t>
  </si>
  <si>
    <t>C2.1.9</t>
  </si>
  <si>
    <t>Hard material irrespective of depth</t>
  </si>
  <si>
    <t>C2.1.7.1</t>
  </si>
  <si>
    <t>Extra over items C2.1.6, C2.1.8and C2.1.16 for excavating in:</t>
  </si>
  <si>
    <t>C2.1.7</t>
  </si>
  <si>
    <t>Over 1.0m and up to 2.0m deep</t>
  </si>
  <si>
    <t xml:space="preserve">Trenches up to 1.0m wide : </t>
  </si>
  <si>
    <t>C2.1.6.1</t>
  </si>
  <si>
    <t>C2.1.6</t>
  </si>
  <si>
    <t>Using hand excavation to locate,expose and verify services</t>
  </si>
  <si>
    <t>Handling costs and profit in respect of item C2.1.1.2 above</t>
  </si>
  <si>
    <t>C2.1.1.3</t>
  </si>
  <si>
    <t>Permanent services relocation or protection work by others</t>
  </si>
  <si>
    <t>C2.1.1.2</t>
  </si>
  <si>
    <t>Location,Identification and relocation of existing services</t>
  </si>
  <si>
    <t>GENERAL REQUIREMENTS AND TRENCHING FOR SERVICES</t>
  </si>
  <si>
    <t>C2.1</t>
  </si>
  <si>
    <t>C2.2.6.4</t>
  </si>
  <si>
    <t>C2.2.6.3</t>
  </si>
  <si>
    <t>C2.2.6.1</t>
  </si>
  <si>
    <t>Duct accessories (markers, marking, draw wires and end caps etc.)</t>
  </si>
  <si>
    <t>From commercial sources</t>
  </si>
  <si>
    <t>C2.2.4.5</t>
  </si>
  <si>
    <t>Bedding for ducts compacted to 90 % of MDD (100 % for sand) using material:</t>
  </si>
  <si>
    <t>C2.2.1.1</t>
  </si>
  <si>
    <t>Supply, lay and prove ducts</t>
  </si>
  <si>
    <t>Grouted stone pitching on a concrete bed</t>
  </si>
  <si>
    <t>C11.1.2.3</t>
  </si>
  <si>
    <t>Grouted stone pitching with mortar</t>
  </si>
  <si>
    <t>C11.1.2.2</t>
  </si>
  <si>
    <t>Method 1</t>
  </si>
  <si>
    <t>Plain stone pitching</t>
  </si>
  <si>
    <t>C11.1.2.1</t>
  </si>
  <si>
    <t>Stone pitching</t>
  </si>
  <si>
    <t>C11.1.2</t>
  </si>
  <si>
    <t>PITCHING, STONEWORK, CAST IN SITU CONCRETE FOR PROTECTION AGAINST EROSION</t>
  </si>
  <si>
    <t>C11.1</t>
  </si>
  <si>
    <t>C11.2.4</t>
  </si>
  <si>
    <t>C11.2.3.3</t>
  </si>
  <si>
    <t>C11.2.3.1</t>
  </si>
  <si>
    <t>Gabion boxes and mattresses:</t>
  </si>
  <si>
    <t>C11.2.3</t>
  </si>
  <si>
    <t>Surface preparation for bedding the gabion boxes and mattresses</t>
  </si>
  <si>
    <t>C11.2.2</t>
  </si>
  <si>
    <t>0 m to 1,5 m</t>
  </si>
  <si>
    <t>C11.2.1.1</t>
  </si>
  <si>
    <t>C11.2.1</t>
  </si>
  <si>
    <t/>
  </si>
  <si>
    <t>Nailing of gang nail plates on top of timber guardrail posts</t>
  </si>
  <si>
    <t>C11.4.14</t>
  </si>
  <si>
    <t>C11.4.11.8</t>
  </si>
  <si>
    <t>Post bolt complete with nut and washer compliant to SANS 1350</t>
  </si>
  <si>
    <t>C11.4.11.7</t>
  </si>
  <si>
    <t>Splice bolt complete with nut and washer compliant to SANS 1350</t>
  </si>
  <si>
    <t>C11.4.11.6</t>
  </si>
  <si>
    <t>Spacer blocks compliant to SANS 457</t>
  </si>
  <si>
    <t>C11.4.11.5</t>
  </si>
  <si>
    <t>Reflective plates</t>
  </si>
  <si>
    <t>New material required for the re-erection guardrails with recovered materials:</t>
  </si>
  <si>
    <t>C11.4.11</t>
  </si>
  <si>
    <t>On timber posts (Drawing reference)</t>
  </si>
  <si>
    <t>C11.4.1.1</t>
  </si>
  <si>
    <t>Removing existing guardrails:</t>
  </si>
  <si>
    <t>C11.4.7</t>
  </si>
  <si>
    <t>Steel plates</t>
  </si>
  <si>
    <t>C11.4.6.1</t>
  </si>
  <si>
    <t>C11.4.6</t>
  </si>
  <si>
    <t>Timber</t>
  </si>
  <si>
    <t>C11.4.5.1</t>
  </si>
  <si>
    <t>Additional guardrail posts for 3,81 m systems:</t>
  </si>
  <si>
    <t>C11.4.5</t>
  </si>
  <si>
    <t>Extra over C11.4.1 and C11.4.11 for horizontally curved guard rails factory bent to a radius of less than 45 m</t>
  </si>
  <si>
    <t>C11.4.4.1</t>
  </si>
  <si>
    <t>Extra over for horizontally curved guard rails</t>
  </si>
  <si>
    <t>C11.4.4</t>
  </si>
  <si>
    <t>End wings to SANS 1350</t>
  </si>
  <si>
    <t>Terminal sections for 3,81 guardrails comprising of:</t>
  </si>
  <si>
    <t>C11.4.1.2</t>
  </si>
  <si>
    <t>Complete galvanized system compliant to SANS 1350:</t>
  </si>
  <si>
    <t>Erecting of guardrails at 3,81 m spacing</t>
  </si>
  <si>
    <t>C11.4.1</t>
  </si>
  <si>
    <t>Ringbolts for anchoring fencing to structures</t>
  </si>
  <si>
    <t>C11.5.6</t>
  </si>
  <si>
    <t>no</t>
  </si>
  <si>
    <t>C11.5.5.5</t>
  </si>
  <si>
    <t>C11.5.5.3</t>
  </si>
  <si>
    <t>C11.5.5.1</t>
  </si>
  <si>
    <t>Providing temporary fences and gates:</t>
  </si>
  <si>
    <t>C11.5.5</t>
  </si>
  <si>
    <t>Fences:</t>
  </si>
  <si>
    <t>C11.5.4.1</t>
  </si>
  <si>
    <t>C11.5.2</t>
  </si>
  <si>
    <t>Inclined</t>
  </si>
  <si>
    <t>Straining posts, stays and anchors:</t>
  </si>
  <si>
    <t>C11.5.1.9</t>
  </si>
  <si>
    <t>C11.5.1.8</t>
  </si>
  <si>
    <t>C11.5.1.7</t>
  </si>
  <si>
    <t>C11.5.1.1</t>
  </si>
  <si>
    <t>Supply and erect new fencing material for new fences and for supplementing material in existing fences which are being repaired or removed:</t>
  </si>
  <si>
    <t>C11.5.1</t>
  </si>
  <si>
    <t>C11.6.8.2</t>
  </si>
  <si>
    <t>Danger plates at culverts/structures</t>
  </si>
  <si>
    <t>C11.6.8</t>
  </si>
  <si>
    <t>Extra over item C11.6.5.1 for hard material excavation</t>
  </si>
  <si>
    <t>C11.6.5.4</t>
  </si>
  <si>
    <t>Extra over item C11.6.5.1 and 2 for cement-treated soil backfill</t>
  </si>
  <si>
    <t>C11.6.5.3</t>
  </si>
  <si>
    <t>Excavating soft or intermediate material and backfilling using labour enhanced construction methods</t>
  </si>
  <si>
    <t>C11.6.5.2</t>
  </si>
  <si>
    <t>Excavation and backfilling for road sign supports (not applicable to kilometre posts)</t>
  </si>
  <si>
    <t>C11.6.5</t>
  </si>
  <si>
    <t>m²</t>
  </si>
  <si>
    <t>C11.6.3.2</t>
  </si>
  <si>
    <t>Road sign supports (overhead road sign structures excluded):</t>
  </si>
  <si>
    <t>C11.6.3</t>
  </si>
  <si>
    <t>C11.6.1.12</t>
  </si>
  <si>
    <t>Warning signs, temporary</t>
  </si>
  <si>
    <t>C11.6.1.10</t>
  </si>
  <si>
    <t>Warning signs, permanent</t>
  </si>
  <si>
    <t>C11.6.1.9</t>
  </si>
  <si>
    <t>Regulatory signs, temporary</t>
  </si>
  <si>
    <t>C11.6.1.8</t>
  </si>
  <si>
    <t>Regulatory signs, permanent</t>
  </si>
  <si>
    <t>C11.6.1.7</t>
  </si>
  <si>
    <t xml:space="preserve">   </t>
  </si>
  <si>
    <t>Prepainted galvanized steel plate:</t>
  </si>
  <si>
    <t>C11.6.1.3</t>
  </si>
  <si>
    <t>Road signboards with painted or coloured semi-matt background. Symbols, lettering and borders in semi- matt black or in Class I retro-reflective material, where the sign board is constructed from:</t>
  </si>
  <si>
    <t>C11.6.1</t>
  </si>
  <si>
    <t>ROAD SIGNS</t>
  </si>
  <si>
    <t>C11.6</t>
  </si>
  <si>
    <t>Re-establishing the painting unit during the defects notification period and at other instances on instruction of the Engineer</t>
  </si>
  <si>
    <t>C11.7.9</t>
  </si>
  <si>
    <t>Setting out and premarking the lines (excluding traffic island markings, lettering and symbols)</t>
  </si>
  <si>
    <t>C11.7.7.3</t>
  </si>
  <si>
    <t>C11.7.7.1</t>
  </si>
  <si>
    <t>Road studs</t>
  </si>
  <si>
    <t>Red paint</t>
  </si>
  <si>
    <t>C11.7.5.3</t>
  </si>
  <si>
    <t>Yellow paint</t>
  </si>
  <si>
    <t>C11.7.5.2</t>
  </si>
  <si>
    <t>White paint</t>
  </si>
  <si>
    <t>C11.7.5.1</t>
  </si>
  <si>
    <t>Variations in rate of application:</t>
  </si>
  <si>
    <t>C11.7.5</t>
  </si>
  <si>
    <t>C11.7.2.7</t>
  </si>
  <si>
    <t>C11.7.2.5</t>
  </si>
  <si>
    <t>C11.7.2.4</t>
  </si>
  <si>
    <t>C11.7.2.2</t>
  </si>
  <si>
    <t>C11.7.2.1</t>
  </si>
  <si>
    <t>Retro-reflective road marking:</t>
  </si>
  <si>
    <t>ROAD MARKINGS AND ROAD STUDS</t>
  </si>
  <si>
    <t>C11.7</t>
  </si>
  <si>
    <t>Unspecified work for landscaping</t>
  </si>
  <si>
    <t>Watering the already planted grass, trees and shrubs during the growing season</t>
  </si>
  <si>
    <t>C11.8.6</t>
  </si>
  <si>
    <t>Nursery sods (type of grass specified)</t>
  </si>
  <si>
    <t>Sodding by using the following types of sods:</t>
  </si>
  <si>
    <t>C11.8.4.2</t>
  </si>
  <si>
    <t>Grassing</t>
  </si>
  <si>
    <t>C11.8.4</t>
  </si>
  <si>
    <t>2:3:2 (22)</t>
  </si>
  <si>
    <t>Lime</t>
  </si>
  <si>
    <t>Providing and applying chemical fertilisers and/or soil-improvement material:</t>
  </si>
  <si>
    <t>C11.8.3.5</t>
  </si>
  <si>
    <t>Topsoil obtained from within the road reserve or borrow areas</t>
  </si>
  <si>
    <t>Topsoiling within the road reserve where the following materials are used:</t>
  </si>
  <si>
    <t>C11.8.3.3</t>
  </si>
  <si>
    <t>Preparing the areas for grassing:</t>
  </si>
  <si>
    <t>C11.8.3</t>
  </si>
  <si>
    <t>Hand trimming</t>
  </si>
  <si>
    <t>C11.8.1.2</t>
  </si>
  <si>
    <t>Machine trimming</t>
  </si>
  <si>
    <t>Trimming:</t>
  </si>
  <si>
    <t>C11.8.1</t>
  </si>
  <si>
    <t>LANDSCAPING AND PLANTING PLANTS</t>
  </si>
  <si>
    <t>C11.8</t>
  </si>
  <si>
    <t>Single carriageway road</t>
  </si>
  <si>
    <t>C11.9.1.2</t>
  </si>
  <si>
    <t>Finishing the road and road reserve:</t>
  </si>
  <si>
    <t>C11.9.1</t>
  </si>
  <si>
    <t>FINISHING THE ROAD AND ROAD RESERVE AND TREATING OLD ROADS</t>
  </si>
  <si>
    <t>C11.9</t>
  </si>
  <si>
    <t>Application of cover spray:</t>
  </si>
  <si>
    <t>C10.1.11</t>
  </si>
  <si>
    <t>C10.1.9.11</t>
  </si>
  <si>
    <t>C10.1.9.4</t>
  </si>
  <si>
    <t>Bituminous binder variations:</t>
  </si>
  <si>
    <t>C10.1.3.1</t>
  </si>
  <si>
    <t>Multiple stone seals including a cover spray, if specified using:</t>
  </si>
  <si>
    <t>GENERAL REQUIREMENTS FOR SURFACE TREATMENTS</t>
  </si>
  <si>
    <t>C10.1</t>
  </si>
  <si>
    <t>EXPANDED PUBLIC WORKS PROGRAMME (EPWP)</t>
  </si>
  <si>
    <t xml:space="preserve">Provision of training venue facility, including the cost of transport the learners to and from this facility </t>
  </si>
  <si>
    <t>hr</t>
  </si>
  <si>
    <t>FROM PAGE</t>
  </si>
  <si>
    <t>C2.3 SUMMARY OF BILL OF QUANTITIES</t>
  </si>
  <si>
    <t>VAT (15% of Subtotal 3)</t>
  </si>
  <si>
    <t>TOTAL CARRIED FORWARD TO FORM OF OFFER</t>
  </si>
  <si>
    <t>DISCLAIMER</t>
  </si>
  <si>
    <t>Kindly note that the responsibility lies with Tenderer to check the tender document and the tender addenda (if issued) to verify that all the information is correct and all changes have been incorporated as no claims will be entertained in this regard afterwards.  Accordingly, we confirm that the hard copies of the original tender document and the tender addenda are to be regarded to contain the correct items and quantities.</t>
  </si>
  <si>
    <t>TOTAL CARRIED TO SUMMARY</t>
  </si>
  <si>
    <t>TOTAL CARRIED FORWARD TO SUMMARY</t>
  </si>
  <si>
    <t>Contract No</t>
  </si>
  <si>
    <t>Contract Description</t>
  </si>
  <si>
    <t>C3.1.7.2</t>
  </si>
  <si>
    <t>C4.1</t>
  </si>
  <si>
    <t>BORROW MATERIALS</t>
  </si>
  <si>
    <t>C4.2</t>
  </si>
  <si>
    <t>CUT MATERIALS</t>
  </si>
  <si>
    <t>m3</t>
  </si>
  <si>
    <t>In soft material</t>
  </si>
  <si>
    <t>In hard material</t>
  </si>
  <si>
    <t>In soft material using labour enhanced methods of construction</t>
  </si>
  <si>
    <t>SCHEDULE A: ROADWORKS - SUMMARY</t>
  </si>
  <si>
    <t>CHAPTER</t>
  </si>
  <si>
    <t>Days</t>
  </si>
  <si>
    <t>Type G5A material</t>
  </si>
  <si>
    <t>C11.2</t>
  </si>
  <si>
    <t>NON-STRUCTURAL GABIONS</t>
  </si>
  <si>
    <t>ROAD RESTRAINT SYSTEMS</t>
  </si>
  <si>
    <t>C11.4</t>
  </si>
  <si>
    <t>C11.5</t>
  </si>
  <si>
    <t>FENCING</t>
  </si>
  <si>
    <r>
      <t>Area exceeding 0,5 m2 but not 2,0 m</t>
    </r>
    <r>
      <rPr>
        <sz val="10"/>
        <rFont val="Calibri"/>
        <family val="2"/>
      </rPr>
      <t>²</t>
    </r>
  </si>
  <si>
    <t>SUBTOTAL BROUGHT FORWARD</t>
  </si>
  <si>
    <t>Generic Skills</t>
  </si>
  <si>
    <t>Training costs</t>
  </si>
  <si>
    <t>Entrepreneurial skills:</t>
  </si>
  <si>
    <t>Generic Skills:</t>
  </si>
  <si>
    <t>Construction skills:</t>
  </si>
  <si>
    <t>(d.ii)</t>
  </si>
  <si>
    <t>(e.i)</t>
  </si>
  <si>
    <t>(e.ii)</t>
  </si>
  <si>
    <t>Provision of tools and apparel for the NYS workers</t>
  </si>
  <si>
    <t>Liaison with the Employer’s project manager and the training service provider:</t>
  </si>
  <si>
    <t>Liaison conducted by senior site foreman</t>
  </si>
  <si>
    <t>(a.v)</t>
  </si>
  <si>
    <t>SCHEDULE</t>
  </si>
  <si>
    <t>SUBTOTAL 1</t>
  </si>
  <si>
    <t>SUBTOTAL 2</t>
  </si>
  <si>
    <t>SUBTOTAL 3</t>
  </si>
  <si>
    <t>Signed on behalf of the Tenderer: ……………………………………………………. (Signature)
Date: …………………………………………………..
Tenderer’s Name: ………………………………………………………………. (Company Name)</t>
  </si>
  <si>
    <t>Training of learners employed by the contractor or by the Targeted Enterprise subcontractors:</t>
  </si>
  <si>
    <t>F</t>
  </si>
  <si>
    <t>Transportation and accommodation costs of selected learners only, while receiving off-site training:</t>
  </si>
  <si>
    <t>Transportation and accommodation costs</t>
  </si>
  <si>
    <t>Payments associated with the NYS programme:</t>
  </si>
  <si>
    <t>Employment of NYS workers</t>
  </si>
  <si>
    <t>Training of NYS workers:</t>
  </si>
  <si>
    <t>Provision of training for NYS workers</t>
  </si>
  <si>
    <t>Liaison conducted by the construction manager</t>
  </si>
  <si>
    <t>Handling costs and profit in respect of subitem E6.02(b)(i) above.</t>
  </si>
  <si>
    <t>Handling costs and profit in respect of subitem E6.02(c)(i) above.</t>
  </si>
  <si>
    <t>Handling costs and profit in respect of subitem E6.02(d)(i) above.</t>
  </si>
  <si>
    <t>SMALL CONTRACTOR DEVELOPMENT</t>
  </si>
  <si>
    <t>Procurement of Targeted Enterprises:</t>
  </si>
  <si>
    <t>Management and execution of Targeted Enterprise procurement process:</t>
  </si>
  <si>
    <t>Procurement process for the appointment of CIDB contractor grading designation 1 Targeted Enterprise subcontractor (100 copies of the tender document required for each individual tender)</t>
  </si>
  <si>
    <t>Procurement process for the appointment of CIDB contractor grading designation 2 Targeted Enterprise subcontractor (80 copies of the tender document required for each individual tender)</t>
  </si>
  <si>
    <t>Procurement process for the appointment of CIDB contractor grading designation 3 Targeted Enterprise subcontractor (60 copies of the tender document required for each individual tender)</t>
  </si>
  <si>
    <t>Procurement process for the appointment of CIDB contractor grading designation 5 Targeted Enterprise subcontractor (40 copies of the tender document required for each individual tender)</t>
  </si>
  <si>
    <t>Construction Works for Targeted Enterprise subcontractors:</t>
  </si>
  <si>
    <t>Payments associated with the construction Works carried out by Targeted Enterprise subcontractors</t>
  </si>
  <si>
    <t>Supply of materials and small construction equipment to assist Targeted Enterprise subcontractors</t>
  </si>
  <si>
    <t>Management of the Targeted Enterprise subcontractors</t>
  </si>
  <si>
    <t>Training of Targeted Enterprise subcontractors:</t>
  </si>
  <si>
    <t>Handling costs and profit in respect of subitem F10.03(a)(i)</t>
  </si>
  <si>
    <t>Handling costs and profit in respect of subitem F10.03(b)(i)</t>
  </si>
  <si>
    <t>Handling costs and profit in respect of subitem F10.03(c)(i)</t>
  </si>
  <si>
    <t>Handling costs and profit in respect of subitem F10.03(d)(i)</t>
  </si>
  <si>
    <t>Labour Rate /hr</t>
  </si>
  <si>
    <t xml:space="preserve"> /hr</t>
  </si>
  <si>
    <t>Summary Pages:</t>
  </si>
  <si>
    <t>Hrs /day</t>
  </si>
  <si>
    <t>A</t>
  </si>
  <si>
    <t>Labour Rate /day</t>
  </si>
  <si>
    <t xml:space="preserve"> /day</t>
  </si>
  <si>
    <t>Contract Period:</t>
  </si>
  <si>
    <t xml:space="preserve"> months</t>
  </si>
  <si>
    <t>Contract</t>
  </si>
  <si>
    <t>Summary</t>
  </si>
  <si>
    <t>Duration</t>
  </si>
  <si>
    <t>% CPA</t>
  </si>
  <si>
    <t>18 months</t>
  </si>
  <si>
    <t>Contingencies %:</t>
  </si>
  <si>
    <t>12 months</t>
  </si>
  <si>
    <t>CPA %:</t>
  </si>
  <si>
    <t>6 months</t>
  </si>
  <si>
    <t>Road Start (km)</t>
  </si>
  <si>
    <t>Road End (km)</t>
  </si>
  <si>
    <t>Road Length (km)</t>
  </si>
  <si>
    <t xml:space="preserve"> km</t>
  </si>
  <si>
    <t>Contract Price Adjustment Factors:</t>
  </si>
  <si>
    <t>21.12(a) Subsoil drain outlet:</t>
  </si>
  <si>
    <t>Default PC Sum markup %:</t>
  </si>
  <si>
    <t>Type</t>
  </si>
  <si>
    <t>a</t>
  </si>
  <si>
    <t>b</t>
  </si>
  <si>
    <t>c</t>
  </si>
  <si>
    <t>d</t>
  </si>
  <si>
    <t>Total</t>
  </si>
  <si>
    <t>Concrete Vol</t>
  </si>
  <si>
    <t>Brickwork Area</t>
  </si>
  <si>
    <t>Earthworks</t>
  </si>
  <si>
    <t>Roadmarking</t>
  </si>
  <si>
    <t xml:space="preserve">General Civils  </t>
  </si>
  <si>
    <t>Applications (No.)</t>
  </si>
  <si>
    <t>(1 or 2)</t>
  </si>
  <si>
    <t xml:space="preserve">50% Earthworks </t>
  </si>
  <si>
    <t>Roadstud spacing</t>
  </si>
  <si>
    <t xml:space="preserve"> m</t>
  </si>
  <si>
    <t>50% Concrete</t>
  </si>
  <si>
    <t>Road-works and Layer-works</t>
  </si>
  <si>
    <t>Concrete Structures</t>
  </si>
  <si>
    <t>Premix Surfacing &amp; Rehabilitation</t>
  </si>
  <si>
    <t>Labour-intensive costs:</t>
  </si>
  <si>
    <t>Item</t>
  </si>
  <si>
    <t>Unit</t>
  </si>
  <si>
    <t>Rate</t>
  </si>
  <si>
    <t>Reference</t>
  </si>
  <si>
    <t>Productivity</t>
  </si>
  <si>
    <t>Haulage R/m/m³</t>
  </si>
  <si>
    <t>_HaulPerMetre</t>
  </si>
  <si>
    <t xml:space="preserve">70sec/0.06m³/50m             </t>
  </si>
  <si>
    <t xml:space="preserve">[LR x 70 / 60 / 60 / 0.06]                   </t>
  </si>
  <si>
    <t>Haulage Dist (m)</t>
  </si>
  <si>
    <r>
      <t>Haulage R/m</t>
    </r>
    <r>
      <rPr>
        <sz val="10"/>
        <rFont val="Calibri"/>
        <family val="2"/>
      </rPr>
      <t>³</t>
    </r>
  </si>
  <si>
    <t>_Haul</t>
  </si>
  <si>
    <r>
      <t>Concrete Mix (R/m</t>
    </r>
    <r>
      <rPr>
        <sz val="10"/>
        <rFont val="Calibri"/>
        <family val="2"/>
      </rPr>
      <t>³</t>
    </r>
    <r>
      <rPr>
        <sz val="10"/>
        <rFont val="Arial"/>
        <family val="2"/>
      </rPr>
      <t>)</t>
    </r>
  </si>
  <si>
    <t>_Mix</t>
  </si>
  <si>
    <t xml:space="preserve">105 mins/m³ (7pkts mix/m³) [105 / 60 x LR x 5] </t>
  </si>
  <si>
    <t>Conc. Place &amp; Compact</t>
  </si>
  <si>
    <t>_Place</t>
  </si>
  <si>
    <t>Same rate as for mixing by hand</t>
  </si>
  <si>
    <t>Brick walling</t>
  </si>
  <si>
    <r>
      <t>m</t>
    </r>
    <r>
      <rPr>
        <sz val="10"/>
        <rFont val="Arial"/>
        <family val="2"/>
      </rPr>
      <t>²</t>
    </r>
  </si>
  <si>
    <t>_Brickwork</t>
  </si>
  <si>
    <t>5 m²/day for 4 labour-equivalent</t>
  </si>
  <si>
    <t>Soft Excavation (incl. haul)</t>
  </si>
  <si>
    <t>_Excavation</t>
  </si>
  <si>
    <t>2.5m³ /day + haul: 70sec/0.06m³/50m</t>
  </si>
  <si>
    <t>Compaction (hand stamper)</t>
  </si>
  <si>
    <t>_Stamp</t>
  </si>
  <si>
    <t>5m² /hr @ 100mm deep</t>
  </si>
  <si>
    <t>Compactoin (wacker)</t>
  </si>
  <si>
    <t>_Wacker</t>
  </si>
  <si>
    <t>20m² /hr @ 150mm deep</t>
  </si>
  <si>
    <t>Spread (e.g. stone)</t>
  </si>
  <si>
    <t>_Spread</t>
  </si>
  <si>
    <t>8m³ / man / hour</t>
  </si>
  <si>
    <t>_Plaster</t>
  </si>
  <si>
    <r>
      <t>(Team = 1 Artisan + 2 Labour = 4 Labour equivalent) @ 25m</t>
    </r>
    <r>
      <rPr>
        <sz val="10"/>
        <rFont val="Arial"/>
        <family val="2"/>
      </rPr>
      <t>² /day</t>
    </r>
  </si>
  <si>
    <t>Benching</t>
  </si>
  <si>
    <t>_Benching</t>
  </si>
  <si>
    <t>(Team = 1 Artisan + 2 Labour = 4 Labour equivalent) @ 15m² /day</t>
  </si>
  <si>
    <t>Clearing and grubbing</t>
  </si>
  <si>
    <t>_Clearing</t>
  </si>
  <si>
    <t>10m² /hr</t>
  </si>
  <si>
    <t>Backfill (incl wacker)</t>
  </si>
  <si>
    <t>_Backfill</t>
  </si>
  <si>
    <r>
      <t>10m</t>
    </r>
    <r>
      <rPr>
        <sz val="10"/>
        <rFont val="Arial"/>
        <family val="2"/>
      </rPr>
      <t>³</t>
    </r>
    <r>
      <rPr>
        <sz val="10"/>
        <rFont val="Arial"/>
        <family val="2"/>
      </rPr>
      <t xml:space="preserve"> /day + wacker</t>
    </r>
  </si>
  <si>
    <t>Formwork (std shutters)</t>
  </si>
  <si>
    <t>_Formwork</t>
  </si>
  <si>
    <t>3 man hours/m²</t>
  </si>
  <si>
    <t>Weld Mesh</t>
  </si>
  <si>
    <t>_Mesh</t>
  </si>
  <si>
    <t>100 man hours / ton</t>
  </si>
  <si>
    <t>Polyethylene Sheeting</t>
  </si>
  <si>
    <t>_Sheeting</t>
  </si>
  <si>
    <t>5min /m²</t>
  </si>
  <si>
    <t>Filter Fabric</t>
  </si>
  <si>
    <t>_Geofabric</t>
  </si>
  <si>
    <t>2 man team 4min per m² [(LR x 2men x 4min / 60min)]</t>
  </si>
  <si>
    <t>Subsoil Pipe</t>
  </si>
  <si>
    <t>_Subsoil</t>
  </si>
  <si>
    <t>2 man team 15min per pipe [(LR x 2men x 15min / 60min) / 2.5m]</t>
  </si>
  <si>
    <t>Expansion Joints (sealed)</t>
  </si>
  <si>
    <t>_Expansion</t>
  </si>
  <si>
    <t>20m / 5 man hours/m [5/20 x LR]</t>
  </si>
  <si>
    <t>Kerb bedding &amp; laying</t>
  </si>
  <si>
    <t>_Kerb</t>
  </si>
  <si>
    <t>[Concrete x0.3m wide x0.075 deep)] + [70m kerbs/team/day (team of 4-equivalent)]</t>
  </si>
  <si>
    <t>Kerb &amp; channel</t>
  </si>
  <si>
    <t>_KandC</t>
  </si>
  <si>
    <t>Excavation (0.5m x 0.1m) + Concrete (0.5m x 0.1m) + Kerb</t>
  </si>
  <si>
    <t>Gabion</t>
  </si>
  <si>
    <t>_Gabion</t>
  </si>
  <si>
    <t>1m³/man/day</t>
  </si>
  <si>
    <t>Guardrail Posts</t>
  </si>
  <si>
    <t>No.</t>
  </si>
  <si>
    <t>_GPost</t>
  </si>
  <si>
    <t>8 posts /team/day (4-equivalent team)</t>
  </si>
  <si>
    <t>Guardrail Erection</t>
  </si>
  <si>
    <t>_GRail</t>
  </si>
  <si>
    <t>26m/team/day [LR x 9 x 4 / 26]</t>
  </si>
  <si>
    <t>Road Sign &amp; Pole Erect</t>
  </si>
  <si>
    <t>_Sign</t>
  </si>
  <si>
    <r>
      <t>2 hours per sign per team (4-equivalent) (up to 2m</t>
    </r>
    <r>
      <rPr>
        <sz val="10"/>
        <rFont val="Calibri"/>
        <family val="2"/>
      </rPr>
      <t>²</t>
    </r>
    <r>
      <rPr>
        <sz val="10"/>
        <rFont val="Arial"/>
        <family val="2"/>
      </rPr>
      <t xml:space="preserve"> size)</t>
    </r>
  </si>
  <si>
    <t>Wages, salary and allowances.</t>
  </si>
  <si>
    <t>Provision of a Project Liaison Officer (PLO)</t>
  </si>
  <si>
    <t>i)</t>
  </si>
  <si>
    <t>ii)</t>
  </si>
  <si>
    <t>Worksheets to the right of this tab are not relevant to the current contract</t>
  </si>
  <si>
    <t>Total Carried Forward to Summary</t>
  </si>
  <si>
    <t>Pages:</t>
  </si>
  <si>
    <t>ITEM No</t>
  </si>
  <si>
    <t>LI</t>
  </si>
  <si>
    <t>LI Rate</t>
  </si>
  <si>
    <t>LI Amount</t>
  </si>
  <si>
    <t>LI Calculation</t>
  </si>
  <si>
    <t>LI Comments</t>
  </si>
  <si>
    <t>AUTOCHECK</t>
  </si>
  <si>
    <t>Calculation of Local Labour Employment Targets</t>
  </si>
  <si>
    <t>Step 1: Set the Labour Intensity. The labour intensity can be assumed to be range from 10 % (min) to  90 % .</t>
  </si>
  <si>
    <t>The Implementing Body has to determine the labour intensity depending on the scope of works using values provided in the EPWP Guideline</t>
  </si>
  <si>
    <r>
      <t xml:space="preserve">Indicative Labour intensity (minimum wages) </t>
    </r>
    <r>
      <rPr>
        <b/>
        <sz val="14"/>
        <color theme="1"/>
        <rFont val="Calibri"/>
        <family val="2"/>
        <scheme val="minor"/>
      </rPr>
      <t>see separate sheet</t>
    </r>
  </si>
  <si>
    <t>Step 2: The Implementing Body has to decide on Wage Rate  (R)</t>
  </si>
  <si>
    <t>Daily Wage Rate=</t>
  </si>
  <si>
    <t xml:space="preserve">Step 3: </t>
  </si>
  <si>
    <t>Calculation of Working Period</t>
  </si>
  <si>
    <t>Implementing Body has to decide (Estimate) how long the whole project will take to construct/implement</t>
  </si>
  <si>
    <t>The table below indicates the total working days for different implementation period (months), assuming working days per month=</t>
  </si>
  <si>
    <t>Project Period (months)</t>
  </si>
  <si>
    <t>No. of Working days (d)</t>
  </si>
  <si>
    <t>Step 4: Calculate Labour Cost (wage to be paid) for 1 Work Opportunity for the project duration using the formula</t>
  </si>
  <si>
    <t>CWO= Rxd                     (Wage rate (Rand)xProject duration)</t>
  </si>
  <si>
    <t>where CWO=  Cost of 1 Work opportunity</t>
  </si>
  <si>
    <t>Worksheet Below automatically calculates cost of work opportunity</t>
  </si>
  <si>
    <t>Wage Rate =</t>
  </si>
  <si>
    <t>Project Period(Months)</t>
  </si>
  <si>
    <t>No. of Working days</t>
  </si>
  <si>
    <t>Cost of 1 Work opportunity</t>
  </si>
  <si>
    <t>Step 5: Calculate the Total No. of Work Opportunities i.e. Total Number of Workers</t>
  </si>
  <si>
    <t>Total No. of work opportunities can be calculated with formula:</t>
  </si>
  <si>
    <t>WO= (Total Budget X LI)/Cost of 1 WO</t>
  </si>
  <si>
    <t>Example: (Assume labour intensity of 15 %)</t>
  </si>
  <si>
    <t>Project Budget=</t>
  </si>
  <si>
    <t>Daily Wage Rate</t>
  </si>
  <si>
    <t>Labour Intensity=</t>
  </si>
  <si>
    <t>Total Cost of Labour=</t>
  </si>
  <si>
    <t>Project Period (Months)=</t>
  </si>
  <si>
    <t>Project Period (days)</t>
  </si>
  <si>
    <t>Labour Cost of 1 WO=</t>
  </si>
  <si>
    <t>Planned Employment target- Total WO=</t>
  </si>
  <si>
    <t>Employment target- Total FTE=</t>
  </si>
  <si>
    <t>Table Below Automatically Calculates the Work Opprtunities for given Budget, Project period, Labour Intensity and Daily Wage Rate</t>
  </si>
  <si>
    <t xml:space="preserve">No. of Working days in 1 year: </t>
  </si>
  <si>
    <t>Eshowe  Cost Centre</t>
  </si>
  <si>
    <t>#</t>
  </si>
  <si>
    <t>Project name</t>
  </si>
  <si>
    <t>Budget (Rands)</t>
  </si>
  <si>
    <t>Labour Intensity</t>
  </si>
  <si>
    <t>Daily Min Wage  (Rands)</t>
  </si>
  <si>
    <t>Project Period</t>
  </si>
  <si>
    <t>Total Cost of Labour</t>
  </si>
  <si>
    <t>Total wage for 1 WO for the project duration</t>
  </si>
  <si>
    <t>Target</t>
  </si>
  <si>
    <t>Status</t>
  </si>
  <si>
    <t>Source of Funds/ Budget</t>
  </si>
  <si>
    <t>Months</t>
  </si>
  <si>
    <t>WO</t>
  </si>
  <si>
    <t>FTE</t>
  </si>
  <si>
    <t>TOTAL</t>
  </si>
  <si>
    <t>Note: Working days reduced due to December shutdown.</t>
  </si>
  <si>
    <t xml:space="preserve">Upper Limit (incl P&amp;G's): </t>
  </si>
  <si>
    <t>DETERMINATION OF CPG SHARE AND LABOUR INTENSITY</t>
  </si>
  <si>
    <t xml:space="preserve">Upper Limit (excl P&amp;G's): </t>
  </si>
  <si>
    <t>SECTION</t>
  </si>
  <si>
    <t>CPG SHARE</t>
  </si>
  <si>
    <r>
      <t xml:space="preserve">CPG AMOUNT
</t>
    </r>
    <r>
      <rPr>
        <sz val="9"/>
        <rFont val="Arial"/>
        <family val="2"/>
      </rPr>
      <t>(excl. overheads)</t>
    </r>
  </si>
  <si>
    <t>LABOUR INTENSIVE AMT</t>
  </si>
  <si>
    <t>% of Section</t>
  </si>
  <si>
    <t>% of Total</t>
  </si>
  <si>
    <t xml:space="preserve">CIDB Grade: </t>
  </si>
  <si>
    <t>C1.5</t>
  </si>
  <si>
    <t>Double Seals</t>
  </si>
  <si>
    <t>Gabions</t>
  </si>
  <si>
    <t>Projected amount for to CPG contractors &amp; materials</t>
  </si>
  <si>
    <t>Employer's Generic Target CPG Amount:</t>
  </si>
  <si>
    <t>Relegated:</t>
  </si>
  <si>
    <t>Patching and repairing edge breaks (Main Contractor)</t>
  </si>
  <si>
    <t>Patching and repairing edge breaks (CPG)</t>
  </si>
  <si>
    <t>CPG</t>
  </si>
  <si>
    <t>Road signs</t>
  </si>
  <si>
    <t>Amber flashing lights magnetically attached to vehicles</t>
  </si>
  <si>
    <t>Construction' sticker for vehicles with 100 mm high lettering</t>
  </si>
  <si>
    <t>The provision and maintenance of traffic safety equipment for use by the Engineer</t>
  </si>
  <si>
    <t>Natural sand from commercial sources (Coarse grade)</t>
  </si>
  <si>
    <t>U-PVC pipes and fittings , normal duty, complete with coupling (110 mm internal diameter, perforated or slotted)</t>
  </si>
  <si>
    <t>Trimming of excavations for concrete-lined open drains</t>
  </si>
  <si>
    <t>In hard material (irrespective of depth)</t>
  </si>
  <si>
    <t>PS C1.2.11</t>
  </si>
  <si>
    <t>PS C1.2.12</t>
  </si>
  <si>
    <t>CPG C1.2</t>
  </si>
  <si>
    <t>CPG C1.3</t>
  </si>
  <si>
    <t>Length</t>
  </si>
  <si>
    <t>Depth</t>
  </si>
  <si>
    <t>Rate per document:</t>
  </si>
  <si>
    <t>CPG C1.6</t>
  </si>
  <si>
    <t>CPG C3.1</t>
  </si>
  <si>
    <t>CPG C3.3</t>
  </si>
  <si>
    <t>CPG C11.6</t>
  </si>
  <si>
    <t>CPG C11.2</t>
  </si>
  <si>
    <t>Width</t>
  </si>
  <si>
    <t>0.5 trees per day (incl. cut up, haul and load)</t>
  </si>
  <si>
    <t>Brickwork</t>
  </si>
  <si>
    <t>Area</t>
  </si>
  <si>
    <r>
      <t>3m</t>
    </r>
    <r>
      <rPr>
        <sz val="9"/>
        <rFont val="Calibri"/>
        <family val="2"/>
      </rPr>
      <t>³</t>
    </r>
    <r>
      <rPr>
        <sz val="9"/>
        <rFont val="Arial"/>
        <family val="2"/>
      </rPr>
      <t xml:space="preserve"> / day</t>
    </r>
  </si>
  <si>
    <t xml:space="preserve">Length </t>
  </si>
  <si>
    <t>Volume</t>
  </si>
  <si>
    <t>CHAINAGE</t>
  </si>
  <si>
    <t>RHS/LHS</t>
  </si>
  <si>
    <t>PANEL</t>
  </si>
  <si>
    <t>Item 23.08(a)ii</t>
  </si>
  <si>
    <t>Item 23.08(b)ii</t>
  </si>
  <si>
    <t>Item 23.09©ii</t>
  </si>
  <si>
    <t>Item2309(d)ii</t>
  </si>
  <si>
    <t>Item23.10(a)ii</t>
  </si>
  <si>
    <t>Item23.12©</t>
  </si>
  <si>
    <t>Trimming, T</t>
  </si>
  <si>
    <t>Excavation,E</t>
  </si>
  <si>
    <t>START</t>
  </si>
  <si>
    <t>END</t>
  </si>
  <si>
    <t>width,w =a+b</t>
  </si>
  <si>
    <t>length, l</t>
  </si>
  <si>
    <t>height, h</t>
  </si>
  <si>
    <t>No of panel, No=L/l</t>
  </si>
  <si>
    <t>L= ch2-ch1</t>
  </si>
  <si>
    <t>Vol of Conc=No*l*w*h</t>
  </si>
  <si>
    <t>Surface finish, U2=L*W</t>
  </si>
  <si>
    <t>End of Slab=((No/2)+1)*w*h</t>
  </si>
  <si>
    <t>Longitudinal=No*l*h*2</t>
  </si>
  <si>
    <t>Silicone=(((No*l)/12)-1)*w</t>
  </si>
  <si>
    <t>wire mesh=U2*1.93</t>
  </si>
  <si>
    <t>T=L*W</t>
  </si>
  <si>
    <t>E=0.5*1.5*0.25*L</t>
  </si>
  <si>
    <r>
      <rPr>
        <sz val="8"/>
        <color rgb="FFFF0000"/>
        <rFont val="Calibri"/>
        <family val="2"/>
      </rPr>
      <t>Existing</t>
    </r>
    <r>
      <rPr>
        <sz val="8"/>
        <color indexed="8"/>
        <rFont val="Calibri"/>
        <family val="2"/>
      </rPr>
      <t xml:space="preserve"> V drains</t>
    </r>
  </si>
  <si>
    <t>RHS&amp;LHS</t>
  </si>
  <si>
    <r>
      <rPr>
        <sz val="8"/>
        <color rgb="FFFF0000"/>
        <rFont val="Calibri"/>
        <family val="2"/>
      </rPr>
      <t>Existing</t>
    </r>
    <r>
      <rPr>
        <sz val="8"/>
        <color indexed="8"/>
        <rFont val="Calibri"/>
        <family val="2"/>
      </rPr>
      <t xml:space="preserve">  Side walk</t>
    </r>
  </si>
  <si>
    <r>
      <rPr>
        <sz val="8"/>
        <color rgb="FF7030A0"/>
        <rFont val="Calibri"/>
        <family val="2"/>
      </rPr>
      <t>Required</t>
    </r>
    <r>
      <rPr>
        <sz val="8"/>
        <color indexed="8"/>
        <rFont val="Calibri"/>
        <family val="2"/>
      </rPr>
      <t xml:space="preserve"> V drains</t>
    </r>
  </si>
  <si>
    <t xml:space="preserve">width </t>
  </si>
  <si>
    <t>no=L /80</t>
  </si>
  <si>
    <t xml:space="preserve">Allow for </t>
  </si>
  <si>
    <t>no=L/120m</t>
  </si>
  <si>
    <t>Vol =L*W*H-Area of pipe</t>
  </si>
  <si>
    <t>Vol =L*W*H</t>
  </si>
  <si>
    <t>Length of pipe</t>
  </si>
  <si>
    <t>Area=L*4</t>
  </si>
  <si>
    <t>LHS</t>
  </si>
  <si>
    <t>RHS</t>
  </si>
  <si>
    <t xml:space="preserve">SUB TOTAL </t>
  </si>
  <si>
    <t>Provision of high visibilty reflective safety vests</t>
  </si>
  <si>
    <t>CLO Rate/month</t>
  </si>
  <si>
    <t xml:space="preserve"> /month</t>
  </si>
  <si>
    <t>In-service training for S3 / S4 students:</t>
  </si>
  <si>
    <t>Provision of unskilled labour for the use by the Engineer</t>
  </si>
  <si>
    <t>Provision of in-service training for one locally based student</t>
  </si>
  <si>
    <t>Wages, salaries and allowances</t>
  </si>
  <si>
    <t>Pay-item:</t>
  </si>
  <si>
    <t>Description</t>
  </si>
  <si>
    <t>Factor 1</t>
  </si>
  <si>
    <t>Factor 2</t>
  </si>
  <si>
    <t>Height</t>
  </si>
  <si>
    <t>Number off:</t>
  </si>
  <si>
    <t>Total quantity</t>
  </si>
  <si>
    <t>1200: General requirements and provisions</t>
  </si>
  <si>
    <t xml:space="preserve">B12.02 </t>
  </si>
  <si>
    <t>Services</t>
  </si>
  <si>
    <t>2,5 km of pipe &amp; infrastructure @ R 1,000,000 / km</t>
  </si>
  <si>
    <t>Rands</t>
  </si>
  <si>
    <t>Materials by main contractor:</t>
  </si>
  <si>
    <t>Excavation &amp; backfilling (CPG subcontractor(s)) :</t>
  </si>
  <si>
    <r>
      <t xml:space="preserve">As per the total on Tab: </t>
    </r>
    <r>
      <rPr>
        <i/>
        <sz val="10"/>
        <rFont val="Arial"/>
        <family val="2"/>
      </rPr>
      <t>12_CPG</t>
    </r>
  </si>
  <si>
    <t>Length: = Contract length, W = 0.6, H = 1.25</t>
  </si>
  <si>
    <t>Hard material:</t>
  </si>
  <si>
    <t>B12.02</t>
  </si>
  <si>
    <t>Construction of new survey beacons and  protection of existing survey beacons</t>
  </si>
  <si>
    <t>concrete pillar on concrete base, incl formwork</t>
  </si>
  <si>
    <t>one such beacon every 200 m. @ R 7,500 per beacon (guess)</t>
  </si>
  <si>
    <t>B12.03 (a) (i)</t>
  </si>
  <si>
    <t>CLO salary</t>
  </si>
  <si>
    <t>1,5x min labour rate for 2020</t>
  </si>
  <si>
    <t>9 hr/day;  22 days/month</t>
  </si>
  <si>
    <t xml:space="preserve">Task Grade 1 min rate : </t>
  </si>
  <si>
    <t>to 31 August 2019: R 34.45</t>
  </si>
  <si>
    <t>From 1 Sep 2019 to 31 Aug 2020: R 37.04  (7.5%)</t>
  </si>
  <si>
    <t>From 1 Sep 2020 to 31 Aug 2021: R 39.82  (7.5% or CPI whichever is higher)</t>
  </si>
  <si>
    <t>B1204 (a)</t>
  </si>
  <si>
    <t>Compensation for Project Liaison Committee</t>
  </si>
  <si>
    <t>PLC once a month; 30 members; R 250 p.p / meeting:</t>
  </si>
  <si>
    <t>plus 10 additional meetings</t>
  </si>
  <si>
    <t>B1205 (a)</t>
  </si>
  <si>
    <t>Relocation of community residential outbuildings</t>
  </si>
  <si>
    <t>11+670</t>
  </si>
  <si>
    <t>Small structure (shack) at RHS affected - relocation required.</t>
  </si>
  <si>
    <t>11+740</t>
  </si>
  <si>
    <t>Outbuilding at LHS affected by new cutting - relocation required.</t>
  </si>
  <si>
    <t>B1206 (a)</t>
  </si>
  <si>
    <t>Provision for protection of grave sites:</t>
  </si>
  <si>
    <t>No graves present between 11.60 and 14.00 as far as I can see.</t>
  </si>
  <si>
    <t>B12.07</t>
  </si>
  <si>
    <t>Running cost of combined laboratory:</t>
  </si>
  <si>
    <t>Soils &amp; Concrete lab. On site; R 200 K / month</t>
  </si>
  <si>
    <t>(negative !)</t>
  </si>
  <si>
    <t>B12.09</t>
  </si>
  <si>
    <t>Employment of civil engineering / project management students:</t>
  </si>
  <si>
    <t>(a) Wages, salary, allowances and other incidentals</t>
  </si>
  <si>
    <t>(b) Training, handling costs, and profit i.r.o. subitem B12.09(a) above</t>
  </si>
  <si>
    <t>B12.10</t>
  </si>
  <si>
    <t>Training of local labour:</t>
  </si>
  <si>
    <t>(a) CETA-accredited classroom based training approved by Employer</t>
  </si>
  <si>
    <t>(b) Handling costs, and profit i.r.o. subitem B12.10(a) above</t>
  </si>
  <si>
    <t>B12.11</t>
  </si>
  <si>
    <t>Stipends to PLC members for attending PLC meetings</t>
  </si>
  <si>
    <t>(a) Stipends as authorized by the Employer</t>
  </si>
  <si>
    <t>(b) Handling costs, and profit i.r.o. subitem B12.11(a) above</t>
  </si>
  <si>
    <t>1300: Contractor's establishment on site and general obligations</t>
  </si>
  <si>
    <t>1400: Housing, offices and laboratories for the engineer's site personnel</t>
  </si>
  <si>
    <t>B14.01 (g)</t>
  </si>
  <si>
    <t>Engineer's site accommodation</t>
  </si>
  <si>
    <t>1x R.E;  and 2x ARE's; 3 total @ R 6,000 / mnth</t>
  </si>
  <si>
    <t>Rand</t>
  </si>
  <si>
    <t>1500: Accommodation of traffic</t>
  </si>
  <si>
    <t>B15.02 Earthworks for temporary deviations:</t>
  </si>
  <si>
    <t>(b) Cut and borrow to fill</t>
  </si>
  <si>
    <t>Earthworks for deviations can be anything; so all required material should be coming from within the Site / borrow pit</t>
  </si>
  <si>
    <t xml:space="preserve">L = certain % of Length ? ; W average = 8 metres ?; </t>
  </si>
  <si>
    <t>H average = 1.0 m ?</t>
  </si>
  <si>
    <t>Say:</t>
  </si>
  <si>
    <t>(c) Cut to spoil</t>
  </si>
  <si>
    <t>Assumed only isolated areas of very poor material to be spoiled.</t>
  </si>
  <si>
    <t>B15.03 (a)</t>
  </si>
  <si>
    <t>probably need 4 flagmen for full duration minus two months; 22 days / month.</t>
  </si>
  <si>
    <t>man-days</t>
  </si>
  <si>
    <t>(Flagmen for half-width already included under B15.10)</t>
  </si>
  <si>
    <t>Gravelling and repair of temporary deviations and existing gravel shoulders used as temporary deviations:</t>
  </si>
  <si>
    <t xml:space="preserve">    (a) Temporary deviations </t>
  </si>
  <si>
    <t>Volume equal to gravel wearing course, 2x:</t>
  </si>
  <si>
    <t>15.06</t>
  </si>
  <si>
    <t>Watering of temporary deviations</t>
  </si>
  <si>
    <t>Two watercarts each calendar day (30/month), 10 kl each cart/trip</t>
  </si>
  <si>
    <t>15.07</t>
  </si>
  <si>
    <t>Blading by road grader of:</t>
  </si>
  <si>
    <t xml:space="preserve">    (a) Temporary deviation</t>
  </si>
  <si>
    <t>Blading once a month ??</t>
  </si>
  <si>
    <t>km-pass</t>
  </si>
  <si>
    <t>Temporary Pipe Culverts</t>
  </si>
  <si>
    <t xml:space="preserve">      (i) 600 mm dia. Type 75D</t>
  </si>
  <si>
    <t>A crossing every couple of hundered metres; 9.76m length each</t>
  </si>
  <si>
    <t xml:space="preserve">     (ii) 900 mm dia. Type 75D</t>
  </si>
  <si>
    <t>Crossing every couple of hundered metres; 2x 9.76m length each</t>
  </si>
  <si>
    <t>15/16.02</t>
  </si>
  <si>
    <t>Overhaul</t>
  </si>
  <si>
    <t xml:space="preserve">Volume as per items B15.02(b) and (c ), </t>
  </si>
  <si>
    <t>Overhaul distance: Say 6 km</t>
  </si>
  <si>
    <t>m3-km</t>
  </si>
  <si>
    <t>1600: Overhaul</t>
  </si>
  <si>
    <t>1700: Clearing and grubbing</t>
  </si>
  <si>
    <t>B17.01</t>
  </si>
  <si>
    <t>Clearing &amp; grubbing; Length x 30 m wide</t>
  </si>
  <si>
    <t>Ha</t>
  </si>
  <si>
    <t>Extra at accesses, outside normal road reserve</t>
  </si>
  <si>
    <t>2100: Drains</t>
  </si>
  <si>
    <t>B21.01(a)(i)</t>
  </si>
  <si>
    <t>Excavations for open drains: 0 - 1,5 m depth.</t>
  </si>
  <si>
    <t>side drains are part of cut to fill. Very little need for open drains outside road prism.</t>
  </si>
  <si>
    <t>B21.03(a)(i)</t>
  </si>
  <si>
    <t>Excavation for subsoil drains; 0 - 1,5 m depth</t>
  </si>
  <si>
    <t>Excavation would be as per SD0501/A - Type B: alternative drain.</t>
  </si>
  <si>
    <t>Excavation depth = 1,0 m, width = 0,4 m.</t>
  </si>
  <si>
    <t>Length as per spreadsheet.</t>
  </si>
  <si>
    <t>1.0m V-Drain with subsoil</t>
  </si>
  <si>
    <t>B21.04</t>
  </si>
  <si>
    <t>Subsoils: Impemeable backfilling; using excavated material</t>
  </si>
  <si>
    <t>Height = 0.25m</t>
  </si>
  <si>
    <t>21.06(b)(ii)</t>
  </si>
  <si>
    <t>Subsoils: Backfill; crushed stone</t>
  </si>
  <si>
    <t>21.07(b)(ii)</t>
  </si>
  <si>
    <t>Subsoils: Backfill; sand</t>
  </si>
  <si>
    <t>Height = 0.8m</t>
  </si>
  <si>
    <t>21.08(b)(i)</t>
  </si>
  <si>
    <t>Subsoils: perforated pipes</t>
  </si>
  <si>
    <t>21.10 (a)</t>
  </si>
  <si>
    <t>Subsoils: Synthetic-fibre fabric: Grade 2</t>
  </si>
  <si>
    <t>To wrap crushed stone aggregate. Overlap 0.2 m</t>
  </si>
  <si>
    <t>21.12 (a)</t>
  </si>
  <si>
    <t>Subsoils: Outlet structures</t>
  </si>
  <si>
    <t>One every 200 m at both sides</t>
  </si>
  <si>
    <t>21.12 (d)</t>
  </si>
  <si>
    <t>Subsoils: cleaning eyes</t>
  </si>
  <si>
    <t>As 21.12(a) above</t>
  </si>
  <si>
    <t>Concrete caps for subsoil drain pipes</t>
  </si>
  <si>
    <t>Overhaul &gt; 1,0 km</t>
  </si>
  <si>
    <t>Site is only 1,5 km long.</t>
  </si>
  <si>
    <t>m3.km</t>
  </si>
  <si>
    <t>Sand and stone from commercial sources (incl. all haul).</t>
  </si>
  <si>
    <t>Surplus excavated material can be used on site without overhaul.</t>
  </si>
  <si>
    <t>21.18(a)</t>
  </si>
  <si>
    <t>Excavation for the clearing of existing drainage systems: manholes</t>
  </si>
  <si>
    <t>At tie-ins with existing roads at Alton North &amp; the CBD ?</t>
  </si>
  <si>
    <t>21.18(b)</t>
  </si>
  <si>
    <t>Excavation for the clearing of existing drainage systems: barrels (pipe culverts)</t>
  </si>
  <si>
    <t>2200: Prefabricated culverts</t>
  </si>
  <si>
    <t>B22.01: Excavation</t>
  </si>
  <si>
    <t xml:space="preserve">   (a) Excavating soft material situated within the following depth ranges below the surface level:</t>
  </si>
  <si>
    <t>Assume maximum depth range</t>
  </si>
  <si>
    <t>(i) 0 m up to 1,5 m</t>
  </si>
  <si>
    <r>
      <t xml:space="preserve">As per spreadsheet: P494 - Section 2200 quantities 20200406, tab: </t>
    </r>
    <r>
      <rPr>
        <i/>
        <u/>
        <sz val="10"/>
        <rFont val="Arial"/>
        <family val="2"/>
      </rPr>
      <t>Pipe Culvert Schedule</t>
    </r>
  </si>
  <si>
    <t>Minus B22.01(a)(ii) (estimated 33% of total):</t>
  </si>
  <si>
    <t>(ii) 1,5 m up to 3,0 m</t>
  </si>
  <si>
    <t>as per above:</t>
  </si>
  <si>
    <t xml:space="preserve">   (b) Extra over subitem B22.01(a) for excavation in hard material, irrespective of depth</t>
  </si>
  <si>
    <t>Estimated 40% of total :</t>
  </si>
  <si>
    <t>22.03: Concrete pipe culverts:</t>
  </si>
  <si>
    <t xml:space="preserve">   (c) On class C bedding:</t>
  </si>
  <si>
    <t>(i) Spigot and socket class 75D:</t>
  </si>
  <si>
    <t>(1)  600 mm diameter</t>
  </si>
  <si>
    <t>(2)  750 mm diameter</t>
  </si>
  <si>
    <t>(3)  900 mm diameter</t>
  </si>
  <si>
    <t>Portal and rectangular culverts</t>
  </si>
  <si>
    <t xml:space="preserve">   (b) without prefabricated floor slabs, 450mm x 600mm concrete</t>
  </si>
  <si>
    <t>B22.07 Cast in situ concrete and formwork:</t>
  </si>
  <si>
    <t xml:space="preserve">   (a) In class A bedding, screeds &amp; the encasing for pipes, including formwork</t>
  </si>
  <si>
    <t>(i) Class 20/19 concrete</t>
  </si>
  <si>
    <t>Guess:</t>
  </si>
  <si>
    <t xml:space="preserve">   (b) In floor slabs for portal or rectangular culverts, including formwork, joints and class U2 surface finish</t>
  </si>
  <si>
    <t xml:space="preserve">   (c) In inlet &amp; outlet structures, skewed ends, catchpits, manholes, thrust and anchor blocks, excluding formwork but including class U2 surface finish:</t>
  </si>
  <si>
    <t xml:space="preserve">   (d) Formwork of concrete under subitem 22.07(c) above:</t>
  </si>
  <si>
    <t>(i) Vertical, class F1 surface finish</t>
  </si>
  <si>
    <t>(ii) Vertical, class F2 surface finish</t>
  </si>
  <si>
    <t xml:space="preserve">   (f) Extra over subitems B22.07(a), (b) and (c) for concrete batched on site</t>
  </si>
  <si>
    <t>22.10: Steel reinforcement:</t>
  </si>
  <si>
    <t xml:space="preserve">   (c) Welded steel fabric</t>
  </si>
  <si>
    <t>22.18:: Brickwork</t>
  </si>
  <si>
    <t xml:space="preserve">   (b) 230 mm thick</t>
  </si>
  <si>
    <t>2300: Concrete kerbing, concrete channelling, chutes and downpipes, and
concrete linings for open drains</t>
  </si>
  <si>
    <t>B23.01: concrete kerbing:</t>
  </si>
  <si>
    <t xml:space="preserve">   (a) prefabricated battered kerb SABS 927 figure 6, radius greater than 20 m, as shown on drawing no. SD 0701/A</t>
  </si>
  <si>
    <t>99% of kerbing would also requrie a channel, which is item B23.02(a), therefore only a small quantity envisaged here:</t>
  </si>
  <si>
    <t xml:space="preserve">   (b) Extra over subitem B23.01(a)  for horizontal radius of 20 metres and less</t>
  </si>
  <si>
    <t>B23.02: Concrete kerbing-channelling combination:</t>
  </si>
  <si>
    <t xml:space="preserve">   (a) 500 mm wide kerb and channel using prefabricated battered kerb, radius greater than 20 m, SABS 927 figure 6,</t>
  </si>
  <si>
    <t xml:space="preserve">        with cast in situ class 15/19 concrete channel, as shown on drawing no. SD 0701/A</t>
  </si>
  <si>
    <r>
      <t xml:space="preserve">Quantity as per spreadsheet: </t>
    </r>
    <r>
      <rPr>
        <u/>
        <sz val="10"/>
        <rFont val="Arial"/>
        <family val="2"/>
      </rPr>
      <t>P494 - Sections 2100 2300 5400 quantities 20200406</t>
    </r>
  </si>
  <si>
    <t>B23.05: Inlet, outlet, transition and similar structures (typical designs):</t>
  </si>
  <si>
    <t>(a) Outlet structures for side drains, 950mm long, class 20/19 concrete, complete as shown on drawing no. SD 0603/A (detail SD 0603/1) excluding stone pitching.</t>
  </si>
  <si>
    <t>This is for stormwater running from a cutting onto natural ground via normal sheetflow, i.e. not via a channel.</t>
  </si>
  <si>
    <t xml:space="preserve">Five cuttings within km 11.600 to km 14.000. </t>
  </si>
  <si>
    <t>Stormwater can run to either side of the cutting (i.e. increasing chainage and decreasing chainage, and at both sides of the road.</t>
  </si>
  <si>
    <t>Total outlets from cuttings therefore :</t>
  </si>
  <si>
    <t xml:space="preserve">Say, 40% of the outlets structures are as per detail SD 0603/1, another 40% as per detail SD 0603/2, </t>
  </si>
  <si>
    <t>and 20% side spilling outlet as per detail SD 0603/3</t>
  </si>
  <si>
    <t>(b) Outlet structures for side drains, 950mm long, class 20/19 concrete, complete as shown on drawing no. SD 0603/A (detail SD 0603/2) excluding stone pitching.</t>
  </si>
  <si>
    <t>This is from cutting into a fill toe drain.</t>
  </si>
  <si>
    <t>Total outlets from cuttings as per B23.05(a):</t>
  </si>
  <si>
    <t xml:space="preserve">(c) Side spilling outlet for concrete kerb-channelling combination, 10 m long, 2 m wide, class 20/19 concrete, </t>
  </si>
  <si>
    <t xml:space="preserve">     complete as shown on drawing no. SD 0603/A (detail SD 0603/3) including kerb returns but excluding stone pitching.</t>
  </si>
  <si>
    <t>This is from cutting onto/into a low fill</t>
  </si>
  <si>
    <t xml:space="preserve">(d) Side inlet for concrete kerb-channelling combination, type S1 single splay, 2.55 m long, 1.22 m wide, 1.4 m height, class 20/19 concrete, </t>
  </si>
  <si>
    <t xml:space="preserve">        complete as shown on drawing no. SD 0703/A, excluding the downpipe and excluding the outlet structure at the bottom of the fill.</t>
  </si>
  <si>
    <t>This type of side inlet has a triangular splay and rectangular inlet, bot have a concrete cover. This does not go well with guardrails, but generally used within sidewalks adjacent to the kerb&amp;channel.</t>
  </si>
  <si>
    <t>Drawings do not (yet) show any side inlet structures.</t>
  </si>
  <si>
    <t>Generally, every 60-80m of k&amp;c combination one should have a side/drop inlet. Depending on crossfall / superelevation, at one/both side(s) of the surfaced road, depending on road width.</t>
  </si>
  <si>
    <r>
      <t xml:space="preserve">Total length of kerb and channel: as per spreadsheet:  </t>
    </r>
    <r>
      <rPr>
        <i/>
        <u/>
        <sz val="10"/>
        <rFont val="Arial"/>
        <family val="2"/>
      </rPr>
      <t>P494 - Sections 2100 2300 5400 quantities 20200406</t>
    </r>
  </si>
  <si>
    <t>metres</t>
  </si>
  <si>
    <t>Interval for each side inlet:</t>
  </si>
  <si>
    <t>Estimated total number of inlets (side inlet / drop inlet):</t>
  </si>
  <si>
    <t>Say, 50% side inlets, and 50% drop inlets:</t>
  </si>
  <si>
    <t>(e) Side inlet for concrete kerb-channelling combination, type D1 double splay, 3.77 m long, 1.22 m wide,  1.4 m height, class 20/19 concrete,</t>
  </si>
  <si>
    <t xml:space="preserve">     complete as shown on drawing no. SD 0703/A, excluding the downpipe and excluding the outlet structure at the bottom of the fill.</t>
  </si>
  <si>
    <t>These double side inlets are for low points, typically at major drainage crossings (box culverts).</t>
  </si>
  <si>
    <t>(f) Drop inlet with steel grid for concrete kerb-channelling combination, 5.38 m long, 1.06 m wide,  1.2 m height, class 20/19 concrete,</t>
  </si>
  <si>
    <t xml:space="preserve">      complete as shown on drawing no. SD 0702/A, excluding the downpipe and excluding the outlet structure at the bottom of the fill.</t>
  </si>
  <si>
    <t>Estimated total number of inlets as per B23.05(d) above:</t>
  </si>
  <si>
    <t xml:space="preserve">(g) Outlet structure for 450 mm diameter downpipe, 230mm thick masonry walls on 200mm thick concrete slab, 1.15 m long, 1.2 m wide,  0.865 m height, </t>
  </si>
  <si>
    <t xml:space="preserve">     class 20/19 concrete, complete as shown on drawing no. SD 0406, including splitter block, excluding the downpipe and excluding stone pitching.</t>
  </si>
  <si>
    <t>Total number of outlet strutures should be more or less equal to the number of side &amp; drop inlets.</t>
  </si>
  <si>
    <t>(h) Extra over subitems B23.05(a), (b), (c), (d), (e), (f) and (g) for concrete batched on site</t>
  </si>
  <si>
    <t>Number of inlet structures:</t>
  </si>
  <si>
    <t>Concrete volume per inlet structure, cast in-situ by hand</t>
  </si>
  <si>
    <t>Sub-total [A]:</t>
  </si>
  <si>
    <t>Number of outlet structures:</t>
  </si>
  <si>
    <t>Concrete volume per outlet structure, cast in-situ by hand:</t>
  </si>
  <si>
    <t>Sub-total [B]:</t>
  </si>
  <si>
    <t>Total volume [A] + [B] =</t>
  </si>
  <si>
    <t xml:space="preserve">(i) Downpipe type Riblock or similar approved, uPVC with ribbed outer surface and smooth inner surface, 450mm nominal diameter, </t>
  </si>
  <si>
    <t xml:space="preserve">    from drop inlet or side inlet for concrete kerb-channelling combination to the outlet strucure at the bottom of the fill</t>
  </si>
  <si>
    <t>The length of downpipe depends on the fill height, which differs for each inlet….</t>
  </si>
  <si>
    <t>Assumed pipe length at each inlet :</t>
  </si>
  <si>
    <t>Number of inlets (side &amp; drop inlets together)</t>
  </si>
  <si>
    <t>Estimated length :</t>
  </si>
  <si>
    <t>23.07: Trimming of excavations for concrete-lined open drains:</t>
  </si>
  <si>
    <t xml:space="preserve">   (a) In soft material</t>
  </si>
  <si>
    <r>
      <t xml:space="preserve">Length of concrete lined drains as per spreadsheet:  </t>
    </r>
    <r>
      <rPr>
        <i/>
        <u/>
        <sz val="10"/>
        <rFont val="Arial"/>
        <family val="2"/>
      </rPr>
      <t>P494 - Sections 2100 2300 5400 quantities 20200406</t>
    </r>
  </si>
  <si>
    <t>Width to be trimmed: (assuming all are 2.4 m wide V-drains)</t>
  </si>
  <si>
    <t>Total area to be trimmed (soft &amp; hard) :</t>
  </si>
  <si>
    <t>Say, 60% soft and 40% hard material:</t>
  </si>
  <si>
    <t xml:space="preserve">   (b) In hard material</t>
  </si>
  <si>
    <t>Total area as per 23.07(a) above:</t>
  </si>
  <si>
    <t>B23.08: Concrete lining for open drains:</t>
  </si>
  <si>
    <t xml:space="preserve">     (a) Cast in situ class 20/19 concrete lining in open drains:</t>
  </si>
  <si>
    <t>(i) V-drains, as shown on drawing no. SD 0601/C</t>
  </si>
  <si>
    <r>
      <t xml:space="preserve">Length &amp; Widths of concrete lined drains as per spreadsheet:  </t>
    </r>
    <r>
      <rPr>
        <i/>
        <u/>
        <sz val="10"/>
        <rFont val="Arial"/>
        <family val="2"/>
      </rPr>
      <t>P494 - Sections 2100 2300 5400 quantities 20200406</t>
    </r>
  </si>
  <si>
    <t>2.4 m wide V-drains with 0.75m wide concrete lining</t>
  </si>
  <si>
    <t>1.0 m wide V-drains with 1.50 m wide concrete lining</t>
  </si>
  <si>
    <t>(ii) 100mm thick, walkway with construction joints and expansion joints as per B2304(n)</t>
  </si>
  <si>
    <t>Walkways:</t>
  </si>
  <si>
    <t xml:space="preserve">    (b) Class U2 surface finish to cast in situ concrete:</t>
  </si>
  <si>
    <t>(i) V-drains</t>
  </si>
  <si>
    <t>(ii) Walkways</t>
  </si>
  <si>
    <t>B23.09: Formwork to cast in situ concrete lining for open drains (class F2 surface finish):</t>
  </si>
  <si>
    <t xml:space="preserve">    (b) To sides with formwork on both Internal and external faces (each face measured)</t>
  </si>
  <si>
    <t xml:space="preserve">    (c) to end of slabs</t>
  </si>
  <si>
    <t>joint every 4 metres:</t>
  </si>
  <si>
    <t>B23.10: Sealed joints in concrete linings of open drains and walkways (as per Note 3 on drawing no. SD 0601/C):</t>
  </si>
  <si>
    <t xml:space="preserve">    (a) Construction joints, one coat of approved bituminous emulsion containing 60% pure bitumen by mass</t>
  </si>
  <si>
    <t xml:space="preserve">    (b) Expansion joints, sealed with a closed cell expanded polyethylene joint filler over the full panel depth</t>
  </si>
  <si>
    <t>joint every 12 metres:</t>
  </si>
  <si>
    <t>B23.12: Steel reinforcement.</t>
  </si>
  <si>
    <t>Mesh Ref 193</t>
  </si>
  <si>
    <r>
      <t xml:space="preserve">V-Drains: plan area as per pay item B23.08(b) - </t>
    </r>
    <r>
      <rPr>
        <i/>
        <sz val="10"/>
        <rFont val="Arial"/>
        <family val="2"/>
      </rPr>
      <t>Class U2 surface finish</t>
    </r>
    <r>
      <rPr>
        <sz val="10"/>
        <rFont val="Arial"/>
        <family val="2"/>
      </rPr>
      <t xml:space="preserve"> above:</t>
    </r>
  </si>
  <si>
    <r>
      <t xml:space="preserve">Walkways: plan area as per pay item B23.08(b) - </t>
    </r>
    <r>
      <rPr>
        <i/>
        <sz val="10"/>
        <rFont val="Arial"/>
        <family val="2"/>
      </rPr>
      <t xml:space="preserve">Class U2 surface finish </t>
    </r>
    <r>
      <rPr>
        <sz val="10"/>
        <rFont val="Arial"/>
        <family val="2"/>
      </rPr>
      <t>above:</t>
    </r>
  </si>
  <si>
    <t>total plan area:</t>
  </si>
  <si>
    <t>Mesh/fabric Ref 193 = 1.93 kg/m2</t>
  </si>
  <si>
    <t>B23.13: Polyethylene sheeting (0,15 mm thick) for concrete-lined open drains and walkways</t>
  </si>
  <si>
    <t>Area as per payitem B23.12 - Steel reinforcement above:</t>
  </si>
  <si>
    <t>2400: Asphalt and concrete berms</t>
  </si>
  <si>
    <t>3100: Borrow materials</t>
  </si>
  <si>
    <t>3200: Selection, stockpiling and breaking-down the material from borrow pits and cuttings,
and existing pavement layers, and placing and compacting the gravel layers</t>
  </si>
  <si>
    <t>B32.03: Crushing and screening:</t>
  </si>
  <si>
    <t xml:space="preserve">    (a) Single-stage crushing</t>
  </si>
  <si>
    <t>(i) G9 quality material</t>
  </si>
  <si>
    <r>
      <t xml:space="preserve">Total quantity </t>
    </r>
    <r>
      <rPr>
        <b/>
        <u/>
        <sz val="10"/>
        <rFont val="Arial"/>
        <family val="2"/>
      </rPr>
      <t>Selected Layers, No Crushing</t>
    </r>
    <r>
      <rPr>
        <sz val="10"/>
        <rFont val="Arial"/>
        <family val="2"/>
      </rPr>
      <t xml:space="preserve"> as per MS Excel spreadsheet: </t>
    </r>
    <r>
      <rPr>
        <i/>
        <u/>
        <sz val="10"/>
        <rFont val="Arial"/>
        <family val="2"/>
      </rPr>
      <t>s_Masshaul P494 km11.60 to km14.00 - 20200403</t>
    </r>
    <r>
      <rPr>
        <sz val="10"/>
        <rFont val="Arial"/>
        <family val="2"/>
      </rPr>
      <t xml:space="preserve">: tab: </t>
    </r>
    <r>
      <rPr>
        <b/>
        <sz val="10"/>
        <rFont val="Arial"/>
        <family val="2"/>
      </rPr>
      <t>Test Pit Volumes</t>
    </r>
  </si>
  <si>
    <t>Total quantity of G9 for the project: (1) make up for undercuts, (2) the lower selected and: (3) gravel shoulders</t>
  </si>
  <si>
    <t>(1)  Make up for undercuts:</t>
  </si>
  <si>
    <t>(2)  Lower Selected layer:  L = 2400 m,  W = 10.5,  H = 0.15</t>
  </si>
  <si>
    <t>(3)  Gravel shoulder:  2 sides,  L = 2400 m,  W = 1.0 m,  H = 0.60 m</t>
  </si>
  <si>
    <r>
      <t xml:space="preserve">So the entire G9 requirement could be met from the material coming from cuttings </t>
    </r>
    <r>
      <rPr>
        <b/>
        <sz val="10"/>
        <rFont val="Arial"/>
        <family val="2"/>
      </rPr>
      <t>WITHOUT NEED FOR CRUSHING</t>
    </r>
  </si>
  <si>
    <r>
      <t xml:space="preserve">However, since </t>
    </r>
    <r>
      <rPr>
        <b/>
        <u/>
        <sz val="10"/>
        <rFont val="Arial"/>
        <family val="2"/>
      </rPr>
      <t>40 709 m3</t>
    </r>
    <r>
      <rPr>
        <u/>
        <sz val="10"/>
        <rFont val="Arial"/>
        <family val="2"/>
      </rPr>
      <t xml:space="preserve"> of hard material is coming available from cuttings, let's allow for the entire quantity to be crushed in any case, to be on the safe side.</t>
    </r>
  </si>
  <si>
    <t>(ii) G7 quality material</t>
  </si>
  <si>
    <r>
      <t xml:space="preserve">Since </t>
    </r>
    <r>
      <rPr>
        <b/>
        <sz val="10"/>
        <rFont val="Arial"/>
        <family val="2"/>
      </rPr>
      <t>40 709 m3</t>
    </r>
    <r>
      <rPr>
        <sz val="10"/>
        <rFont val="Arial"/>
        <family val="2"/>
      </rPr>
      <t xml:space="preserve"> of hard material is coming available from cuttings, let's allow for the entire quantity to be crushed for this layer.</t>
    </r>
  </si>
  <si>
    <r>
      <t xml:space="preserve">Total quantity of hard material as per MS Excel spreadsheet: </t>
    </r>
    <r>
      <rPr>
        <i/>
        <u/>
        <sz val="10"/>
        <rFont val="Arial"/>
        <family val="2"/>
      </rPr>
      <t>s_Masshaul P494 km11.60 to km14.00 - 20200403</t>
    </r>
    <r>
      <rPr>
        <sz val="10"/>
        <rFont val="Arial"/>
        <family val="2"/>
      </rPr>
      <t xml:space="preserve">: tab: </t>
    </r>
    <r>
      <rPr>
        <b/>
        <sz val="10"/>
        <rFont val="Arial"/>
        <family val="2"/>
      </rPr>
      <t>Test Pit Volumes</t>
    </r>
  </si>
  <si>
    <t>Total quantity of G7 for the project: (1) the upper selected and: (2) 150mm layer underneath sidewalk</t>
  </si>
  <si>
    <t>(1)  Upper Selected layer:  L = 2400 m,  W = 10.0m,  H = 0.15m</t>
  </si>
  <si>
    <t>(2)  Walkways:  1 side of the road,  L = 1840 m,  W = 1.25 m,  H = 0.15 m</t>
  </si>
  <si>
    <t>The entire G7 requirement could be met from the material coming from cuttings.</t>
  </si>
  <si>
    <t xml:space="preserve">    (b) Two-stage crushing</t>
  </si>
  <si>
    <t>(i) G6 quality material (to G4 grading)</t>
  </si>
  <si>
    <t>Total quantity of G6 for the project: (1) the C4 subbase layer and: (2) C3 base layer</t>
  </si>
  <si>
    <t>(1)  The C3 base layer:  L = 2400 m,  W = 9.0m,  H = 0.15m</t>
  </si>
  <si>
    <t>(2)  The C4 subbase layer:  L = 2400 m,  W = 9.5m,  H = 0.15m</t>
  </si>
  <si>
    <t>The entire G6 (meeting G4 grading specs) requirement could be met from the material coming from cuttings.</t>
  </si>
  <si>
    <t>Let's assume 50% comes from crushed material, and the other 50% from commercial, just to be safe.</t>
  </si>
  <si>
    <t>3300: Mass Earthworks</t>
  </si>
  <si>
    <t>B33.01</t>
  </si>
  <si>
    <t>Cut and borrow to fill, including free-haul up to 1 km</t>
  </si>
  <si>
    <t>(a) Gravel material in compacted layer thicknesses of 200mm and less:</t>
  </si>
  <si>
    <t>(i)  compacted to 90% MOD AASHTO</t>
  </si>
  <si>
    <r>
      <t xml:space="preserve">Quantity as per the masshaul spreadsheet, </t>
    </r>
    <r>
      <rPr>
        <i/>
        <u/>
        <sz val="10"/>
        <rFont val="Arial"/>
        <family val="2"/>
      </rPr>
      <t>Matrix Cut to Fill</t>
    </r>
    <r>
      <rPr>
        <sz val="10"/>
        <rFont val="Arial"/>
        <family val="2"/>
      </rPr>
      <t xml:space="preserve"> tab, 3 Apr 2020:</t>
    </r>
  </si>
  <si>
    <t>Minus material for Rockfill:</t>
  </si>
  <si>
    <r>
      <t xml:space="preserve">Quantity as per the masshaul spreadsheet, </t>
    </r>
    <r>
      <rPr>
        <i/>
        <u/>
        <sz val="10"/>
        <rFont val="Arial"/>
        <family val="2"/>
      </rPr>
      <t>Test Pit Volumes</t>
    </r>
    <r>
      <rPr>
        <sz val="10"/>
        <rFont val="Arial"/>
        <family val="2"/>
      </rPr>
      <t xml:space="preserve"> tab, 3 Apr 2020:</t>
    </r>
  </si>
  <si>
    <t>(c) Rock fill (as specified in subclause 3209(c)), using rock obtained from cuttings</t>
  </si>
  <si>
    <t>minus quantity for pioneer layer  33.01(e )</t>
  </si>
  <si>
    <t>(e ) Pioneer layer (as specified in subclause 3307(c)) using rock obtained from cuttings</t>
  </si>
  <si>
    <t>At natural drainage channel(s); bridge &amp; culvert approaches:</t>
  </si>
  <si>
    <t>Average width for 3m high fills:</t>
  </si>
  <si>
    <t>B33.03</t>
  </si>
  <si>
    <t>Extra over item B33.01 for excavating and breaking down material in:</t>
  </si>
  <si>
    <t>(b)   Hard excavation</t>
  </si>
  <si>
    <t>Quantity as per the masshaul spreadsheet, 2 Apr 2020:</t>
  </si>
  <si>
    <t>B33.04</t>
  </si>
  <si>
    <t>Cut to spoil, incl. free-haul up to 1.0km. Material obtained from:</t>
  </si>
  <si>
    <t>(a) soft or intermediate excavation</t>
  </si>
  <si>
    <r>
      <t xml:space="preserve">Quantity of </t>
    </r>
    <r>
      <rPr>
        <u/>
        <sz val="10"/>
        <rFont val="Arial"/>
        <family val="2"/>
      </rPr>
      <t>excess</t>
    </r>
    <r>
      <rPr>
        <sz val="10"/>
        <rFont val="Arial"/>
        <family val="2"/>
      </rPr>
      <t xml:space="preserve"> material from cuttings: as per the masshaul spreadsheet, </t>
    </r>
    <r>
      <rPr>
        <i/>
        <u/>
        <sz val="10"/>
        <rFont val="Arial"/>
        <family val="2"/>
      </rPr>
      <t>Matrix Cut to Fill</t>
    </r>
    <r>
      <rPr>
        <sz val="10"/>
        <rFont val="Arial"/>
        <family val="2"/>
      </rPr>
      <t xml:space="preserve"> tab, 3 Apr 2020:</t>
    </r>
  </si>
  <si>
    <t>B33.07</t>
  </si>
  <si>
    <t>Removal of unsuitable material (including free-haul up to 1,0 km):</t>
  </si>
  <si>
    <r>
      <t xml:space="preserve">Quantity of </t>
    </r>
    <r>
      <rPr>
        <u/>
        <sz val="10"/>
        <rFont val="Arial"/>
        <family val="2"/>
      </rPr>
      <t>unsuitable</t>
    </r>
    <r>
      <rPr>
        <sz val="10"/>
        <rFont val="Arial"/>
        <family val="2"/>
      </rPr>
      <t xml:space="preserve"> material from cuttings: as per the masshaul spreadsheet, </t>
    </r>
    <r>
      <rPr>
        <i/>
        <u/>
        <sz val="10"/>
        <rFont val="Arial"/>
        <family val="2"/>
      </rPr>
      <t>Matrix Cut to Spoil</t>
    </r>
    <r>
      <rPr>
        <sz val="10"/>
        <rFont val="Arial"/>
        <family val="2"/>
      </rPr>
      <t xml:space="preserve"> tab, 3 Apr 2020:</t>
    </r>
  </si>
  <si>
    <t>33.10</t>
  </si>
  <si>
    <t>Road bed preparation</t>
  </si>
  <si>
    <t>(b) Compaction to 93% of modified AASTHO compaction</t>
  </si>
  <si>
    <t>Length of road  x  Average formation width  x  thickness</t>
  </si>
  <si>
    <t>Extra for accesses, busbays, etc, 5%</t>
  </si>
  <si>
    <t>Total:</t>
  </si>
  <si>
    <t>In-situ treatment of roadbed:</t>
  </si>
  <si>
    <t>(a) In-situ treatment by ripping</t>
  </si>
  <si>
    <t>(b) In-situ treatment by blasting</t>
  </si>
  <si>
    <t>Finishing off cut and fill slopes, medians and interchanges</t>
  </si>
  <si>
    <t>(a) cut slopes:</t>
  </si>
  <si>
    <t>cutting lengths x average slope length x 2 (both sides)</t>
  </si>
  <si>
    <t>length cut 1 - 4:</t>
  </si>
  <si>
    <t>(b) Fill slopes</t>
  </si>
  <si>
    <t>Fill lengths x average slope length x 2 (both sides)</t>
  </si>
  <si>
    <t>length fills 1 - 5:</t>
  </si>
  <si>
    <t>B33/16.02</t>
  </si>
  <si>
    <t>Overhaul on material hauled in excess of 1km</t>
  </si>
  <si>
    <t>Cut to fill:</t>
  </si>
  <si>
    <t>Excess material from cut to spoil</t>
  </si>
  <si>
    <t xml:space="preserve">Unsuitable material from cuttings to spoil: </t>
  </si>
  <si>
    <r>
      <t xml:space="preserve">Quantity as per the masshaul spreadsheet, </t>
    </r>
    <r>
      <rPr>
        <i/>
        <u/>
        <sz val="10"/>
        <rFont val="Arial"/>
        <family val="2"/>
      </rPr>
      <t>Matrix Cut to Spoil</t>
    </r>
    <r>
      <rPr>
        <sz val="10"/>
        <rFont val="Arial"/>
        <family val="2"/>
      </rPr>
      <t xml:space="preserve"> tab, 3 Apr 2020:</t>
    </r>
  </si>
  <si>
    <t>Undercut to spoil:</t>
  </si>
  <si>
    <r>
      <t xml:space="preserve">Quantity as per the masshaul spreadsheet, </t>
    </r>
    <r>
      <rPr>
        <i/>
        <u/>
        <sz val="10"/>
        <rFont val="Arial"/>
        <family val="2"/>
      </rPr>
      <t>Matrix Undercut to Spoil</t>
    </r>
    <r>
      <rPr>
        <sz val="10"/>
        <rFont val="Arial"/>
        <family val="2"/>
      </rPr>
      <t xml:space="preserve"> tab, 3 Apr 2020:</t>
    </r>
  </si>
  <si>
    <t>3400: Pavement layers of gravel material</t>
  </si>
  <si>
    <t>34.01: Pavement layers constructed from gravel taken from cut or borrow, including free-haul up to 1,0 km</t>
  </si>
  <si>
    <t xml:space="preserve">    (a) Gravel selected layer compacted to:</t>
  </si>
  <si>
    <t>(ii) 95% of modified AASHTO density, 150 mm compacted layer thickness</t>
  </si>
  <si>
    <t>(1)   G9 material</t>
  </si>
  <si>
    <t>Quantity: Length * Width * Thickness, allow 5% for busbays, accesses etc.</t>
  </si>
  <si>
    <t>(2)   G7 material</t>
  </si>
  <si>
    <t>(3)   G7 material, under the walkway</t>
  </si>
  <si>
    <t>(d) Gravel subbase (chemically stabilised material to C4) compacted to:</t>
  </si>
  <si>
    <t>(i) 95% of modified AASHTO density, 150 mm compacted layer thickness, G6 material with G4 grading</t>
  </si>
  <si>
    <t>50% from crushed rock from cuttings, 50% from commercial</t>
  </si>
  <si>
    <t>(f) Gravel base (chemically stabilised material to C3) compacted to:</t>
  </si>
  <si>
    <t>(i) 97% of modified AASHTO density, 125 mm compacted layer thickness, G6 material with G4 grading</t>
  </si>
  <si>
    <t>(g) Gravel shoulders compacted to:</t>
  </si>
  <si>
    <t>(ii) 95% of modified AASHTO density, 150 mm compacted layer thickness, G9 material</t>
  </si>
  <si>
    <t>2 sides fo the road</t>
  </si>
  <si>
    <t>(h) Gravel wearing course for parallel / access roads to P494 access points, compacted to:</t>
  </si>
  <si>
    <t>(ii) 95% of modified AASHTO density for compacted layer to be 150 mm (Type 1)</t>
  </si>
  <si>
    <t>34.02: Extra over item 34.01 for excavation of material in:</t>
  </si>
  <si>
    <t>(c) hard excavation</t>
  </si>
  <si>
    <t>As per all items above, except for gravel wearing course.</t>
  </si>
  <si>
    <t>B34.14: Pavement layers constructed from gravel obtained from commercial sources, including hauling the material over an unlimited free-haul distance:</t>
  </si>
  <si>
    <t>(a) Gravel subbase (chemically stabilised material to C4) compacted to:</t>
  </si>
  <si>
    <t>Quantity as per item 34.01(d)(i) above:</t>
  </si>
  <si>
    <t>(b) Gravel base (chemically stabilised material to C3) compacted to:</t>
  </si>
  <si>
    <t>Quantity as per item 34.01(f)(i) above:</t>
  </si>
  <si>
    <t>34/</t>
  </si>
  <si>
    <t>Overhaul on material hauled in excess of</t>
  </si>
  <si>
    <t>16.02</t>
  </si>
  <si>
    <t>1.0 Km (ordinary overhaul)</t>
  </si>
  <si>
    <t>Quantity: all pavement layer volumes, distance = 3 km</t>
  </si>
  <si>
    <t>3500: Stabilisation</t>
  </si>
  <si>
    <t>35.01: Chemical stabilisation extra over unstabilised compacted layers</t>
  </si>
  <si>
    <t xml:space="preserve">    (a) Crushed stone subbase (C4), 150 mm thickness</t>
  </si>
  <si>
    <t>(b) Crushed stone base (C3), 125 mm thickness</t>
  </si>
  <si>
    <t>B35.02(b)</t>
  </si>
  <si>
    <t>Agent: Cement</t>
  </si>
  <si>
    <t>3% agent; MDD  2250 kg/m3.  50% cement; 50% lime</t>
  </si>
  <si>
    <t>B35.02(c)</t>
  </si>
  <si>
    <t>Agent: Lime</t>
  </si>
  <si>
    <t xml:space="preserve">Quantity as per </t>
  </si>
  <si>
    <t>above</t>
  </si>
  <si>
    <t>35.04: Watering for curing.</t>
  </si>
  <si>
    <t xml:space="preserve">Curing for 7 days (COLTO 3503(h): </t>
  </si>
  <si>
    <t>A 10,000 litre water cart can cure a 300m section by spraying 1 tank load every 3 hours (i.e. 3  loads of 10,000 l per day)</t>
  </si>
  <si>
    <t>Calculation of the number of 300m sections:</t>
  </si>
  <si>
    <t>Length:</t>
  </si>
  <si>
    <t>Number of water required to cure all 300 m long sections for 7 days:</t>
  </si>
  <si>
    <t>Total, Say:</t>
  </si>
  <si>
    <t>35.05: Curing by covering with subsequent layer.</t>
  </si>
  <si>
    <t>Covering of the lower sub-base with upper base material:</t>
  </si>
  <si>
    <t>Area to cover = length x width of the lower sub-base.</t>
  </si>
  <si>
    <t>Length, Width:</t>
  </si>
  <si>
    <t>Applicable area say 35%</t>
  </si>
  <si>
    <t>Say</t>
  </si>
  <si>
    <t>25.13: exra over for trial sections:</t>
  </si>
  <si>
    <t>Quantity for trial section: 300 metres of 150 mm layer, 10.5 m wide</t>
  </si>
  <si>
    <t>3600: Crushed-stone base</t>
  </si>
  <si>
    <t>3700: Plant-mixed paver-Iaid pavement layers</t>
  </si>
  <si>
    <t>3800: Breaking up existing pavement layers</t>
  </si>
  <si>
    <t>3900: Patching and repairing edge breaks</t>
  </si>
  <si>
    <t>4100: Prime Coat</t>
  </si>
  <si>
    <t>41.01: Prime coat</t>
  </si>
  <si>
    <t xml:space="preserve">   (c )  MC30 cut back bitumen</t>
  </si>
  <si>
    <t>Spray rate 0,7 l/m2 surface area</t>
  </si>
  <si>
    <t>Total surfacing area, incl. 5% for bus bays, accesses etc.</t>
  </si>
  <si>
    <t>Total prime requried:</t>
  </si>
  <si>
    <t>4200: Asphalt base and surfacing</t>
  </si>
  <si>
    <t>4300: Seals: Materials and general requirements</t>
  </si>
  <si>
    <t>4400: Single seals</t>
  </si>
  <si>
    <t>4500: Double seals</t>
  </si>
  <si>
    <t>B45.01</t>
  </si>
  <si>
    <t>Double seals using:</t>
  </si>
  <si>
    <t>(a) 20mm and 10mm grade 1 aggregates and 70/100 penetration grade bitumen binder</t>
  </si>
  <si>
    <t>Area:  incl. 5% extra for bus bays, accesses etc.</t>
  </si>
  <si>
    <t>45.04</t>
  </si>
  <si>
    <t>Application of fog spray consisting of:</t>
  </si>
  <si>
    <t>(a) 30% spray-grade emulsion, anionic</t>
  </si>
  <si>
    <t>Area as B45.01 (a) at application ate  0.3 litres / m2</t>
  </si>
  <si>
    <t>litres</t>
  </si>
  <si>
    <t>4600: Bituminous single seal with slurry (Cape seal)</t>
  </si>
  <si>
    <t>4700: Surfacing of bridge decks</t>
  </si>
  <si>
    <t>4800: Treatment of an existing surface exhibiting certain defects</t>
  </si>
  <si>
    <t>4900: Sand seals</t>
  </si>
  <si>
    <t>5100: Pitching, stonework and protection against erosion</t>
  </si>
  <si>
    <t>Quantities for this project are guessed.</t>
  </si>
  <si>
    <t>5200: Gabions</t>
  </si>
  <si>
    <t>5300: Guide blocks</t>
  </si>
  <si>
    <t>5400: Guardrails</t>
  </si>
  <si>
    <t>54.01: Guardrails on timber posts</t>
  </si>
  <si>
    <t xml:space="preserve">    (a) Galvanised</t>
  </si>
  <si>
    <t>at culvert</t>
  </si>
  <si>
    <t>on straight</t>
  </si>
  <si>
    <t>54.04: End units</t>
  </si>
  <si>
    <t xml:space="preserve">    (a) End wings - fish tail</t>
  </si>
  <si>
    <t>5500: Fencing</t>
  </si>
  <si>
    <t>55.02: Supply and erect new fencing material for new fences and for supplementing material in existing fences which are being repaired or removed:</t>
  </si>
  <si>
    <t xml:space="preserve">    (a) Zinc-coated barbed wire (SANS 675, 3,2 x 2,5 mm oval, high tensil grade, single strand and fully galvanised)</t>
  </si>
  <si>
    <t xml:space="preserve">SD </t>
  </si>
  <si>
    <t xml:space="preserve">    (g) Standards:</t>
  </si>
  <si>
    <t>(i) 1,85 m x 2,5 kg/m Y-sectio, complete with holes at 50 mm centres</t>
  </si>
  <si>
    <t xml:space="preserve">    (h) Droppers:</t>
  </si>
  <si>
    <t>(i) 1,2 m x 0,56 kg/m ridgeback-pattern (SANS 121 / ISO 1461)</t>
  </si>
  <si>
    <t xml:space="preserve">    (i) Straining posts, stays and anchors:</t>
  </si>
  <si>
    <t xml:space="preserve">       (a) Vertical:</t>
  </si>
  <si>
    <t>(i) Steel straining posts (SANS 121 / ISO 1461, 2130 x 100 diameter x 3 mm mild steel tubing with steel cap and 230 x 230 x 3 mm base plate, fully galvanised (without holes for wires))</t>
  </si>
  <si>
    <t xml:space="preserve">       (b) Inclined:</t>
  </si>
  <si>
    <t>5600: Road signs</t>
  </si>
  <si>
    <t>5700: Road markings</t>
  </si>
  <si>
    <t>57.02(a)(i)</t>
  </si>
  <si>
    <t>Road marking; White; 100mm</t>
  </si>
  <si>
    <t>continuous line at right hand fast lane, broken line 9m modules (1,5m with 7,5m gaps) in centre</t>
  </si>
  <si>
    <t xml:space="preserve">Refer to SADC_RTSM, Vol 1, Fig 7.1.1: Nearing intersections increased to 1,5 </t>
  </si>
  <si>
    <t>Length of road phase 1, excl. wetland, incl. additonal roads:</t>
  </si>
  <si>
    <t>Length of white line: ( TIMES 2 TO ALLOW FOR RE-PAINTING AFTER DEFECTS PERIOD)</t>
  </si>
  <si>
    <t>57.02(b)(i)</t>
  </si>
  <si>
    <t>Road marking; yellow; 100mm</t>
  </si>
  <si>
    <t>Only at left hand lane.</t>
  </si>
  <si>
    <t>B57.05(a)</t>
  </si>
  <si>
    <t>Roadstuds; bi-directional; any colour</t>
  </si>
  <si>
    <t>number of studs: 3 ( on yellow line, centre line, righ hand lane white line) ecery 18 m</t>
  </si>
  <si>
    <t>SADC-RTSM; Table 7.8: 18 metres (normal).</t>
  </si>
  <si>
    <t>Premarking</t>
  </si>
  <si>
    <t>number of lines: 3 ( yellow line, centre line, right hand lane white line)</t>
  </si>
  <si>
    <t>5800: Landscaping and planting plants</t>
  </si>
  <si>
    <t>58.01(a)</t>
  </si>
  <si>
    <t>Envisaged to use Labour Intensive Construction methods</t>
  </si>
  <si>
    <t>58.01(b)</t>
  </si>
  <si>
    <t>Width: 2 metres either side of road kerb, adjacent to sidewalk &amp; cycle path = 6m total</t>
  </si>
  <si>
    <t>Length x width (average)</t>
  </si>
  <si>
    <t>58.03(c )(i)</t>
  </si>
  <si>
    <t>Topsoil; from road reserve / borrow</t>
  </si>
  <si>
    <t>Length x width (average) x thickness (0,075m)</t>
  </si>
  <si>
    <t>58.04(b)(i)</t>
  </si>
  <si>
    <t>Grass sods; from nursery</t>
  </si>
  <si>
    <t>Checker board pattern: 50% of area:</t>
  </si>
  <si>
    <t>Watering established grass during dry seasons</t>
  </si>
  <si>
    <t>1 watercart every 3 hours; 3 laods per day; 22 days;</t>
  </si>
  <si>
    <t>5900: Finishing the road and ro~d reserve and treating old roads</t>
  </si>
  <si>
    <t>6100: Foundations for structures</t>
  </si>
  <si>
    <t>6200: Falsework, formwork and concrete finish</t>
  </si>
  <si>
    <t>6300: Steel reinforcement for structures</t>
  </si>
  <si>
    <t>6400: Concrete for structures</t>
  </si>
  <si>
    <t>6500: Prestressing</t>
  </si>
  <si>
    <t>6600: No-fines concrete, joints, bearings, bolt groups for electrification, and parapets
and drainage for structures</t>
  </si>
  <si>
    <t>6700: Structural steelwork</t>
  </si>
  <si>
    <t>6800: Construction tolerances for structures</t>
  </si>
  <si>
    <t>7100: Concrete pavements</t>
  </si>
  <si>
    <t>7200: Reinforced earth</t>
  </si>
  <si>
    <t>7300: Concrete block paving for roads</t>
  </si>
  <si>
    <t>B73.01</t>
  </si>
  <si>
    <t xml:space="preserve">Concrete block paving </t>
  </si>
  <si>
    <t>one side only</t>
  </si>
  <si>
    <t>To 2m wide cycle lanes: beveled edge paver blocks, minimum strength 25 Mpa,</t>
  </si>
  <si>
    <t>200mm x 100mm x 55mm, grey and red colours in ratio 3,2 (grey) : 1 (red).</t>
  </si>
  <si>
    <t>To 3m wide walkways: beveled edge paver blocks, minimum strength 25 Mpa,</t>
  </si>
  <si>
    <t>200mm x 100mm x 55mm, grey and red colours in ratio 4,8 (grey) : 1 (red).</t>
  </si>
  <si>
    <t>Rate build-up</t>
  </si>
  <si>
    <t>Pavers (supply)</t>
  </si>
  <si>
    <t>2,0 m wide cycle lanes</t>
  </si>
  <si>
    <t>Pavers delivery</t>
  </si>
  <si>
    <t>Pavers: install</t>
  </si>
  <si>
    <t>Sand: supplied</t>
  </si>
  <si>
    <t xml:space="preserve">m3; </t>
  </si>
  <si>
    <t>Sub-total</t>
  </si>
  <si>
    <t>Mark-up</t>
  </si>
  <si>
    <t>Rate(Excl.VAT)</t>
  </si>
  <si>
    <t>/ m2</t>
  </si>
  <si>
    <t>5,0 metre long</t>
  </si>
  <si>
    <t>Each 5 m:</t>
  </si>
  <si>
    <t>Area red:</t>
  </si>
  <si>
    <t>Grey</t>
  </si>
  <si>
    <t>:1</t>
  </si>
  <si>
    <t>3,0 m wide walkways</t>
  </si>
  <si>
    <t>7400: Patented earth retaining systems</t>
  </si>
  <si>
    <t>7500: Ground anchors</t>
  </si>
  <si>
    <t>8100: Testing material and workmanship</t>
  </si>
  <si>
    <t>B81.02</t>
  </si>
  <si>
    <t>Other special tests requested by the Employer's Agent</t>
  </si>
  <si>
    <t>(a) Other special tests requested by the Employer's Agent</t>
  </si>
  <si>
    <t>Costs of combined site laboratory (for soils and concrete): R 250 K / month ?</t>
  </si>
  <si>
    <t>8200: Quality control (Scheme 1)</t>
  </si>
  <si>
    <t>8300: Quality control (Scheme 2)</t>
  </si>
  <si>
    <t>8400: Painting</t>
  </si>
  <si>
    <t>Pedestrian vibratory roller 0.5t</t>
  </si>
  <si>
    <t>Self propelled vibratory roller 9t</t>
  </si>
  <si>
    <t>Concrete mixer up to 0.6 m³ dry capacity</t>
  </si>
  <si>
    <t>Oxy-acetylene cutting torch</t>
  </si>
  <si>
    <t>iii)</t>
  </si>
  <si>
    <t>Welding equipment, generator or alternator</t>
  </si>
  <si>
    <t>Relocation of existing community residential outbuildings</t>
  </si>
  <si>
    <t>sites.</t>
  </si>
  <si>
    <r>
      <t>UPS / Voltage stabiliser (</t>
    </r>
    <r>
      <rPr>
        <sz val="10"/>
        <color rgb="FFFF0000"/>
        <rFont val="Arial"/>
        <family val="2"/>
      </rPr>
      <t>1 hour</t>
    </r>
    <r>
      <rPr>
        <sz val="10"/>
        <rFont val="Arial"/>
        <family val="2"/>
      </rPr>
      <t>)</t>
    </r>
  </si>
  <si>
    <t>Hard hats</t>
  </si>
  <si>
    <t>600 mm Dia. Type 75D on Class C bedding</t>
  </si>
  <si>
    <t>900 mm Dia. Type 75D on Class C bedding</t>
  </si>
  <si>
    <t>Excavate material to spoil from roadbed construction, material obtained from:</t>
  </si>
  <si>
    <t>Construction of layers using conventional construction methods:</t>
  </si>
  <si>
    <t>Crushed stone subbase (C4), 150 mm thickness</t>
  </si>
  <si>
    <t>Crushed stone base (C3), 125 mm thickness</t>
  </si>
  <si>
    <t>i) 100mm wide</t>
  </si>
  <si>
    <t>ii) 200mm wide</t>
  </si>
  <si>
    <t>Concrete nosing with silicone seal deck joints as shown on the drawings</t>
  </si>
  <si>
    <t>12mm wide joints as shown on the drawings</t>
  </si>
  <si>
    <t>(i) Centrally in the abutment walls, above bases</t>
  </si>
  <si>
    <t>(ii) Between the abutments and wingwall, above bases</t>
  </si>
  <si>
    <t>Between the abutment and wingwall bases, as shown on the drawing</t>
  </si>
  <si>
    <t>Laminated elastomeric bearings</t>
  </si>
  <si>
    <t>Embedded in the abutment seals to anchor the deck, as detailed on the drawings</t>
  </si>
  <si>
    <t>Stainless steel dowels (25 mm diameter x 550 mm long, grade 316) across the joints to the parapet and traffic barrier walls</t>
  </si>
  <si>
    <t>F-shape parapet type A at upstream side, internal height 1390 mm external height 1695 mm</t>
  </si>
  <si>
    <t xml:space="preserve"> </t>
  </si>
  <si>
    <t>End blocks for F-shape parapet type A (4,0 m long): at upstream side, 1390 mm  internal height</t>
  </si>
  <si>
    <t>End blocks for F-shape parapet type A (4,0 m long): at downstream side, 1220 mm internal height</t>
  </si>
  <si>
    <t>Training venue facility, including the cost of transporting the learners to and from this facility</t>
  </si>
  <si>
    <t>EPWP Branding (refer to spec)</t>
  </si>
  <si>
    <t>(f.i)</t>
  </si>
  <si>
    <t xml:space="preserve">Prime cost sum for EPWP branding   </t>
  </si>
  <si>
    <t>(f.ii)</t>
  </si>
  <si>
    <r>
      <t>10m</t>
    </r>
    <r>
      <rPr>
        <sz val="9"/>
        <rFont val="Calibri"/>
        <family val="2"/>
      </rPr>
      <t>²</t>
    </r>
    <r>
      <rPr>
        <sz val="9"/>
        <rFont val="Arial"/>
        <family val="2"/>
      </rPr>
      <t xml:space="preserve"> / hour</t>
    </r>
  </si>
  <si>
    <t>600 mm diameter</t>
  </si>
  <si>
    <t>750 mm diameter</t>
  </si>
  <si>
    <t>900 mm diameter</t>
  </si>
  <si>
    <t>Vertical, class F1 surface finish</t>
  </si>
  <si>
    <t>Vertical, class F2 surface finish</t>
  </si>
  <si>
    <t>Class 75D:</t>
  </si>
  <si>
    <t>Prefabricated battered kerb SABS 927 figure 6, radius greater than 20 m, as shown on drawing no. SD 0701/A</t>
  </si>
  <si>
    <t>500 mm wide kerb and channel using prefabricated battered kerb, radius greater than 20 m, SABS 927 figure 6, with cast in situ class 15/19 concrete channel, as shown on drawing no. SD 0701/A</t>
  </si>
  <si>
    <t>Galvanized gabion boxes 2,0 m long x 1,0 m wide x 1,0 m deep (mesh size 80 mm x 100 mm, with 2,7 mm OD frame wire and 2,2 mm OD mesh wire)</t>
  </si>
  <si>
    <t>Galvanized gabion mattresses 2,0 m long x 1,0 m wide x 0,3 m deep (mesh size 80 mm x 100 mm, with 2,7 mm OD frame wire and 2,2 mm OD mesh wire, 1,0 m diaphragm spacing)</t>
  </si>
  <si>
    <t>Labour</t>
  </si>
  <si>
    <t>160 mm diameter and 3,0 m high treated timber as per SD 1302/A</t>
  </si>
  <si>
    <t>Deck</t>
  </si>
  <si>
    <t>Reinforced concrete in river causeway</t>
  </si>
  <si>
    <t>Type UPVC size 200mm in abutment seats as detailed on the drawings</t>
  </si>
  <si>
    <t>Type UPVC size 110mm deck scuppers as detailed on the drawings</t>
  </si>
  <si>
    <t>Type UPVC size 50mm</t>
  </si>
  <si>
    <t>Synthetic-fibre filter fabric</t>
  </si>
  <si>
    <t>Geotextile Grade 3 to the earth faces of the abutments and wingwalls, as detailed on the drawings</t>
  </si>
  <si>
    <t>Synthetic-fibre filter fabric, grade 2, drainage strips 300 mm wide, including wrapping the strips in stitched grade 2 filter fabric sleeves</t>
  </si>
  <si>
    <t>110 mm diameter uPVC service ducts located along the bridge deck below the sidewalk</t>
  </si>
  <si>
    <t>Perforated drainage pipes 50 mm minimum diameter, including wrapping the pipes in grade 2 filter fabric and constructing the 200 mm x 100 mm concrete bedding strips (class 15/19 concrete)</t>
  </si>
  <si>
    <t>Class F1 surface finish to</t>
  </si>
  <si>
    <t>Approach slabs</t>
  </si>
  <si>
    <t>Deck: edges and stopend</t>
  </si>
  <si>
    <t>Abutment and wingwall bases, walls and concealed surfaces (including sloping surface to cap soffits)</t>
  </si>
  <si>
    <t>iv)</t>
  </si>
  <si>
    <t>Abutments and wingwalls</t>
  </si>
  <si>
    <t>Piers</t>
  </si>
  <si>
    <t>Deck sides</t>
  </si>
  <si>
    <t>Sidewalk</t>
  </si>
  <si>
    <t>Class F2 surface finish to</t>
  </si>
  <si>
    <t>Deck soffit (including sloping featured edges)</t>
  </si>
  <si>
    <t>Abutments including approach slabs, wingwall bases, abutment wall &amp; wingwall.</t>
  </si>
  <si>
    <t>C13.3.1.3</t>
  </si>
  <si>
    <t>C13.3.1.4</t>
  </si>
  <si>
    <t>Parapets and end blocks</t>
  </si>
  <si>
    <t>C13.3.1.5</t>
  </si>
  <si>
    <t>C13.3.1.6</t>
  </si>
  <si>
    <t>Apron</t>
  </si>
  <si>
    <t>Mild-steel bars (250 MPa)</t>
  </si>
  <si>
    <t>High-yield-stress-steel bars (450 MPa)</t>
  </si>
  <si>
    <t>Welded Steel Fabric, Ref 193</t>
  </si>
  <si>
    <t>High-yield-stress-steel bars</t>
  </si>
  <si>
    <t>Headwalls and cut off walls</t>
  </si>
  <si>
    <t>Barrel walls</t>
  </si>
  <si>
    <t>Earwalls and wingwalls</t>
  </si>
  <si>
    <t>Headwalls</t>
  </si>
  <si>
    <t>Barrel soffit</t>
  </si>
  <si>
    <t>Barrel</t>
  </si>
  <si>
    <t>Apron slab</t>
  </si>
  <si>
    <t>Joint Type MJ1 in culvert barrel as shown on the drawings</t>
  </si>
  <si>
    <t>Joint Type MJ4 between apron slab and walls as shown on the drawings</t>
  </si>
  <si>
    <t>Geotextile Grade 1 to bottom and sides of rock fill</t>
  </si>
  <si>
    <t>500mm wide strip of geotextile grade 3 to cover barrel joints</t>
  </si>
  <si>
    <t>Geotextile Grade 3 to barrel sides against earth</t>
  </si>
  <si>
    <t>Barrel inlet soffit 250 x 250 chamfer</t>
  </si>
  <si>
    <t>300 mm wide x 1,6 mm thick galvanised mild steel sheet installed along the earth faces of the joint between:</t>
  </si>
  <si>
    <t>In the box culvert floor slabs at the expansion joints (1,0 m long)</t>
  </si>
  <si>
    <t>Fixing the gabion mattress to the apron slab (1,0 m long)</t>
  </si>
  <si>
    <t>the box culvert barrel sections</t>
  </si>
  <si>
    <t>TRIPLE CELLED 1.8 m x 1.8 m BOX CULVERT STC 3909 at km 12.040</t>
  </si>
  <si>
    <t>SCHEDULE B: STRUCTURES</t>
  </si>
  <si>
    <t>TRIPLE CELLED 3.0m x 3.0m BOX CULVERT STC 3960 at km 7.341</t>
  </si>
  <si>
    <t>CWAKA RIVER BRIDGE B3843 at km 10.94</t>
  </si>
  <si>
    <t>PS C1.2.4.1</t>
  </si>
  <si>
    <t>PS C1.2.4.2</t>
  </si>
  <si>
    <t>PS C1.4.9</t>
  </si>
  <si>
    <t>Single sided, reversible left or right (TW401/TW402, 600 mm x 150 mm)</t>
  </si>
  <si>
    <t>Double sided, reversible left or right (TW401/TW402, 600 mm x 150 mm)</t>
  </si>
  <si>
    <t>C1.5.4 / C3.2.3</t>
  </si>
  <si>
    <t>Multidirectional</t>
  </si>
  <si>
    <t>Extra over sub-item C3.2.1.1 for excavation in hard or boulder material, irrespective of depth</t>
  </si>
  <si>
    <t>450 mm diameter</t>
  </si>
  <si>
    <t>PS C3.2.7.8</t>
  </si>
  <si>
    <t>Plain concrete (using jackhammer)</t>
  </si>
  <si>
    <t>Single swing gate, 2.4m long, 1.2 m high, obtained from existing community fence, including new posts, with security lock</t>
  </si>
  <si>
    <t>Single galvanised steel swing gate, 4m long, 1.8 m high, obtained from existing community fence, including 2 new gumpole posts in concrete foundation, with security lock</t>
  </si>
  <si>
    <t>SCHEDULE B: STRUCTURES - SUMMARY</t>
  </si>
  <si>
    <t>TRIPLE CELLED 3.0m x 3.0m BOX CULVERT STC 3960 at km 8.300</t>
  </si>
  <si>
    <t>110 mm diameter uPVC pipes</t>
  </si>
  <si>
    <t>160 mm diameter uPVC pipes</t>
  </si>
  <si>
    <t>uPVC pipes</t>
  </si>
  <si>
    <t>V-drains, as shown on drawing no. SD 0601/C</t>
  </si>
  <si>
    <t>ClassU2 surface finish to cast in situ concrete</t>
  </si>
  <si>
    <t>V-drains</t>
  </si>
  <si>
    <t>Walkways</t>
  </si>
  <si>
    <t>Construction joints, one coat of approved bituminous emulsion containing 60% pure bitumen by mass</t>
  </si>
  <si>
    <t>Expansion joints, sealed with a closed cell expanded polyethylene joint filler over the full panel depth</t>
  </si>
  <si>
    <t>PS C3.3.18</t>
  </si>
  <si>
    <t>Inlet, outlet, transition and similar structures (typical designs):</t>
  </si>
  <si>
    <t>Outlet structures for side drains, 950mm long, class 20/19 concrete, complete as shown on drawing no. SD 0603/A (detail SD 0603/1) excluding stone pitching.</t>
  </si>
  <si>
    <t>Outlet structures for side drains, 950mm long, class 20/19 concrete, complete as shown on drawing no. SD 0603/A (detail SD 0603/2) excluding stone pitching.</t>
  </si>
  <si>
    <t>Side spilling outlet for concrete kerb-channelling combination, 10 m long, 2 m wide, class 20/19 concrete, complete as shown on drawing no. SD 0603/A (detail SD 0603/3) including kerb returns but excluding stone pitching.</t>
  </si>
  <si>
    <t>Side inlet for concrete kerb-channelling combination, type D1 double splay, 3.77 m long, 1.22 m wide,  1.4 m height, class 20/19 concrete, complete as shown on drawing no. SD 0703/A, excluding the downpipe and excluding the outlet structure at the bottom of the fill.</t>
  </si>
  <si>
    <t>Drop inlet with steel grid for concrete kerb-channelling combination, 5.38 m long, 1.06 m wide,  1.2 m height, class 20/19 concrete, complete as shown on drawing no. SD 0702/A, excluding the downpipe and excluding the outlet structure at the bottom of the fill.</t>
  </si>
  <si>
    <t>C13.1_STC3960</t>
  </si>
  <si>
    <t>CPG C2.1</t>
  </si>
  <si>
    <t>CPG C3.2</t>
  </si>
  <si>
    <t>CPG C11.1</t>
  </si>
  <si>
    <t>CPG C11.4</t>
  </si>
  <si>
    <t>CPG C11.5</t>
  </si>
  <si>
    <t>C1.2_Cwaka</t>
  </si>
  <si>
    <t>C1.3_Cwaka</t>
  </si>
  <si>
    <t>C13.1_Cwaka</t>
  </si>
  <si>
    <t>C13.2_Cwaka</t>
  </si>
  <si>
    <t>C13.3_Cwaka</t>
  </si>
  <si>
    <t>C13.4_Cwaka</t>
  </si>
  <si>
    <t>C13.6_Cwaka</t>
  </si>
  <si>
    <t>C13.7_Cwaka</t>
  </si>
  <si>
    <t>C13.8_Cwaka</t>
  </si>
  <si>
    <t>C1.2(STC3960)</t>
  </si>
  <si>
    <t>C1.3(STC3960)</t>
  </si>
  <si>
    <t>Construction Equipment</t>
  </si>
  <si>
    <t>Other equipment</t>
  </si>
  <si>
    <t>Vehicles</t>
  </si>
  <si>
    <t xml:space="preserve">Provision for the protection of grave </t>
  </si>
  <si>
    <t>Provision for relocating of existing community residential outbuildings</t>
  </si>
  <si>
    <t>Handling costs and profit in respect of item C1.2.11 (a) above</t>
  </si>
  <si>
    <t>Handling costs and profit in respect of item C1.2.12 (a) above</t>
  </si>
  <si>
    <t>Handling costs and profit in respect of subitem PS C1.4.9 (a) above</t>
  </si>
  <si>
    <t>Handling cost and profit in respect of subitem PS C1.4.10 (a) above</t>
  </si>
  <si>
    <t>PS C1.4.10</t>
  </si>
  <si>
    <t>C4.1.15</t>
  </si>
  <si>
    <t>Shaping and finishing the borrow pit and quarry areas, and the stockpile sites</t>
  </si>
  <si>
    <t>Chemical stabilisation of pavement layers</t>
  </si>
  <si>
    <t>Dowels or guides</t>
  </si>
  <si>
    <t>Installing the proprietary bearings</t>
  </si>
  <si>
    <t>On Class C bedding</t>
  </si>
  <si>
    <t>Formwork of concrete under items C3.2.7.3 to 5 above</t>
  </si>
  <si>
    <t>Removing and stacking existing culverts for re-use</t>
  </si>
  <si>
    <t>Dedicated environmental officer</t>
  </si>
  <si>
    <t>Sealant</t>
  </si>
  <si>
    <t>Silicone seal as shown on the drawing for the exposed joints in the front faces of the abutments and the adjacent wingwalls</t>
  </si>
  <si>
    <t>Bituthene or similar approved seals as shown on the drawings, for concealed earth faces of the joints in the abutments and adjacent wingwalls</t>
  </si>
  <si>
    <t>C13.7.1.2</t>
  </si>
  <si>
    <t>Drainage strips</t>
  </si>
  <si>
    <t>Cast in situ concrete:</t>
  </si>
  <si>
    <t>B</t>
  </si>
  <si>
    <t>Handling costs and profit in respect of the above subitem</t>
  </si>
  <si>
    <t>Outlet headwall structure as per drawing SD/501/6</t>
  </si>
  <si>
    <t>Cleaning/rodding eyes as per drawing SD501/5</t>
  </si>
  <si>
    <t>Ref 193 Welded Steel Fabric</t>
  </si>
  <si>
    <t>Vertical</t>
  </si>
  <si>
    <t>Materials testing for Engineer's Acceptance Control</t>
  </si>
  <si>
    <t>From commercial sources (G6 quality)</t>
  </si>
  <si>
    <t>From sources on site (Site excavations or borrow pits)</t>
  </si>
  <si>
    <t>Centrally in the abutment walls, above bases</t>
  </si>
  <si>
    <t>Between the abutments and wingwall, above bases</t>
  </si>
  <si>
    <t>C1.2.1</t>
  </si>
  <si>
    <t>C1.2.4</t>
  </si>
  <si>
    <t>C1.2.5</t>
  </si>
  <si>
    <t>C1.2.13 / C2.1.1</t>
  </si>
  <si>
    <t>C1.3.1</t>
  </si>
  <si>
    <t>C1.3.2</t>
  </si>
  <si>
    <t>PS C1.2.5.3</t>
  </si>
  <si>
    <t>Fixed obligations for completing and checking the Project Health &amp; Safety file and handing it over to the Employer on completion of the Works</t>
  </si>
  <si>
    <t>C1.4.1</t>
  </si>
  <si>
    <r>
      <t>Kitchen unit (equipment as specified</t>
    </r>
    <r>
      <rPr>
        <sz val="10"/>
        <rFont val="Arial"/>
        <family val="2"/>
      </rPr>
      <t>)</t>
    </r>
  </si>
  <si>
    <t>C1.4.2</t>
  </si>
  <si>
    <t>C1.4.3</t>
  </si>
  <si>
    <t>Single 1500 mm, 58 watt fluorescent tube ceilling light</t>
  </si>
  <si>
    <t>C1.4.3.30</t>
  </si>
  <si>
    <t>Supply and installation of all required security measures at the Engineer's site offices and laboratories</t>
  </si>
  <si>
    <t>C1.5.2</t>
  </si>
  <si>
    <t>C1.5.7.8</t>
  </si>
  <si>
    <t>C1.5.8</t>
  </si>
  <si>
    <t>C4.1.7</t>
  </si>
  <si>
    <t>C4.1.12</t>
  </si>
  <si>
    <t>C10.1.3</t>
  </si>
  <si>
    <t>C10.1.9</t>
  </si>
  <si>
    <t>C11.7.8</t>
  </si>
  <si>
    <t>C11.7.7</t>
  </si>
  <si>
    <t>C11.7.2</t>
  </si>
  <si>
    <t>C20.1.2</t>
  </si>
  <si>
    <t>C13.1.9</t>
  </si>
  <si>
    <t>C13.1.14</t>
  </si>
  <si>
    <t>C13.8.1.2</t>
  </si>
  <si>
    <t>C13.8.2</t>
  </si>
  <si>
    <t>C13.8.7</t>
  </si>
  <si>
    <t>Inlet grids or covers</t>
  </si>
  <si>
    <t>PS C3.3.17</t>
  </si>
  <si>
    <t>C11.5 / C1.6.1.3</t>
  </si>
  <si>
    <t>Temporary gates</t>
  </si>
  <si>
    <t>PS C11.8.10</t>
  </si>
  <si>
    <t>C13.8.6</t>
  </si>
  <si>
    <t>C13.8.12</t>
  </si>
  <si>
    <t>C13.8.16</t>
  </si>
  <si>
    <t>PS C13.8.18</t>
  </si>
  <si>
    <t>PS C13.7.11</t>
  </si>
  <si>
    <t>Vertical formwork to provide surface finish to</t>
  </si>
  <si>
    <t>Horizontal formwork to provide surface finish to</t>
  </si>
  <si>
    <t>Inclined formwork to provide surface finish to</t>
  </si>
  <si>
    <t>A4 colour printer, copier, scanner</t>
  </si>
  <si>
    <t>The provision of paper and ink for a combination colour printer/copier/scanner</t>
  </si>
  <si>
    <t>C1.5.7.9</t>
  </si>
  <si>
    <t>Cleaning of trafffic control facilities</t>
  </si>
  <si>
    <t>Borrow pits</t>
  </si>
  <si>
    <t>C5.2.2.1</t>
  </si>
  <si>
    <t>Roller-pass compaction</t>
  </si>
  <si>
    <t>C8.1.1.3</t>
  </si>
  <si>
    <t>Inverted bitumen emulsion</t>
  </si>
  <si>
    <t>C5.1.3</t>
  </si>
  <si>
    <t>Excavate material to spoil sites designated by the Contractor</t>
  </si>
  <si>
    <t>C5.1.3.1</t>
  </si>
  <si>
    <t xml:space="preserve">(e) </t>
  </si>
  <si>
    <r>
      <t xml:space="preserve">The number of 300m sections; number of stab. Layers = </t>
    </r>
    <r>
      <rPr>
        <sz val="10"/>
        <color rgb="FFFF0000"/>
        <rFont val="Arial"/>
        <family val="2"/>
      </rPr>
      <t>1.</t>
    </r>
  </si>
  <si>
    <t>PS C10.1.11.5</t>
  </si>
  <si>
    <t>30 % Spray-grade emulsion anionic</t>
  </si>
  <si>
    <t>C10.1.14</t>
  </si>
  <si>
    <t>Precoating of aggregate using a frontend loader</t>
  </si>
  <si>
    <t>C10.1.14.1</t>
  </si>
  <si>
    <t>C10.1.15</t>
  </si>
  <si>
    <t>Precoating of aggregate by hand</t>
  </si>
  <si>
    <t>C10.1.15.1</t>
  </si>
  <si>
    <t>PS C10.1.9.12</t>
  </si>
  <si>
    <t>C1.5.4 / C5.2.2.1</t>
  </si>
  <si>
    <t>C1.5.4 / C5.1.3.1</t>
  </si>
  <si>
    <t>C1.5.4 / C5.3.2.1 (g)</t>
  </si>
  <si>
    <t>C1.5 / C11.6.1</t>
  </si>
  <si>
    <t>Prepainted galvanised steel plate (Chromadek sheet, 1.4mm thick):</t>
  </si>
  <si>
    <t>Area 0 to 0,5 m²</t>
  </si>
  <si>
    <t>Area exceeding 0,5 m² but not 2,0 m²</t>
  </si>
  <si>
    <t>Area exceeding 2,0 m² but not 10 m²</t>
  </si>
  <si>
    <t>900 mm diameter (galvanised steel sheet, Class I retro-reflective compliant with SANS 1519)</t>
  </si>
  <si>
    <t>1200 mm size (galvanised steel sheet, Class I retro-reflective compliant with SANS 1519)</t>
  </si>
  <si>
    <t>Supplementary plates to temporary regulatory or warning signs (galvanised steel sheet, Class I retro-reflective compliant with SANS 1519)</t>
  </si>
  <si>
    <t>C5.3.2</t>
  </si>
  <si>
    <t>C5.3.2.1</t>
  </si>
  <si>
    <t>Labour % roads:</t>
  </si>
  <si>
    <t>Labour % structures</t>
  </si>
  <si>
    <t>Gravel wearing course layer (100 mm thickness) compacted to 95% of MDD</t>
  </si>
  <si>
    <t>PS C1.5.13</t>
  </si>
  <si>
    <t>Blading by road grader</t>
  </si>
  <si>
    <t xml:space="preserve">Blading by road grader of &gt;6m </t>
  </si>
  <si>
    <t>PS C1.5.5.13</t>
  </si>
  <si>
    <t>Machine Trimming: Dry Road Blading using Watercart – 3%</t>
  </si>
  <si>
    <t>C1.5.4 / C1.7.2</t>
  </si>
  <si>
    <t>C1.5.6</t>
  </si>
  <si>
    <t>Removal of temporary deviations</t>
  </si>
  <si>
    <t>C4.1.18</t>
  </si>
  <si>
    <t>C5.2 / C1.7.2.1</t>
  </si>
  <si>
    <t>C5.3 / C1.7.2.1</t>
  </si>
  <si>
    <t>Used 2000m³</t>
  </si>
  <si>
    <t>Used 18000m³ for rockfill</t>
  </si>
  <si>
    <t>F-shape parapet type A at downstream side, internal height 1220 mm external height 1600mm</t>
  </si>
  <si>
    <t>Numbers formed in concrete</t>
  </si>
  <si>
    <t>C1.5 / C11.4.1</t>
  </si>
  <si>
    <t>C5.1 / C1.7.2.2</t>
  </si>
  <si>
    <t>CPG C11.7</t>
  </si>
  <si>
    <t>&gt; 3,0 m and &lt; 4,5 m</t>
  </si>
  <si>
    <t>&gt; 4,5 m and &lt; 6,0 m</t>
  </si>
  <si>
    <t>Front end loader backhoe</t>
  </si>
  <si>
    <t>Rammer compactor</t>
  </si>
  <si>
    <t>day</t>
  </si>
  <si>
    <t>P494</t>
  </si>
  <si>
    <t>Workerdays and Labour Intensity Computation</t>
  </si>
  <si>
    <t xml:space="preserve">Min wage (R/hr): </t>
  </si>
  <si>
    <t xml:space="preserve">Hours/day: </t>
  </si>
  <si>
    <t xml:space="preserve">Daily Rate (R/day): </t>
  </si>
  <si>
    <t xml:space="preserve">km: </t>
  </si>
  <si>
    <t>BoQ
Reference</t>
  </si>
  <si>
    <t>Item No</t>
  </si>
  <si>
    <t>Activity description
(Based on BoQ)</t>
  </si>
  <si>
    <t>Qty</t>
  </si>
  <si>
    <t>Amount</t>
  </si>
  <si>
    <t>Labour Calc / Factor</t>
  </si>
  <si>
    <t>Labour Amount</t>
  </si>
  <si>
    <t>Task rate</t>
  </si>
  <si>
    <t>Worker-days</t>
  </si>
  <si>
    <t>Labour %</t>
  </si>
  <si>
    <t>GENERAL REQUIREMENTS &amp; PAYMENT</t>
  </si>
  <si>
    <t>Stakeholder Liaison</t>
  </si>
  <si>
    <t>Provision of Project Liaison Officer (PLO)</t>
  </si>
  <si>
    <t>C1.2.8.1 (a)</t>
  </si>
  <si>
    <t>C1.2.8.1 (b)</t>
  </si>
  <si>
    <t>FINISHING THE ROAD &amp; ROAD RESERVE &amp; TREATING OLD ROADS</t>
  </si>
  <si>
    <t>Clearing, shaping and disposal of accumulated sediment in existing unlined open drains</t>
  </si>
  <si>
    <t>900 mm diameter (Galvanised steel sheet, octangonal)</t>
  </si>
  <si>
    <t>Employment of NYS youth workers</t>
  </si>
  <si>
    <t>Total WD</t>
  </si>
  <si>
    <t>wd/km</t>
  </si>
  <si>
    <t>Total Cost estimate</t>
  </si>
  <si>
    <t>R/km</t>
  </si>
  <si>
    <t>Unskilled labour wage total</t>
  </si>
  <si>
    <t>Labour intensity (%) - Estimate</t>
  </si>
  <si>
    <t>C4.1 / C1.7.2.2</t>
  </si>
  <si>
    <t>As shown on drawing no. SD 0602/B (Including frames and galvanising in accordance with subclause PS A13.9.7.1(m)(iii) of the project specifications)</t>
  </si>
  <si>
    <t>C3.2 / C2.2.1</t>
  </si>
  <si>
    <t>C3.2 / C2.2.6</t>
  </si>
  <si>
    <t>C3.2 / C2.1.2.5</t>
  </si>
  <si>
    <t>110 mm PVC</t>
  </si>
  <si>
    <t>160 mm PVC</t>
  </si>
  <si>
    <t>End caps or plugs</t>
  </si>
  <si>
    <t>C3.2 / C1.7.2.2</t>
  </si>
  <si>
    <t>C3.3 / C11.1.6</t>
  </si>
  <si>
    <t>Reinforcing plates (Drawing SD1101)</t>
  </si>
  <si>
    <t>C11.4 / C13.4.2</t>
  </si>
  <si>
    <t>CPG C1.5</t>
  </si>
  <si>
    <t>Extra over C11.4.1.1(a) and C11.4.5.1 for excavating holes of posts using labour enhanced methods (soft and intermediate)</t>
  </si>
  <si>
    <t>450mm nominal diameter Weholite structured wall HDPE pipe or similar approved from drop inlet or side inlet for concrete kerb-channelling combination to the outlet structure at the bottom of the fill</t>
  </si>
  <si>
    <t>TOTAL SCHEDULE E: EXPANDED PUBLIC WORKS PROGRAMME</t>
  </si>
  <si>
    <t>C1.2.2</t>
  </si>
  <si>
    <t>Programming and Reporting</t>
  </si>
  <si>
    <t>C1.2.2.3</t>
  </si>
  <si>
    <t>Submission of a Scheme 2 Initial Programme</t>
  </si>
  <si>
    <t>C1.2.2.4</t>
  </si>
  <si>
    <t>Submission of a Scheme 2 Full Programme</t>
  </si>
  <si>
    <t>C1.2.2.5</t>
  </si>
  <si>
    <t>Reviewing and updating a Scheme 2 Programme every month</t>
  </si>
  <si>
    <t>Preparation and submission of all information and reports specified in the Contract Documentation</t>
  </si>
  <si>
    <t>Temporary road studs compliant to SANS 1442 or 1463</t>
  </si>
  <si>
    <t>Deck (class 25/30-20, formerly "Class 30/19")</t>
  </si>
  <si>
    <t>C4.1.11</t>
  </si>
  <si>
    <t>Constructing a platform for the stockpile site</t>
  </si>
  <si>
    <t>C4.1.12 / C1.6.9.1</t>
  </si>
  <si>
    <t>Extra-over item C13.3.1 for galvanising of reinforcement (hot-dip galvanising to provide a duty zinc coating not less than 105 microns thickness)</t>
  </si>
  <si>
    <t>Pier Bases (class 25/30-20, formerly "Class 30/19")</t>
  </si>
  <si>
    <t>Pier Walls (class 25/30-20, formerly "Class 30/19")</t>
  </si>
  <si>
    <t>Pier Caps (class 25/30-20, formerly "Class 30/19")</t>
  </si>
  <si>
    <t>Right abutment base (class 25/30-20, formerly "Class 30/19")</t>
  </si>
  <si>
    <t>Right abutment wall (class 25/30-20, formerly "Class 30/19")</t>
  </si>
  <si>
    <t>Left abutment base (class 25/30-20, formerly "Class 30/19")</t>
  </si>
  <si>
    <t>Left abutment walls (class 25/30-20, formerly "Class 30/19")</t>
  </si>
  <si>
    <t>Approach slab / Apron slab (class 25/30-20, formerly "Class 30/19")</t>
  </si>
  <si>
    <t>C13.4 / C1.7.2.2</t>
  </si>
  <si>
    <t>Barrel (class 20/25-20, formerly "Class 25/19")</t>
  </si>
  <si>
    <t>Headwalls and cut off walls (class 20/25-20, formerly "Class 25/19")</t>
  </si>
  <si>
    <t>Earwalls and wingwalls (class 20/25-20, formerly "Class 25/19")</t>
  </si>
  <si>
    <t>Apron slabs (class 20/25-20, formerly "Class 25/19")</t>
  </si>
  <si>
    <t>100mm thick, walkway with construction joints and expansion joints as per PSA 3.3.7.3</t>
  </si>
  <si>
    <t>Non-cohesive material (river sand)</t>
  </si>
  <si>
    <t>C13.8 / C2.2.4</t>
  </si>
  <si>
    <t>C4.2 / C12.10.1</t>
  </si>
  <si>
    <t>C4.2 / PS C12.10.2</t>
  </si>
  <si>
    <t>C4.2 / C12.10.3</t>
  </si>
  <si>
    <t>C5.1 / C12.10.1</t>
  </si>
  <si>
    <t>In inlet and outlet structures including kerbs, chutes and downpipes, skewed ends, catchpits, manholes, thrust and anchor blocks, excluding formwork but including Class U2 surfacing finish (Class 16/20-20 concrete, formerly Class 20/19)</t>
  </si>
  <si>
    <t>Outlet structure for 450 mm diameter downpipe, 230mm thick masonry walls on 200mm thick concrete slab, 1.15 m long, 1.2 m wide,  0.865 m height, class 16/20-20 concrete, formerly class 20/19, complete as shown on drawing no. SD 0406, including splitter block, excluding the downpipe and excluding stone pitching.</t>
  </si>
  <si>
    <t>Labour enhanced cast in situ concrete class 12/15-20, formerly class 15/19, for footings to sign boards</t>
  </si>
  <si>
    <t>Cast in-situ 75mm concrete walkway slab (Class 16/20-20, formerly "Class 20/19"), as per drawing 3483-13, including centrally placed mesh Ref. 193 reinforcing and cast in alternate panels 2.0 long on 150 um PVC sheeting on approved sand bedding.</t>
  </si>
  <si>
    <t>Perforated drainage pipes 50 mm minimum diameter, including wrapping the pipes in grade 2 filter fabric and constructing the 200 mm x 100 mm concrete bedding strips (class 12/15-20, formerly "class 15/19" concrete)</t>
  </si>
  <si>
    <t>P&amp;Gs for STC3909</t>
  </si>
  <si>
    <t>P&amp;Gs for STC3960</t>
  </si>
  <si>
    <t>P&amp;Gs for Cwaka RB</t>
  </si>
  <si>
    <t>P&amp;Gs for CPG</t>
  </si>
  <si>
    <t>Roadworks</t>
  </si>
  <si>
    <t>Structures</t>
  </si>
  <si>
    <t>C11.5.4</t>
  </si>
  <si>
    <t>Dismantling existing fences and gates:</t>
  </si>
  <si>
    <t>TOTAL SCHEDULE A &amp; B : ROADWORKS (incl Dayworks) &amp; STRUCTURES</t>
  </si>
  <si>
    <t>SUBTOTAL: SCHEDULE A, B &amp; E (incl items to be allocated to CPG)</t>
  </si>
  <si>
    <t>ZNB 00399/00000/HOD/INF/21/T</t>
  </si>
  <si>
    <t>PS C3.3.8.4</t>
  </si>
  <si>
    <t>Extra over subsubitems C3.3.8.1 (a) and (b) for concrete batched on site</t>
  </si>
  <si>
    <t>Other vehicles (4-ton truck)</t>
  </si>
  <si>
    <t>Dump Truck (5m³ capacity)</t>
  </si>
  <si>
    <t>Flatbed truck (5-t capacity with hoist)</t>
  </si>
  <si>
    <t>Light delivery vehicle ((1-ton)</t>
  </si>
  <si>
    <t>Compressor (250 cfm (7m³/min) capacity complete with normal ancillary equipment)</t>
  </si>
  <si>
    <t>Excavator  (on tracks up to 100kW and mass of 20t)</t>
  </si>
  <si>
    <t>C1.2.8.4</t>
  </si>
  <si>
    <t>Materials</t>
  </si>
  <si>
    <t>Procurement of materials</t>
  </si>
  <si>
    <t>P C Sum</t>
  </si>
  <si>
    <t xml:space="preserve">Contractor's handling costs, profit and all other charges in respect of item C1.2.8.4(a) </t>
  </si>
  <si>
    <t>Zinc-coated barbed wire (SANS 675, 3,2 x 2,5 mm oval, high tensil grade, single strand and fully galvanised)</t>
  </si>
  <si>
    <t>Standards (1,85 m x 2,5 kg/m Y-sectio, complete with holes at 50 mm centres)</t>
  </si>
  <si>
    <t>Droppers (1,2 m x 0,56 kg/m ridgeback-pattern (SANS 121 / ISO 1461)</t>
  </si>
  <si>
    <t>Steel straining posts (SANS 121 / ISO 1461, 2130 x 100 diameter x 3 mm mild steel tubing with steel cap and 230 x 230 x 3 mm base plate, fully galvanised (without holes for wires)</t>
  </si>
  <si>
    <t>Steel stays and anchors (Steel straining posts (SANS 121 / ISO 1461, 2130 x 100 diameter x 3 mm mild steel tubing with steel cap and 230 x 230 x 3 mm base plate, fully galvanised (without holes for wires)</t>
  </si>
  <si>
    <t>New gates (Double leaf gates, Type D, as per drawing SD 1201/A)</t>
  </si>
  <si>
    <t>Stock-proof fences (1.2 m high stock-proof fencing: timber supports with barbed wires)</t>
  </si>
  <si>
    <t>Pedestrian fences (2.1 m high pedestrian security fencing: timber gum poles in concrete foundations, with diamond mesh and barbed wires/ razor wires along the top)</t>
  </si>
  <si>
    <t>Security fences (2.1 m high pedestrian security fencing: galvanised steel palisade fencing, with steel posts  in concrete foundations)</t>
  </si>
  <si>
    <t>Stock-proof fence (1.2 m high, 2.1 m long timber poles at 9 metre intervals, 900mm in ground without concrete, with 5 strands of barbed wire abd timber droppers at 3 m intervals)</t>
  </si>
  <si>
    <t>Pedestrian fence (security fencing, 2.2 m high, timber gumpoles in concrete at 5 metre intervals, galvanised diamond mesh protruding 0.3 m into the ground, with razor wire at the top)</t>
  </si>
  <si>
    <t>Provision for the dismantling and demolition of existing community residential boundary fences, walls and gates, and construction of new community residential boundary fences, walls and gates</t>
  </si>
  <si>
    <t>PS C11.5.11</t>
  </si>
  <si>
    <t>C1.2.7</t>
  </si>
  <si>
    <t>Road Safety Audits</t>
  </si>
  <si>
    <t>Stage 5 pre-opening stage traffic safety audit</t>
  </si>
  <si>
    <t>C1.2.7.4</t>
  </si>
  <si>
    <t>C1.2.7.3</t>
  </si>
  <si>
    <t>Handling costs and profit in respect of item C1.2.7.3</t>
  </si>
  <si>
    <t>Monitoring compliance with &amp; reporting on the EMP</t>
  </si>
  <si>
    <t>Compensation for Project Liaison Committee (PLC)</t>
  </si>
  <si>
    <t>Ablution unit (equipment as specified - Minimum of a Sanitech VIP Toilet including all plumbing fittings, water supplies, septic tank, soakaways etc)</t>
  </si>
  <si>
    <t>White boards (2000 mm x 1000 mm x 2)</t>
  </si>
  <si>
    <t>Wall mounted pivot plan filling system (Plan rack capable of accomodating a minimum of fifteen aluminium plan hangers each, 5 x aluminium plan hangers)</t>
  </si>
  <si>
    <t>Light delivery vehicle (1-ton)</t>
  </si>
  <si>
    <t>Crushed stone obtained from commercial sources (19mm Coarse Grade)</t>
  </si>
  <si>
    <r>
      <rPr>
        <b/>
        <sz val="10"/>
        <rFont val="Arial"/>
        <family val="2"/>
      </rPr>
      <t>Geotextile</t>
    </r>
    <r>
      <rPr>
        <sz val="10"/>
        <rFont val="Arial"/>
        <family val="2"/>
      </rPr>
      <t xml:space="preserve"> (synthetic, non woven, grade 2)</t>
    </r>
  </si>
  <si>
    <t>Natural permeable material in subsoil drainage system (approved crushed stone):</t>
  </si>
  <si>
    <t>Prefabricated portal culverts; wall and roof combination (450 mm x 600 mm concrete)</t>
  </si>
  <si>
    <t>In Class A bedding, screeds, concrete backfill and the encasing for pipes, including formwork (Class 16/20-20 concrete, formerly Class 20/19)</t>
  </si>
  <si>
    <t>In complete in situ floor slabs for rectangular culverts, manholes and catchpits including formwork, joints and Class U2 surface finish (Class 16/20-20 concrete, formerly "Class 20/19") (installed at a standard depth of 1,0 m)</t>
  </si>
  <si>
    <t>Duct markers (marker blocks 240 mm x 50 mm x 900 mm, class 25/13 concrete, as per drawing no. SD 1002/C)</t>
  </si>
  <si>
    <t>Draw wires (2.5mm spring steel wire)</t>
  </si>
  <si>
    <t>Extra over items C3.2.7.1, C3.2.7.2 and C3.2.7.5 for concrete batched on site</t>
  </si>
  <si>
    <t>Trench excavation (in soft material)</t>
  </si>
  <si>
    <t>Sealed joints in concrete and stone pitched linings of open drains and walkways (as per note 3 on drawing no. SD 0601/C)</t>
  </si>
  <si>
    <t>Cast in situ concrete lining (Class 16/20-20 concrete, formerly Class 20/19)</t>
  </si>
  <si>
    <t>Formwork to cast in situ concrete lining for open drains and walkways (Class F2 surface finish):</t>
  </si>
  <si>
    <t>Polymer film sheeting (Polyethylene 0.15 mm thick) for concrete-lined open drains</t>
  </si>
  <si>
    <t>Concrete edge beams (300 mm x 300 mm cast in-situ class 25/30-19 concrete, formerly class 30/19)</t>
  </si>
  <si>
    <t>Side inlet for concrete kerb-channelling combination, type S1 single splay, 2.55 m long, 1.22 m wide, 1.4 m height, class 20/19 concrete, complete as shown on drawing no. SD 0703/A, excluding the downpipe and excluding the outlet structure at the bottom of the fill.</t>
  </si>
  <si>
    <r>
      <rPr>
        <b/>
        <sz val="10"/>
        <rFont val="Arial"/>
        <family val="2"/>
      </rPr>
      <t>Geotextile</t>
    </r>
    <r>
      <rPr>
        <sz val="10"/>
        <rFont val="Arial"/>
        <family val="2"/>
      </rPr>
      <t xml:space="preserve"> (Grade 3, non-woven synthetic-fibre filter fabric)</t>
    </r>
  </si>
  <si>
    <t>Pre-splitting - base rate for holes @ 500 mm c/c</t>
  </si>
  <si>
    <t>Lower selected subgrade layers (150mm thickness) compacted to 95% of MDD</t>
  </si>
  <si>
    <t>Upper selected subgrade layers (150mm thickness) compacted to 95% of MDD</t>
  </si>
  <si>
    <t>Gravel wearing course layer (150mm thickness) compacted to 95% of MDD</t>
  </si>
  <si>
    <t>Gravel shoulder layer (150mm thickness) compacted to 95% of MDD</t>
  </si>
  <si>
    <t>Lower subbase gravel layer (chemically stabilised, 150mm thickness) compacted to 95% of MDD</t>
  </si>
  <si>
    <t>Upper subbase gravel layer (chemically stabilised, 150mm thickness) compacted to 95% of MDD</t>
  </si>
  <si>
    <t>Gravel base layer (chemically stabilised, 125mm thickness) compacted to 97% of MDD</t>
  </si>
  <si>
    <t>Cationic Spray-grade emulsion (30%)</t>
  </si>
  <si>
    <t>Precoating fluid (petroleum based)</t>
  </si>
  <si>
    <t>50/70 Penetration grade bitumen</t>
  </si>
  <si>
    <t>Product containing low flashpoint solvent (Sacrosote 70)</t>
  </si>
  <si>
    <t>Imported material (from borrow pit, G9 minimum quality)</t>
  </si>
  <si>
    <t>Mass concrete (Class 15/38)</t>
  </si>
  <si>
    <t>Concrete blinding (75mm thick, Class 15/19)</t>
  </si>
  <si>
    <t>Parapets (to have a light green pigment: typically 5% Bayferrox@920)</t>
  </si>
  <si>
    <r>
      <rPr>
        <b/>
        <sz val="10"/>
        <rFont val="Arial"/>
        <family val="2"/>
      </rPr>
      <t>End blocks</t>
    </r>
    <r>
      <rPr>
        <sz val="10"/>
        <rFont val="Arial"/>
        <family val="2"/>
      </rPr>
      <t xml:space="preserve"> (to have a light green pigment: typically 5% Bayferrox@920)</t>
    </r>
  </si>
  <si>
    <t>G</t>
  </si>
  <si>
    <t>20mm and 10mm grade 1 aggregates, S-E1 Binder and a cover spray (fog spray) using 30% spray-grade anionic emulsion</t>
  </si>
  <si>
    <t>White lines broken or unbroken (retro-reflective road-marking paint)</t>
  </si>
  <si>
    <t>Yellow lines broken or unbroken (retro-reflective road-marking paint)</t>
  </si>
  <si>
    <t>White lettering and symbols (retro-reflective road-marking paint)</t>
  </si>
  <si>
    <t>Yellow lettering and symbols (retro-reflective road-marking paint)</t>
  </si>
  <si>
    <t>Transverse lines, painted island and arrestor bed markings (any colour) (retro-reflective road-marking paint)</t>
  </si>
  <si>
    <t>Permanent road studs compliant to SANS 1442 (Type C80 any colour)</t>
  </si>
  <si>
    <t>For items C13.4.1.1 (a) to (j) (class 25/30-20, formerly "Class 30/19")</t>
  </si>
  <si>
    <t>Imported material (from borrow pit, G9 minimum quality, including a 1,0 km free-haul)</t>
  </si>
  <si>
    <t>Compacted granular material (G7 granular material obtained from commercial sources including all haul, compacted in 150mm layers to 95% MOD AASHTO)</t>
  </si>
  <si>
    <t>Mass concrete (Class 12/15-37.5, formerly "Class 15/38")</t>
  </si>
  <si>
    <t>Concrete blinding (75mm thick, Class 12/15-20, formerly "Class 15/19")</t>
  </si>
  <si>
    <t>Extra-over item C13.3.1.5 and C13.3.1.6 for galvanising of reinforcement (hot-dip galvanising to provide a duty zinc coating not less than 105 microns thickness)</t>
  </si>
  <si>
    <t>Sealant (Silicone Highway Sealant (or similar approved by engineer)</t>
  </si>
  <si>
    <t>1, 1</t>
  </si>
  <si>
    <t>0, 1</t>
  </si>
  <si>
    <t>0, 0, 1</t>
  </si>
  <si>
    <t>2, 2</t>
  </si>
  <si>
    <t>End blocks (to have a light green pigment: typically 5% Bayferrox@920)</t>
  </si>
  <si>
    <t>FOUNDATIONS (STC3960)</t>
  </si>
  <si>
    <t>FOUNDATIONS (STC3909)</t>
  </si>
  <si>
    <t>Trench excavation(in soft material)</t>
  </si>
  <si>
    <t>Natural permeable material in subsoil drainage system ( approved crushed stone ):</t>
  </si>
  <si>
    <t>Geotextile (synthetic, non woven, grade 2)</t>
  </si>
  <si>
    <t>In complete in situ floor slabs for rectangular culverts, manholes and catchpits including formwork, joints and Class U2 surface finish (Class 16/20-20 concrete, formerly Class 20/19) (installed at a standard depth of 1,0 m)</t>
  </si>
  <si>
    <t>Extra over subitems C3.2.7.1, C3.2.7.2 and C3.2.7.5 for concrete batched on site</t>
  </si>
  <si>
    <t>(d) Side inlet for concrete kerb-channelling combination, type S1 single splay, 2.55 m long, 1.22 m wide, 1.4 m height, class 20/19 concrete, complete as shown on drawing no. SD 0703/A, excluding the downpipe and excluding the outlet structure at the bottom of the fill.</t>
  </si>
  <si>
    <t>Geotextile (Grade 3, non-woven synthetic-fibre filter fabric)</t>
  </si>
  <si>
    <t>Area exceeding 0,5 m2 but not 2,0 m²</t>
  </si>
  <si>
    <t>900 mm diameter (Galvanised steel sheet, circular)</t>
  </si>
  <si>
    <t>1200 mm size (Galvanised steel sheet, triangular)</t>
  </si>
  <si>
    <t>Size 200 x 800 mm (W401)</t>
  </si>
  <si>
    <t>CPG STC3960</t>
  </si>
  <si>
    <t>m3 - km</t>
  </si>
  <si>
    <t>CPG STC3909</t>
  </si>
  <si>
    <t>CPG CWAKA RIVER BRIDGE</t>
  </si>
  <si>
    <t>C5.2.1</t>
  </si>
  <si>
    <t>C5.2.1.1</t>
  </si>
  <si>
    <r>
      <t>For fills more than 10 000 m</t>
    </r>
    <r>
      <rPr>
        <vertAlign val="superscript"/>
        <sz val="10"/>
        <rFont val="Arial"/>
        <family val="2"/>
      </rPr>
      <t>3</t>
    </r>
  </si>
  <si>
    <t>Grubbing with machines and some hand labour where necessary</t>
  </si>
  <si>
    <t>Grubbing with hand labour when labour enhancement work is specified or it is not practical to use a machine</t>
  </si>
  <si>
    <t>C5.4.5</t>
  </si>
  <si>
    <t>Cementitious stabilisation agents for pavement layers</t>
  </si>
  <si>
    <t>C5.4.5.2</t>
  </si>
  <si>
    <t>Addition of cementitious stabilisation agents (specify agent seperately) for pavement layers and spreading the agent using bags and labour enhancement methods.</t>
  </si>
  <si>
    <t>Cement (for pavement layer)</t>
  </si>
  <si>
    <t>Road lime (for pavement layer)</t>
  </si>
  <si>
    <t>Compiling and implementing M&amp;U plans</t>
  </si>
  <si>
    <t>Fill #5 (12+900 to 13+500)</t>
  </si>
  <si>
    <t>Fill at km 8.300</t>
  </si>
  <si>
    <t>C5.3.1</t>
  </si>
  <si>
    <t>Compilling and implementing M&amp;U plans for the construction of all the pavement layers</t>
  </si>
  <si>
    <t>Obtaining construction or work permits</t>
  </si>
  <si>
    <t>Provision of record drawings and applicable data</t>
  </si>
  <si>
    <t>C1.2 / C13.2.10</t>
  </si>
  <si>
    <t>C1.2 / C2.1.3</t>
  </si>
  <si>
    <t>C1.2 / C2.1.5</t>
  </si>
  <si>
    <t>Provision of designs and drawings of falsework and formwork by an ECSA registered Professional Engineer or Technologist (Cwaka Bridge Deck)</t>
  </si>
  <si>
    <t>PS C1.5.5.13.1</t>
  </si>
  <si>
    <t>Type G7 material</t>
  </si>
  <si>
    <t>Type G9 material</t>
  </si>
  <si>
    <t>C5.2 / C5.3</t>
  </si>
  <si>
    <t>CPG C5.3</t>
  </si>
  <si>
    <t>CPG C5.4</t>
  </si>
  <si>
    <t>Total Estimate (incl VAT)</t>
  </si>
  <si>
    <t>CPG %</t>
  </si>
  <si>
    <t>Tractor Loader Backhoe</t>
  </si>
  <si>
    <t>PS C1.2.2.6</t>
  </si>
  <si>
    <t>C1.2.2.1</t>
  </si>
  <si>
    <t>Submission of a Scheme 1 Programme</t>
  </si>
  <si>
    <t>C1.2.2.2</t>
  </si>
  <si>
    <t>Contractor's handling costs, profit and all other charges in respect of item C1.2.8.4(a)</t>
  </si>
  <si>
    <t>Cost Estimate: CPG Subcontractors</t>
  </si>
  <si>
    <t>Total (excl VAT):</t>
  </si>
  <si>
    <t>m³ km</t>
  </si>
  <si>
    <t>Reviewing and updating a Scheme 1 Programme every month</t>
  </si>
  <si>
    <t>CPG SUB- CONTRACT AMT</t>
  </si>
  <si>
    <t>C13.1_STC3960a</t>
  </si>
  <si>
    <t>C13.2_STC3960</t>
  </si>
  <si>
    <t>C13.3_STC3960</t>
  </si>
  <si>
    <t>C13.4_STC3960</t>
  </si>
  <si>
    <t>C13.7_STC3960</t>
  </si>
  <si>
    <t>C13.8_STC3960</t>
  </si>
  <si>
    <t>C1.2_STC3909</t>
  </si>
  <si>
    <t>C1.3_STC3909</t>
  </si>
  <si>
    <t>C13.1_STC3909a</t>
  </si>
  <si>
    <t>C13.2_STC3909</t>
  </si>
  <si>
    <t>C13.3_STC3909</t>
  </si>
  <si>
    <t>C13.4_STC3909</t>
  </si>
  <si>
    <t>C13.7_STC3909</t>
  </si>
  <si>
    <t>C13.8_STC3909</t>
  </si>
  <si>
    <t>Galvanised gabion boxes 2,0 m long x 1,0 m wide x 1,0 m deep (mesh size 80 mm x 100 mm, with 2,7 mm OD frame wire and 2,2 mm OD mesh wire)</t>
  </si>
  <si>
    <t>Galvanised gabion mattresses 2,0 m long x 1,0 m wide x 0,3 m deep (mesh size 80 mm x 100 mm, with 2,7 mm OD frame wire and 2,2 mm OD mesh wire, 1,0 m diaphragm spacing)</t>
  </si>
  <si>
    <t>C5.2 / C3.2</t>
  </si>
  <si>
    <t>Excavating in all material situated within the following depth ranges below surface level</t>
  </si>
  <si>
    <t>a) 0m to 1,5m</t>
  </si>
  <si>
    <t>Excavating soft material 0m to 1,5m below surface level using labour enhanced construction methods, or instructed by hand under Clause A3.4.7.2d</t>
  </si>
  <si>
    <t>Excavation for Culvert Structures:</t>
  </si>
  <si>
    <t>Using excavated material</t>
  </si>
  <si>
    <t>On Class C bedding (450mm dia, 75d)</t>
  </si>
  <si>
    <t>b) Exceeding 1,5m and up to 3,0m</t>
  </si>
  <si>
    <t>Complete galvanised system compliant to SANS 1350:</t>
  </si>
  <si>
    <t>Prepainted galvanised steel plate:</t>
  </si>
  <si>
    <t>E</t>
  </si>
  <si>
    <t>E6.01</t>
  </si>
  <si>
    <t>E6.02</t>
  </si>
  <si>
    <t>E6.03</t>
  </si>
  <si>
    <t>Handling cost and profit in respect of subitem E6.03(a) and (b) above</t>
  </si>
  <si>
    <t>Handling costs and profit in respect of subitem E6.02(a)(i) above.</t>
  </si>
  <si>
    <t>Handling costs and profit in respect of subitem subitem E6.03(d)(i) above</t>
  </si>
  <si>
    <t>Handling costs and profit in respect of sub item E5.03(f)(i) above</t>
  </si>
  <si>
    <t>F10.1</t>
  </si>
  <si>
    <t>F10.2</t>
  </si>
  <si>
    <t>F10.03</t>
  </si>
  <si>
    <t>SCHEDULE F: SMALL CONTRACTOR DEVELOPMENT</t>
  </si>
  <si>
    <t>THE CONSTRUCTION OF EARTHWORKS, LAYERWORKS, SURFACING, CULVERTS AND CWAKA RIVER BRIDGE FROM KM 11.600 TO KM 14.000 ON MAIN ROAD P494 IN THE KING CETSHWAYO DISTRICT UNDER EMPANGENI REGION</t>
  </si>
  <si>
    <t>Handling costs and profit in respect of subitem F10.02(a)</t>
  </si>
  <si>
    <t>Handling costs and profit in respect of subitem F10.02(c)</t>
  </si>
  <si>
    <t>SCHEDULE G: CIDB CONTRACT SKILLS DEVELOPMENT GOAL (CSDG)</t>
  </si>
  <si>
    <t>SCHEDULE E: EXPANDED PUBLIC WORKS PROGRAMME (EPWP)</t>
  </si>
  <si>
    <t>CIDB CONTRACT SKILLS DEVELOPMENT GOAL (CSDG)</t>
  </si>
  <si>
    <t>G7.01</t>
  </si>
  <si>
    <t>Payments associated with the Contract Skills Development Goals:</t>
  </si>
  <si>
    <t>i) Provision for stipends</t>
  </si>
  <si>
    <t>Employment of Learners employed under Method 3</t>
  </si>
  <si>
    <t>iii) Provision for additional costs</t>
  </si>
  <si>
    <t>Liaison with the Employer’s project manager and the training service provider</t>
  </si>
  <si>
    <t>i) Liaison conducted by the Construction Manager</t>
  </si>
  <si>
    <t xml:space="preserve">(f) </t>
  </si>
  <si>
    <t>PS C1.2.14</t>
  </si>
  <si>
    <t>Maintenance of the new road during the defects liability period</t>
  </si>
  <si>
    <t>(i) Grass cutting</t>
  </si>
  <si>
    <t>(ii) Handling costs and profit in respect of item PS C1.2.14.1(i)</t>
  </si>
  <si>
    <t>PS C1.2.14.1</t>
  </si>
  <si>
    <t>PS C1.2.14.2</t>
  </si>
  <si>
    <t>PS C1.2.14.3</t>
  </si>
  <si>
    <t>PS C1.2.14.4</t>
  </si>
  <si>
    <t>PS C1.2.14.5</t>
  </si>
  <si>
    <t>PS C1.2.14.6</t>
  </si>
  <si>
    <t>PS C1.2.14.7</t>
  </si>
  <si>
    <t>(i) Drain cleaning</t>
  </si>
  <si>
    <t>(i) Cleaning out culverts</t>
  </si>
  <si>
    <t>(i) Repair of guardrails</t>
  </si>
  <si>
    <t>(i) Replacement of Road studs</t>
  </si>
  <si>
    <t>(i) Road marking</t>
  </si>
  <si>
    <t>(i) Repair of road signs</t>
  </si>
  <si>
    <t>(ii) Handling costs and profit in respect of item PS C1.2.14.2(i)</t>
  </si>
  <si>
    <t>(ii) Handling costs and profit in respect of item PS C1.2.14.3(i)</t>
  </si>
  <si>
    <t>(ii) Handling costs and profit in respect of item PS C1.2.14.4(i)</t>
  </si>
  <si>
    <t>(ii) Handling costs and profit in respect of item PS C1.2.14.5(i)</t>
  </si>
  <si>
    <t>(iv) Skills Development Co-ordinator</t>
  </si>
  <si>
    <t>Subcontract-Month</t>
  </si>
  <si>
    <t>Subcontract-Quarter</t>
  </si>
  <si>
    <t>(iii) Project Completion Reports (1 per Targeted Enterprise)</t>
  </si>
  <si>
    <t>(i) Needs Analysis and Enterprise Development Plan (1 per Targeted Enterprise)</t>
  </si>
  <si>
    <t>(ii) Monitoring and Interim reporting (per Targeted Enterprise per quarter)</t>
  </si>
  <si>
    <t>Handling costs associated with subitems G7.01 c(i)&amp;(iii) above</t>
  </si>
  <si>
    <t>ii) Provisions for mentorship (per candidate, per quarter)</t>
  </si>
  <si>
    <t>Person-Quarter</t>
  </si>
  <si>
    <t>Occupational Qualification</t>
  </si>
  <si>
    <t>TVET College Graduates</t>
  </si>
  <si>
    <t>Apprenticeship</t>
  </si>
  <si>
    <t>P1 &amp; P2 Learners, or a 240 credits qualification</t>
  </si>
  <si>
    <t>Candidates with a 360 credits qualification</t>
  </si>
  <si>
    <t>Candidates with a 480 or more credits qualification</t>
  </si>
  <si>
    <t>Method</t>
  </si>
  <si>
    <t>Provision for Stipends</t>
  </si>
  <si>
    <t>Type of Traning
Opportunity</t>
  </si>
  <si>
    <t>Provisions for Mentorship</t>
  </si>
  <si>
    <t>Provisions for Additional Costs</t>
  </si>
  <si>
    <t>Unemployed Learners</t>
  </si>
  <si>
    <t>Employed Learners</t>
  </si>
  <si>
    <t>N/A</t>
  </si>
  <si>
    <t>Table 3: The notional cost of providing training opportunities per quarter</t>
  </si>
  <si>
    <t>Training Method</t>
  </si>
  <si>
    <t>Number of Unemployed Learners</t>
  </si>
  <si>
    <t>Total Notional Cost</t>
  </si>
  <si>
    <t>Number of Employed Learners</t>
  </si>
  <si>
    <t>Total Cost per Learner per Quarter</t>
  </si>
  <si>
    <t>Area/s of Specialisation/ Trade</t>
  </si>
  <si>
    <t>Method 1:
Skills Programme</t>
  </si>
  <si>
    <t>Method 3: P1 &amp; P2 learners or a  240 credit qualification</t>
  </si>
  <si>
    <t>Method 2b:
Apprenticeship</t>
  </si>
  <si>
    <t>Method 2a:
FET College Graduates</t>
  </si>
  <si>
    <t>Duration (No. of Quarters per Learner)</t>
  </si>
  <si>
    <t>Method 4a: Candidacy with 360 credit qualification</t>
  </si>
  <si>
    <t>Method 4b: Candidacy with 480 credit qualification</t>
  </si>
  <si>
    <t>4a</t>
  </si>
  <si>
    <t>4b</t>
  </si>
  <si>
    <t>2a</t>
  </si>
  <si>
    <t>2b</t>
  </si>
  <si>
    <t xml:space="preserve">Target CSDG (excl. VAT): </t>
  </si>
  <si>
    <t>Contract Skills Development Goal (CSDG)</t>
  </si>
  <si>
    <t>(i) Provision for stipends</t>
  </si>
  <si>
    <t>(ii) Provision for additional Costs</t>
  </si>
  <si>
    <t>(ii) Provisions for mentorship</t>
  </si>
  <si>
    <t>(iii) Provision for additional Costs</t>
  </si>
  <si>
    <t>Person-Qrter</t>
  </si>
  <si>
    <t>Item No.</t>
  </si>
  <si>
    <t xml:space="preserve">Target % for CE Contractor (Table 2): </t>
  </si>
  <si>
    <t xml:space="preserve">Estimated Contract Value (excl. VAT): </t>
  </si>
  <si>
    <t>increase</t>
  </si>
  <si>
    <t>Based on Current Notional Costs + 10%</t>
  </si>
  <si>
    <t>(e) Liaison with the Employer’s project manager and the training service provider</t>
  </si>
  <si>
    <t xml:space="preserve">(f) Handling costs associated with </t>
  </si>
  <si>
    <t>Subtotal</t>
  </si>
  <si>
    <t xml:space="preserve">Total for Part G: </t>
  </si>
  <si>
    <r>
      <t xml:space="preserve">The PC Sums in the following bill include allowance for a </t>
    </r>
    <r>
      <rPr>
        <b/>
        <sz val="11"/>
        <color rgb="FFFF0000"/>
        <rFont val="Calibri"/>
        <family val="2"/>
        <scheme val="minor"/>
      </rPr>
      <t>10%</t>
    </r>
    <r>
      <rPr>
        <b/>
        <sz val="11"/>
        <rFont val="Calibri"/>
        <family val="2"/>
        <scheme val="minor"/>
      </rPr>
      <t xml:space="preserve"> projected increase during course of the contract:</t>
    </r>
  </si>
  <si>
    <t xml:space="preserve">Planned (based on current rates): </t>
  </si>
  <si>
    <t xml:space="preserve">Minimum Requirement: </t>
  </si>
  <si>
    <t xml:space="preserve">Surplus to Requirements: </t>
  </si>
  <si>
    <t>Costs exclude VAT</t>
  </si>
  <si>
    <t xml:space="preserve">Provided in the Bill (allowing for future cost increases): </t>
  </si>
  <si>
    <t>Roads &amp; Structures</t>
  </si>
  <si>
    <t>(a) Employment of Leaners employed under Method 1</t>
  </si>
  <si>
    <t>(b) Employment of Leaners employed under Method 2</t>
  </si>
  <si>
    <t>(c) Employment of Leaners employed under Method 3</t>
  </si>
  <si>
    <t>(d) Employment of Leaners employed under Method 4</t>
  </si>
  <si>
    <t>(i) Liaison by Construction Manager</t>
  </si>
  <si>
    <t>all PC Sums in G7.01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</si>
</sst>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 &quot;R&quot;\ * #,##0.00_ ;_ &quot;R&quot;\ * \-#,##0.00_ ;_ &quot;R&quot;\ * &quot;-&quot;??_ ;_ @_ "/>
    <numFmt numFmtId="43" formatCode="_ * #,##0.00_ ;_ * \-#,##0.00_ ;_ * &quot;-&quot;??_ ;_ @_ "/>
    <numFmt numFmtId="164" formatCode="&quot;R&quot;#,##0;\-&quot;R&quot;#,##0"/>
    <numFmt numFmtId="165" formatCode="&quot;R&quot;#,##0.00;\-&quot;R&quot;#,##0.00"/>
    <numFmt numFmtId="166" formatCode="_-&quot;R&quot;* #,##0.00_-;\-&quot;R&quot;* #,##0.00_-;_-&quot;R&quot;* &quot;-&quot;??_-;_-@_-"/>
    <numFmt numFmtId="167" formatCode="_-* #,##0.00_-;\-* #,##0.00_-;_-* &quot;-&quot;??_-;_-@_-"/>
    <numFmt numFmtId="168" formatCode="_(&quot;$&quot;* #,##0.00_);_(&quot;$&quot;* \(#,##0.00\);_(&quot;$&quot;* &quot;-&quot;??_);_(@_)"/>
    <numFmt numFmtId="169" formatCode="_(* #,##0.00_);_(* \(#,##0.00\);_(* &quot;-&quot;??_);_(@_)"/>
    <numFmt numFmtId="170" formatCode="&quot;R&quot;\ #,##0.00"/>
    <numFmt numFmtId="171" formatCode="0.0%"/>
    <numFmt numFmtId="172" formatCode="[$R-1C09]\ #\ ###\ ##0.00;[Red][$R-1C09]\-#\ ###\ ##0.00"/>
    <numFmt numFmtId="173" formatCode="_-* #.##0.00_-;\-* #.##0.00_-;_-* &quot;-&quot;??_-;_-@_-"/>
    <numFmt numFmtId="174" formatCode="&quot;R&quot;#,##0.00"/>
    <numFmt numFmtId="175" formatCode="#,##0.00;\-#,##0.00;&quot;- &quot;;@"/>
    <numFmt numFmtId="176" formatCode="&quot;C&quot;00"/>
    <numFmt numFmtId="177" formatCode="0.0"/>
    <numFmt numFmtId="178" formatCode="#,##0.0"/>
    <numFmt numFmtId="179" formatCode="_-* #,##0_-;\-* #,##0_-;_-* &quot;-&quot;??_-;_-@_-"/>
    <numFmt numFmtId="180" formatCode="&quot;R&quot;0.00&quot;m&quot;"/>
    <numFmt numFmtId="181" formatCode="0.00%;\-0.00%;&quot;- &quot;;@"/>
    <numFmt numFmtId="182" formatCode="&quot;R&quot;0.0&quot;m&quot;"/>
    <numFmt numFmtId="183" formatCode="0.0%;\-0.0%;&quot; - &quot;;@"/>
    <numFmt numFmtId="184" formatCode="#,##0;\-#,##0;&quot;- &quot;;@"/>
    <numFmt numFmtId="185" formatCode="0.0%;\-0.0%;&quot;- &quot;;@"/>
    <numFmt numFmtId="186" formatCode="0.000_ ;[Red]\-0.000\ "/>
    <numFmt numFmtId="187" formatCode="#,##0_ ;[Red]\-#,##0\ "/>
    <numFmt numFmtId="188" formatCode="0.000"/>
    <numFmt numFmtId="189" formatCode="0.00000"/>
    <numFmt numFmtId="190" formatCode="&quot;R &quot;#,##0;\-#,##0;&quot;- &quot;;@"/>
    <numFmt numFmtId="191" formatCode="#,##0.0000"/>
    <numFmt numFmtId="192" formatCode="#,##0.000"/>
    <numFmt numFmtId="193" formatCode="#,##0;\-#,##0;&quot; Rate Only &quot;;@"/>
    <numFmt numFmtId="194" formatCode="#\ ##0.00"/>
    <numFmt numFmtId="195" formatCode="&quot;C&quot;0"/>
    <numFmt numFmtId="196" formatCode="#,##0.00000;\-#,##0.00000;&quot;- &quot;;@"/>
    <numFmt numFmtId="197" formatCode="#,##0.00;\-#,##0.00;&quot; Rate Only &quot;;@"/>
    <numFmt numFmtId="198" formatCode="0.000%"/>
    <numFmt numFmtId="199" formatCode="#,##0.00_ ;\-#,##0.00\ "/>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u/>
      <sz val="10"/>
      <name val="Times New Roman"/>
      <family val="1"/>
    </font>
    <font>
      <sz val="10"/>
      <name val="Arial"/>
      <family val="2"/>
    </font>
    <font>
      <i/>
      <u/>
      <sz val="10"/>
      <name val="Times New Roman"/>
      <family val="1"/>
    </font>
    <font>
      <sz val="12"/>
      <name val="Arial"/>
      <family val="2"/>
    </font>
    <font>
      <sz val="10"/>
      <name val="Times New Roman"/>
      <family val="1"/>
    </font>
    <font>
      <sz val="11"/>
      <name val="Arial"/>
      <family val="2"/>
    </font>
    <font>
      <sz val="8"/>
      <name val="Arial"/>
      <family val="2"/>
    </font>
    <font>
      <vertAlign val="superscript"/>
      <sz val="10"/>
      <name val="Arial"/>
      <family val="2"/>
    </font>
    <font>
      <sz val="10"/>
      <name val="Calibri"/>
      <family val="2"/>
    </font>
    <font>
      <sz val="11"/>
      <name val="Calibri"/>
      <family val="2"/>
      <scheme val="minor"/>
    </font>
    <font>
      <sz val="9"/>
      <name val="Arial"/>
      <family val="2"/>
    </font>
    <font>
      <b/>
      <sz val="9"/>
      <name val="Arial"/>
      <family val="2"/>
    </font>
    <font>
      <sz val="9"/>
      <name val="Calibri"/>
      <family val="2"/>
    </font>
    <font>
      <i/>
      <sz val="9"/>
      <name val="Arial"/>
      <family val="2"/>
    </font>
    <font>
      <b/>
      <sz val="10"/>
      <color rgb="FF000000"/>
      <name val="Arial"/>
      <family val="2"/>
    </font>
    <font>
      <b/>
      <sz val="8"/>
      <color rgb="FF000000"/>
      <name val="Arial"/>
      <family val="2"/>
    </font>
    <font>
      <sz val="8"/>
      <color rgb="FF000000"/>
      <name val="Segoe UI"/>
      <family val="2"/>
    </font>
    <font>
      <b/>
      <sz val="11"/>
      <color theme="1"/>
      <name val="Calibri"/>
      <family val="2"/>
      <scheme val="minor"/>
    </font>
    <font>
      <sz val="10"/>
      <color rgb="FFFF0000"/>
      <name val="Arial"/>
      <family val="2"/>
    </font>
    <font>
      <b/>
      <sz val="12"/>
      <name val="Arial"/>
      <family val="2"/>
    </font>
    <font>
      <b/>
      <sz val="18"/>
      <color theme="1"/>
      <name val="Calibri"/>
      <family val="2"/>
      <scheme val="minor"/>
    </font>
    <font>
      <sz val="14"/>
      <color theme="1"/>
      <name val="Calibri"/>
      <family val="2"/>
      <scheme val="minor"/>
    </font>
    <font>
      <b/>
      <sz val="14"/>
      <color theme="1"/>
      <name val="Calibri"/>
      <family val="2"/>
      <scheme val="minor"/>
    </font>
    <font>
      <b/>
      <u/>
      <sz val="14"/>
      <color theme="1"/>
      <name val="Calibri"/>
      <family val="2"/>
      <scheme val="minor"/>
    </font>
    <font>
      <sz val="10"/>
      <color theme="1"/>
      <name val="Calibri"/>
      <family val="2"/>
      <scheme val="minor"/>
    </font>
    <font>
      <b/>
      <sz val="10"/>
      <color theme="1"/>
      <name val="Calibri"/>
      <family val="2"/>
      <scheme val="minor"/>
    </font>
    <font>
      <b/>
      <sz val="12"/>
      <color rgb="FFFF0000"/>
      <name val="Calibri"/>
      <family val="2"/>
      <scheme val="minor"/>
    </font>
    <font>
      <b/>
      <sz val="10"/>
      <color rgb="FFFF0000"/>
      <name val="Arial"/>
      <family val="2"/>
    </font>
    <font>
      <sz val="9"/>
      <color rgb="FFFF0000"/>
      <name val="Arial"/>
      <family val="2"/>
    </font>
    <font>
      <sz val="9"/>
      <color theme="1"/>
      <name val="Arial"/>
      <family val="2"/>
    </font>
    <font>
      <b/>
      <sz val="9"/>
      <color indexed="81"/>
      <name val="Tahoma"/>
      <family val="2"/>
    </font>
    <font>
      <sz val="9"/>
      <color indexed="81"/>
      <name val="Tahoma"/>
      <family val="2"/>
    </font>
    <font>
      <b/>
      <sz val="8"/>
      <color indexed="8"/>
      <name val="Calibri"/>
      <family val="2"/>
    </font>
    <font>
      <sz val="8"/>
      <color indexed="8"/>
      <name val="Calibri"/>
      <family val="2"/>
    </font>
    <font>
      <sz val="8"/>
      <color rgb="FFFF0000"/>
      <name val="Calibri"/>
      <family val="2"/>
    </font>
    <font>
      <sz val="8"/>
      <color rgb="FF7030A0"/>
      <name val="Calibri"/>
      <family val="2"/>
    </font>
    <font>
      <b/>
      <sz val="8"/>
      <color rgb="FFFF0000"/>
      <name val="Calibri"/>
      <family val="2"/>
    </font>
    <font>
      <sz val="10"/>
      <color theme="0"/>
      <name val="Arial"/>
      <family val="2"/>
    </font>
    <font>
      <b/>
      <u/>
      <sz val="10"/>
      <name val="Arial"/>
      <family val="2"/>
    </font>
    <font>
      <i/>
      <sz val="10"/>
      <name val="Arial"/>
      <family val="2"/>
    </font>
    <font>
      <u/>
      <sz val="10"/>
      <name val="Arial"/>
      <family val="2"/>
    </font>
    <font>
      <sz val="10"/>
      <color theme="0" tint="-0.249977111117893"/>
      <name val="Arial"/>
      <family val="2"/>
    </font>
    <font>
      <i/>
      <u/>
      <sz val="10"/>
      <name val="Arial"/>
      <family val="2"/>
    </font>
    <font>
      <u/>
      <sz val="10"/>
      <color theme="10"/>
      <name val="Arial"/>
      <family val="2"/>
    </font>
    <font>
      <sz val="10"/>
      <color theme="9" tint="-0.249977111117893"/>
      <name val="Arial"/>
      <family val="2"/>
    </font>
    <font>
      <b/>
      <sz val="9"/>
      <color rgb="FFFF0000"/>
      <name val="Arial"/>
      <family val="2"/>
    </font>
    <font>
      <sz val="10"/>
      <color theme="1"/>
      <name val="Arial"/>
      <family val="2"/>
    </font>
    <font>
      <i/>
      <sz val="10"/>
      <color rgb="FFFF0000"/>
      <name val="Arial"/>
      <family val="2"/>
    </font>
    <font>
      <b/>
      <sz val="10"/>
      <color theme="1"/>
      <name val="Arial"/>
      <family val="2"/>
    </font>
    <font>
      <b/>
      <sz val="10"/>
      <color rgb="FF222222"/>
      <name val="Arial"/>
      <family val="2"/>
    </font>
    <font>
      <b/>
      <sz val="11"/>
      <name val="Arial"/>
      <family val="2"/>
    </font>
    <font>
      <b/>
      <sz val="11"/>
      <name val="Calibri"/>
      <family val="2"/>
      <scheme val="minor"/>
    </font>
    <font>
      <b/>
      <sz val="11"/>
      <color rgb="FFFF000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theme="0"/>
      </patternFill>
    </fill>
    <fill>
      <patternFill patternType="solid">
        <fgColor theme="0" tint="-4.9989318521683403E-2"/>
        <bgColor indexed="64"/>
      </patternFill>
    </fill>
    <fill>
      <patternFill patternType="solid">
        <fgColor indexed="65"/>
        <bgColor theme="0"/>
      </patternFill>
    </fill>
    <fill>
      <patternFill patternType="solid">
        <fgColor theme="9" tint="0.59999389629810485"/>
        <bgColor theme="0"/>
      </patternFill>
    </fill>
    <fill>
      <patternFill patternType="solid">
        <fgColor rgb="FFFFFF99"/>
        <bgColor theme="0"/>
      </patternFill>
    </fill>
    <fill>
      <patternFill patternType="solid">
        <fgColor theme="8" tint="0.59999389629810485"/>
        <bgColor theme="0"/>
      </patternFill>
    </fill>
    <fill>
      <patternFill patternType="solid">
        <fgColor rgb="FFFFFFCC"/>
        <bgColor theme="0"/>
      </patternFill>
    </fill>
    <fill>
      <patternFill patternType="solid">
        <fgColor theme="6" tint="0.7999816888943144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s>
  <borders count="77">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ck">
        <color auto="1"/>
      </left>
      <right/>
      <top/>
      <bottom/>
      <diagonal/>
    </border>
    <border>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diagonal/>
    </border>
    <border>
      <left/>
      <right style="thin">
        <color auto="1"/>
      </right>
      <top/>
      <bottom style="thin">
        <color auto="1"/>
      </bottom>
      <diagonal/>
    </border>
    <border>
      <left/>
      <right style="thin">
        <color indexed="64"/>
      </right>
      <top/>
      <bottom/>
      <diagonal/>
    </border>
    <border>
      <left/>
      <right style="thin">
        <color auto="1"/>
      </right>
      <top style="thin">
        <color auto="1"/>
      </top>
      <bottom style="thin">
        <color auto="1"/>
      </bottom>
      <diagonal/>
    </border>
    <border>
      <left style="thin">
        <color auto="1"/>
      </left>
      <right style="thin">
        <color indexed="64"/>
      </right>
      <top/>
      <bottom style="thin">
        <color rgb="FFC0C0C0"/>
      </bottom>
      <diagonal/>
    </border>
    <border>
      <left style="thin">
        <color auto="1"/>
      </left>
      <right style="thin">
        <color indexed="64"/>
      </right>
      <top style="thin">
        <color rgb="FFC0C0C0"/>
      </top>
      <bottom style="thin">
        <color rgb="FFC0C0C0"/>
      </bottom>
      <diagonal/>
    </border>
    <border>
      <left style="thin">
        <color auto="1"/>
      </left>
      <right style="thin">
        <color indexed="64"/>
      </right>
      <top style="thin">
        <color rgb="FFC0C0C0"/>
      </top>
      <bottom style="thin">
        <color indexed="64"/>
      </bottom>
      <diagonal/>
    </border>
    <border>
      <left style="thin">
        <color auto="1"/>
      </left>
      <right/>
      <top/>
      <bottom style="thin">
        <color rgb="FFC0C0C0"/>
      </bottom>
      <diagonal/>
    </border>
    <border>
      <left/>
      <right style="thin">
        <color indexed="64"/>
      </right>
      <top/>
      <bottom style="thin">
        <color rgb="FFC0C0C0"/>
      </bottom>
      <diagonal/>
    </border>
    <border>
      <left/>
      <right/>
      <top/>
      <bottom style="thin">
        <color rgb="FFC0C0C0"/>
      </bottom>
      <diagonal/>
    </border>
    <border>
      <left style="thin">
        <color auto="1"/>
      </left>
      <right/>
      <top style="thin">
        <color rgb="FFC0C0C0"/>
      </top>
      <bottom style="thin">
        <color rgb="FFC0C0C0"/>
      </bottom>
      <diagonal/>
    </border>
    <border>
      <left/>
      <right style="thin">
        <color indexed="64"/>
      </right>
      <top style="thin">
        <color rgb="FFC0C0C0"/>
      </top>
      <bottom style="thin">
        <color rgb="FFC0C0C0"/>
      </bottom>
      <diagonal/>
    </border>
    <border>
      <left/>
      <right/>
      <top style="thin">
        <color rgb="FFC0C0C0"/>
      </top>
      <bottom style="thin">
        <color rgb="FFC0C0C0"/>
      </bottom>
      <diagonal/>
    </border>
    <border>
      <left style="thin">
        <color auto="1"/>
      </left>
      <right/>
      <top style="thin">
        <color rgb="FFC0C0C0"/>
      </top>
      <bottom/>
      <diagonal/>
    </border>
    <border>
      <left/>
      <right style="thin">
        <color indexed="64"/>
      </right>
      <top style="thin">
        <color rgb="FFC0C0C0"/>
      </top>
      <bottom/>
      <diagonal/>
    </border>
    <border>
      <left style="thin">
        <color auto="1"/>
      </left>
      <right style="thin">
        <color indexed="64"/>
      </right>
      <top style="thin">
        <color rgb="FFC0C0C0"/>
      </top>
      <bottom/>
      <diagonal/>
    </border>
    <border>
      <left/>
      <right/>
      <top style="thin">
        <color rgb="FFC0C0C0"/>
      </top>
      <bottom/>
      <diagonal/>
    </border>
    <border>
      <left style="thin">
        <color auto="1"/>
      </left>
      <right/>
      <top style="thin">
        <color rgb="FFC0C0C0"/>
      </top>
      <bottom style="thin">
        <color indexed="64"/>
      </bottom>
      <diagonal/>
    </border>
    <border>
      <left/>
      <right/>
      <top style="thin">
        <color rgb="FFC0C0C0"/>
      </top>
      <bottom style="thin">
        <color auto="1"/>
      </bottom>
      <diagonal/>
    </border>
    <border>
      <left/>
      <right style="thin">
        <color indexed="64"/>
      </right>
      <top style="thin">
        <color rgb="FFC0C0C0"/>
      </top>
      <bottom style="thin">
        <color auto="1"/>
      </bottom>
      <diagonal/>
    </border>
    <border>
      <left/>
      <right/>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n">
        <color auto="1"/>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auto="1"/>
      </bottom>
      <diagonal/>
    </border>
    <border>
      <left/>
      <right style="medium">
        <color auto="1"/>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style="medium">
        <color indexed="64"/>
      </left>
      <right style="medium">
        <color indexed="64"/>
      </right>
      <top/>
      <bottom style="medium">
        <color indexed="64"/>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auto="1"/>
      </left>
      <right style="thin">
        <color indexed="64"/>
      </right>
      <top style="thin">
        <color indexed="64"/>
      </top>
      <bottom style="thin">
        <color rgb="FFC0C0C0"/>
      </bottom>
      <diagonal/>
    </border>
    <border>
      <left style="thin">
        <color auto="1"/>
      </left>
      <right/>
      <top style="thin">
        <color auto="1"/>
      </top>
      <bottom style="thin">
        <color rgb="FFC0C0C0"/>
      </bottom>
      <diagonal/>
    </border>
    <border>
      <left/>
      <right style="thin">
        <color indexed="64"/>
      </right>
      <top style="thin">
        <color auto="1"/>
      </top>
      <bottom style="thin">
        <color rgb="FFC0C0C0"/>
      </bottom>
      <diagonal/>
    </border>
    <border>
      <left/>
      <right/>
      <top style="thin">
        <color auto="1"/>
      </top>
      <bottom style="thin">
        <color rgb="FFC0C0C0"/>
      </bottom>
      <diagonal/>
    </border>
  </borders>
  <cellStyleXfs count="29">
    <xf numFmtId="0" fontId="0" fillId="0" borderId="0"/>
    <xf numFmtId="169" fontId="7" fillId="0" borderId="0" applyFont="0" applyFill="0" applyBorder="0" applyAlignment="0" applyProtection="0"/>
    <xf numFmtId="3" fontId="7" fillId="0" borderId="0" applyFont="0" applyFill="0" applyBorder="0" applyAlignment="0" applyProtection="0"/>
    <xf numFmtId="168" fontId="7" fillId="0" borderId="0" applyFont="0" applyFill="0" applyBorder="0" applyAlignment="0" applyProtection="0"/>
    <xf numFmtId="168" fontId="10" fillId="0" borderId="0" applyFont="0" applyFill="0" applyBorder="0" applyAlignment="0" applyProtection="0"/>
    <xf numFmtId="0" fontId="10" fillId="0" borderId="0"/>
    <xf numFmtId="0" fontId="9" fillId="0" borderId="0"/>
    <xf numFmtId="9" fontId="7" fillId="0" borderId="0" applyFont="0" applyFill="0" applyBorder="0" applyAlignment="0" applyProtection="0"/>
    <xf numFmtId="0" fontId="6" fillId="0" borderId="0"/>
    <xf numFmtId="0" fontId="11" fillId="0" borderId="9"/>
    <xf numFmtId="0" fontId="12" fillId="0" borderId="0"/>
    <xf numFmtId="172" fontId="7" fillId="0" borderId="10" applyFill="0" applyProtection="0"/>
    <xf numFmtId="0" fontId="7" fillId="0" borderId="0"/>
    <xf numFmtId="0" fontId="5" fillId="0" borderId="0"/>
    <xf numFmtId="167" fontId="5"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0" fontId="7" fillId="0" borderId="0"/>
    <xf numFmtId="4" fontId="12" fillId="0" borderId="0" applyProtection="0"/>
    <xf numFmtId="164" fontId="13" fillId="0" borderId="0" applyFont="0" applyFill="0" applyBorder="0" applyAlignment="0" applyProtection="0"/>
    <xf numFmtId="0" fontId="4" fillId="0" borderId="0"/>
    <xf numFmtId="173" fontId="4" fillId="0" borderId="0" applyFont="0" applyFill="0" applyBorder="0" applyAlignment="0" applyProtection="0"/>
    <xf numFmtId="0" fontId="14" fillId="0" borderId="0"/>
    <xf numFmtId="168" fontId="7" fillId="0" borderId="0" applyFont="0" applyFill="0" applyBorder="0" applyAlignment="0" applyProtection="0"/>
    <xf numFmtId="0" fontId="3" fillId="0" borderId="0"/>
    <xf numFmtId="0" fontId="52" fillId="0" borderId="0" applyNumberForma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cellStyleXfs>
  <cellXfs count="1192">
    <xf numFmtId="0" fontId="0" fillId="0" borderId="0" xfId="0"/>
    <xf numFmtId="0" fontId="7" fillId="0" borderId="0" xfId="17" applyAlignment="1">
      <alignment vertical="center"/>
    </xf>
    <xf numFmtId="0" fontId="8" fillId="0" borderId="0" xfId="17" applyFont="1" applyAlignment="1">
      <alignment horizontal="left" vertical="center"/>
    </xf>
    <xf numFmtId="0" fontId="7" fillId="0" borderId="0" xfId="17" applyAlignment="1">
      <alignment horizontal="left" vertical="center"/>
    </xf>
    <xf numFmtId="0" fontId="7" fillId="0" borderId="0" xfId="17" applyAlignment="1">
      <alignment horizontal="center" vertical="center"/>
    </xf>
    <xf numFmtId="0" fontId="7" fillId="0" borderId="0" xfId="17" applyAlignment="1">
      <alignment horizontal="right" vertical="center"/>
    </xf>
    <xf numFmtId="0" fontId="8" fillId="0" borderId="0" xfId="17" applyFont="1" applyAlignment="1">
      <alignment horizontal="right" vertical="center"/>
    </xf>
    <xf numFmtId="0" fontId="8" fillId="0" borderId="3" xfId="17" applyFont="1" applyBorder="1" applyAlignment="1">
      <alignment horizontal="left" vertical="center" wrapText="1"/>
    </xf>
    <xf numFmtId="49" fontId="8" fillId="0" borderId="0" xfId="17" applyNumberFormat="1" applyFont="1" applyAlignment="1">
      <alignment horizontal="left" vertical="center" wrapText="1"/>
    </xf>
    <xf numFmtId="0" fontId="8" fillId="0" borderId="0" xfId="17" applyFont="1" applyAlignment="1">
      <alignment horizontal="center" vertical="center"/>
    </xf>
    <xf numFmtId="49" fontId="8" fillId="0" borderId="11" xfId="17" applyNumberFormat="1" applyFont="1" applyBorder="1" applyAlignment="1">
      <alignment horizontal="center" vertical="center" wrapText="1"/>
    </xf>
    <xf numFmtId="0" fontId="8" fillId="0" borderId="11" xfId="17" applyFont="1" applyBorder="1" applyAlignment="1">
      <alignment horizontal="center" vertical="center" wrapText="1"/>
    </xf>
    <xf numFmtId="0" fontId="8" fillId="0" borderId="0" xfId="17" applyFont="1" applyAlignment="1">
      <alignment horizontal="center" vertical="center" wrapText="1"/>
    </xf>
    <xf numFmtId="49" fontId="7" fillId="0" borderId="1" xfId="17" applyNumberFormat="1" applyBorder="1" applyAlignment="1">
      <alignment horizontal="left" vertical="center" wrapText="1"/>
    </xf>
    <xf numFmtId="0" fontId="7" fillId="0" borderId="1" xfId="17" applyBorder="1" applyAlignment="1">
      <alignment horizontal="left" vertical="center" wrapText="1"/>
    </xf>
    <xf numFmtId="0" fontId="7" fillId="0" borderId="1" xfId="17" applyBorder="1" applyAlignment="1">
      <alignment horizontal="center" wrapText="1"/>
    </xf>
    <xf numFmtId="0" fontId="7" fillId="0" borderId="1" xfId="17" applyBorder="1" applyAlignment="1">
      <alignment wrapText="1"/>
    </xf>
    <xf numFmtId="170" fontId="7" fillId="0" borderId="1" xfId="3" applyNumberFormat="1" applyFont="1" applyBorder="1" applyAlignment="1">
      <alignment horizontal="right" wrapText="1"/>
    </xf>
    <xf numFmtId="170" fontId="7" fillId="0" borderId="0" xfId="3" applyNumberFormat="1" applyFont="1" applyBorder="1" applyAlignment="1">
      <alignment horizontal="right" wrapText="1"/>
    </xf>
    <xf numFmtId="0" fontId="8" fillId="0" borderId="1" xfId="17" applyFont="1" applyBorder="1" applyAlignment="1">
      <alignment horizontal="left" vertical="center" wrapText="1"/>
    </xf>
    <xf numFmtId="49" fontId="7" fillId="0" borderId="1" xfId="17" applyNumberFormat="1" applyBorder="1" applyAlignment="1">
      <alignment horizontal="center" vertical="center" wrapText="1"/>
    </xf>
    <xf numFmtId="0" fontId="7" fillId="0" borderId="1" xfId="17" applyBorder="1" applyAlignment="1">
      <alignment horizontal="center" vertical="center" wrapText="1"/>
    </xf>
    <xf numFmtId="3" fontId="7" fillId="0" borderId="1" xfId="1" applyNumberFormat="1" applyFont="1" applyBorder="1" applyAlignment="1">
      <alignment horizontal="center" vertical="center" wrapText="1"/>
    </xf>
    <xf numFmtId="170" fontId="7" fillId="0" borderId="1" xfId="3" applyNumberFormat="1" applyFont="1" applyBorder="1" applyAlignment="1">
      <alignment horizontal="right" vertical="center" wrapText="1"/>
    </xf>
    <xf numFmtId="3" fontId="7" fillId="0" borderId="1" xfId="1" applyNumberFormat="1" applyFont="1" applyBorder="1" applyAlignment="1">
      <alignment horizontal="center" wrapText="1"/>
    </xf>
    <xf numFmtId="0" fontId="7" fillId="0" borderId="3" xfId="17" applyBorder="1" applyAlignment="1">
      <alignment horizontal="left" vertical="center"/>
    </xf>
    <xf numFmtId="0" fontId="7" fillId="0" borderId="3" xfId="17" applyBorder="1" applyAlignment="1">
      <alignment horizontal="left" vertical="center" wrapText="1"/>
    </xf>
    <xf numFmtId="171" fontId="7" fillId="0" borderId="1" xfId="17" applyNumberFormat="1" applyBorder="1" applyAlignment="1">
      <alignment wrapText="1"/>
    </xf>
    <xf numFmtId="0" fontId="8" fillId="0" borderId="0" xfId="17" applyFont="1" applyAlignment="1">
      <alignment vertical="center"/>
    </xf>
    <xf numFmtId="49" fontId="8" fillId="0" borderId="12" xfId="17" applyNumberFormat="1" applyFont="1" applyBorder="1" applyAlignment="1">
      <alignment vertical="center"/>
    </xf>
    <xf numFmtId="0" fontId="8" fillId="0" borderId="13" xfId="17" applyFont="1" applyBorder="1" applyAlignment="1">
      <alignment vertical="center"/>
    </xf>
    <xf numFmtId="49" fontId="8" fillId="0" borderId="13" xfId="17" applyNumberFormat="1" applyFont="1" applyBorder="1" applyAlignment="1">
      <alignment vertical="center"/>
    </xf>
    <xf numFmtId="49" fontId="8" fillId="0" borderId="13" xfId="17" applyNumberFormat="1" applyFont="1" applyBorder="1" applyAlignment="1">
      <alignment horizontal="center" vertical="center"/>
    </xf>
    <xf numFmtId="170" fontId="8" fillId="0" borderId="11" xfId="1" applyNumberFormat="1" applyFont="1" applyBorder="1" applyAlignment="1">
      <alignment horizontal="right" vertical="center" wrapText="1"/>
    </xf>
    <xf numFmtId="170" fontId="8" fillId="0" borderId="0" xfId="1" applyNumberFormat="1" applyFont="1" applyBorder="1" applyAlignment="1">
      <alignment horizontal="right" vertical="center" wrapText="1"/>
    </xf>
    <xf numFmtId="49" fontId="7" fillId="0" borderId="0" xfId="17" applyNumberFormat="1" applyAlignment="1">
      <alignment horizontal="left" vertical="center"/>
    </xf>
    <xf numFmtId="0" fontId="7" fillId="0" borderId="0" xfId="17"/>
    <xf numFmtId="0" fontId="7" fillId="0" borderId="1" xfId="17" applyBorder="1" applyAlignment="1">
      <alignment horizontal="center" vertical="center"/>
    </xf>
    <xf numFmtId="169" fontId="7" fillId="0" borderId="1" xfId="1" applyFont="1" applyBorder="1" applyAlignment="1">
      <alignment vertical="center" wrapText="1"/>
    </xf>
    <xf numFmtId="0" fontId="7" fillId="0" borderId="1" xfId="17" applyBorder="1" applyAlignment="1">
      <alignment horizontal="left" wrapText="1"/>
    </xf>
    <xf numFmtId="170" fontId="7" fillId="0" borderId="0" xfId="3" applyNumberFormat="1" applyFont="1" applyBorder="1" applyAlignment="1">
      <alignment horizontal="right" vertical="center" wrapText="1"/>
    </xf>
    <xf numFmtId="170" fontId="7" fillId="0" borderId="0" xfId="1" applyNumberFormat="1" applyFont="1" applyBorder="1" applyAlignment="1">
      <alignment horizontal="right" vertical="center" wrapText="1"/>
    </xf>
    <xf numFmtId="0" fontId="7" fillId="0" borderId="1" xfId="17" applyBorder="1" applyAlignment="1">
      <alignment vertical="center"/>
    </xf>
    <xf numFmtId="49" fontId="8" fillId="0" borderId="1" xfId="17" applyNumberFormat="1" applyFont="1" applyBorder="1" applyAlignment="1">
      <alignment horizontal="center" vertical="center" wrapText="1"/>
    </xf>
    <xf numFmtId="169" fontId="7" fillId="0" borderId="1" xfId="1" applyFont="1" applyFill="1" applyBorder="1" applyAlignment="1">
      <alignment vertical="center" wrapText="1"/>
    </xf>
    <xf numFmtId="169" fontId="7" fillId="0" borderId="0" xfId="17" applyNumberFormat="1" applyAlignment="1">
      <alignment horizontal="right" vertical="center"/>
    </xf>
    <xf numFmtId="49" fontId="7" fillId="0" borderId="1" xfId="17" applyNumberFormat="1" applyBorder="1" applyAlignment="1">
      <alignment horizontal="right" vertical="center" wrapText="1"/>
    </xf>
    <xf numFmtId="0" fontId="8" fillId="0" borderId="1" xfId="17" applyFont="1" applyBorder="1" applyAlignment="1">
      <alignment horizontal="center" vertical="center" wrapText="1"/>
    </xf>
    <xf numFmtId="0" fontId="7" fillId="0" borderId="1" xfId="17" applyBorder="1" applyAlignment="1">
      <alignment horizontal="left" vertical="center"/>
    </xf>
    <xf numFmtId="0" fontId="7" fillId="0" borderId="0" xfId="17" applyAlignment="1">
      <alignment vertical="center" wrapText="1"/>
    </xf>
    <xf numFmtId="0" fontId="7" fillId="0" borderId="0" xfId="17" applyAlignment="1">
      <alignment horizontal="left" vertical="center" wrapText="1"/>
    </xf>
    <xf numFmtId="49" fontId="7" fillId="0" borderId="0" xfId="17" applyNumberFormat="1" applyAlignment="1">
      <alignment horizontal="left" vertical="center" wrapText="1"/>
    </xf>
    <xf numFmtId="0" fontId="7" fillId="0" borderId="0" xfId="17" applyAlignment="1">
      <alignment horizontal="center" vertical="center" wrapText="1"/>
    </xf>
    <xf numFmtId="0" fontId="7" fillId="0" borderId="0" xfId="17" applyAlignment="1">
      <alignment horizontal="right" vertical="center" wrapText="1"/>
    </xf>
    <xf numFmtId="0" fontId="8" fillId="0" borderId="0" xfId="17" applyFont="1" applyAlignment="1">
      <alignment horizontal="right" vertical="center" wrapText="1"/>
    </xf>
    <xf numFmtId="0" fontId="7" fillId="0" borderId="0" xfId="17" applyAlignment="1">
      <alignment wrapText="1"/>
    </xf>
    <xf numFmtId="49" fontId="7" fillId="0" borderId="1" xfId="17" applyNumberFormat="1" applyBorder="1" applyAlignment="1">
      <alignment horizontal="left" vertical="top" wrapText="1"/>
    </xf>
    <xf numFmtId="170" fontId="7" fillId="0" borderId="0" xfId="1" applyNumberFormat="1" applyFont="1" applyBorder="1" applyAlignment="1">
      <alignment horizontal="right" wrapText="1"/>
    </xf>
    <xf numFmtId="49" fontId="7" fillId="0" borderId="1" xfId="17" applyNumberFormat="1" applyBorder="1" applyAlignment="1">
      <alignment horizontal="right" vertical="top" wrapText="1"/>
    </xf>
    <xf numFmtId="171" fontId="7" fillId="0" borderId="1" xfId="7" applyNumberFormat="1" applyFont="1" applyBorder="1" applyAlignment="1">
      <alignment wrapText="1"/>
    </xf>
    <xf numFmtId="170" fontId="7" fillId="0" borderId="0" xfId="3" applyNumberFormat="1" applyFont="1" applyBorder="1" applyAlignment="1">
      <alignment wrapText="1"/>
    </xf>
    <xf numFmtId="0" fontId="7" fillId="0" borderId="1" xfId="17" applyBorder="1" applyAlignment="1">
      <alignment horizontal="center"/>
    </xf>
    <xf numFmtId="0" fontId="7" fillId="0" borderId="1" xfId="17" applyBorder="1"/>
    <xf numFmtId="0" fontId="7" fillId="0" borderId="0" xfId="17" applyAlignment="1">
      <alignment horizontal="right"/>
    </xf>
    <xf numFmtId="169" fontId="7" fillId="0" borderId="1" xfId="1" applyFont="1" applyBorder="1" applyAlignment="1">
      <alignment wrapText="1"/>
    </xf>
    <xf numFmtId="0" fontId="7" fillId="0" borderId="1" xfId="17" applyBorder="1" applyAlignment="1">
      <alignment horizontal="left" vertical="top" wrapText="1"/>
    </xf>
    <xf numFmtId="0" fontId="7" fillId="0" borderId="1" xfId="17" applyBorder="1" applyAlignment="1">
      <alignment horizontal="center" vertical="top" wrapText="1"/>
    </xf>
    <xf numFmtId="169" fontId="7" fillId="0" borderId="1" xfId="1" applyFont="1" applyFill="1" applyBorder="1" applyAlignment="1">
      <alignment wrapText="1"/>
    </xf>
    <xf numFmtId="0" fontId="7" fillId="0" borderId="3" xfId="17" applyBorder="1" applyAlignment="1">
      <alignment horizontal="left" vertical="top"/>
    </xf>
    <xf numFmtId="169" fontId="7" fillId="0" borderId="0" xfId="17" applyNumberFormat="1" applyAlignment="1">
      <alignment horizontal="right"/>
    </xf>
    <xf numFmtId="0" fontId="7" fillId="0" borderId="3" xfId="17" applyBorder="1" applyAlignment="1">
      <alignment horizontal="left" vertical="top" wrapText="1"/>
    </xf>
    <xf numFmtId="0" fontId="7" fillId="0" borderId="1" xfId="17" applyBorder="1" applyAlignment="1">
      <alignment horizontal="center" vertical="top"/>
    </xf>
    <xf numFmtId="0" fontId="8" fillId="0" borderId="1" xfId="17" applyFont="1" applyBorder="1" applyAlignment="1">
      <alignment horizontal="center" wrapText="1"/>
    </xf>
    <xf numFmtId="49" fontId="8" fillId="0" borderId="1" xfId="17" applyNumberFormat="1" applyFont="1" applyBorder="1" applyAlignment="1">
      <alignment horizontal="right" vertical="center" wrapText="1"/>
    </xf>
    <xf numFmtId="49" fontId="8" fillId="0" borderId="11" xfId="17" applyNumberFormat="1" applyFont="1" applyBorder="1" applyAlignment="1">
      <alignment vertical="center" wrapText="1"/>
    </xf>
    <xf numFmtId="49" fontId="7" fillId="0" borderId="1" xfId="17" applyNumberFormat="1" applyBorder="1" applyAlignment="1">
      <alignment vertical="center" wrapText="1"/>
    </xf>
    <xf numFmtId="49" fontId="7" fillId="0" borderId="0" xfId="17" applyNumberFormat="1" applyAlignment="1">
      <alignment vertical="center"/>
    </xf>
    <xf numFmtId="0" fontId="7" fillId="0" borderId="4" xfId="17" applyBorder="1" applyAlignment="1">
      <alignment horizontal="left" vertical="center"/>
    </xf>
    <xf numFmtId="0" fontId="7" fillId="0" borderId="4" xfId="17" applyBorder="1" applyAlignment="1">
      <alignment horizontal="center" vertical="center"/>
    </xf>
    <xf numFmtId="0" fontId="7" fillId="0" borderId="4" xfId="17" applyBorder="1" applyAlignment="1">
      <alignment vertical="center"/>
    </xf>
    <xf numFmtId="49" fontId="8" fillId="0" borderId="11" xfId="17" applyNumberFormat="1" applyFont="1" applyBorder="1" applyAlignment="1">
      <alignment vertical="center"/>
    </xf>
    <xf numFmtId="0" fontId="7" fillId="0" borderId="1" xfId="17" applyBorder="1" applyAlignment="1">
      <alignment vertical="center" wrapText="1"/>
    </xf>
    <xf numFmtId="0" fontId="7" fillId="0" borderId="15" xfId="17" applyBorder="1" applyAlignment="1">
      <alignment horizontal="center" wrapText="1"/>
    </xf>
    <xf numFmtId="0" fontId="7" fillId="0" borderId="1" xfId="17" applyBorder="1" applyAlignment="1">
      <alignment horizontal="right" vertical="center" wrapText="1"/>
    </xf>
    <xf numFmtId="49" fontId="8" fillId="0" borderId="12" xfId="17" applyNumberFormat="1" applyFont="1" applyBorder="1" applyAlignment="1">
      <alignment horizontal="right" vertical="center"/>
    </xf>
    <xf numFmtId="49" fontId="7" fillId="0" borderId="1" xfId="17" applyNumberFormat="1" applyBorder="1" applyAlignment="1">
      <alignment horizontal="right" wrapText="1"/>
    </xf>
    <xf numFmtId="49" fontId="7" fillId="0" borderId="1" xfId="17" applyNumberFormat="1" applyBorder="1" applyAlignment="1">
      <alignment horizontal="center" vertical="center"/>
    </xf>
    <xf numFmtId="0" fontId="8" fillId="0" borderId="0" xfId="17" applyFont="1" applyAlignment="1">
      <alignment horizontal="left" vertical="top"/>
    </xf>
    <xf numFmtId="0" fontId="8" fillId="0" borderId="0" xfId="17" applyFont="1" applyAlignment="1">
      <alignment vertical="top"/>
    </xf>
    <xf numFmtId="0" fontId="7" fillId="0" borderId="4" xfId="17" applyBorder="1" applyAlignment="1">
      <alignment horizontal="right" vertical="center"/>
    </xf>
    <xf numFmtId="0" fontId="7" fillId="0" borderId="4" xfId="17" applyBorder="1" applyAlignment="1">
      <alignment horizontal="left" vertical="center" wrapText="1"/>
    </xf>
    <xf numFmtId="0" fontId="7" fillId="0" borderId="4" xfId="17" applyBorder="1" applyAlignment="1">
      <alignment horizontal="center" vertical="center" wrapText="1"/>
    </xf>
    <xf numFmtId="0" fontId="7" fillId="0" borderId="4" xfId="17" applyBorder="1" applyAlignment="1">
      <alignment vertical="center" wrapText="1"/>
    </xf>
    <xf numFmtId="0" fontId="7" fillId="0" borderId="4" xfId="17" applyBorder="1" applyAlignment="1">
      <alignment horizontal="right" vertical="center" wrapText="1"/>
    </xf>
    <xf numFmtId="0" fontId="7" fillId="0" borderId="0" xfId="0" applyFont="1"/>
    <xf numFmtId="0" fontId="8" fillId="0" borderId="15" xfId="17" applyFont="1" applyBorder="1" applyAlignment="1">
      <alignment horizontal="left" vertical="center" wrapText="1"/>
    </xf>
    <xf numFmtId="174" fontId="7" fillId="0" borderId="1" xfId="3" applyNumberFormat="1" applyFont="1" applyBorder="1" applyAlignment="1">
      <alignment horizontal="right" wrapText="1"/>
    </xf>
    <xf numFmtId="0" fontId="19" fillId="0" borderId="0" xfId="17" applyFont="1" applyAlignment="1">
      <alignment vertical="center"/>
    </xf>
    <xf numFmtId="0" fontId="19" fillId="0" borderId="0" xfId="17" applyFont="1" applyAlignment="1">
      <alignment horizontal="right" vertical="center"/>
    </xf>
    <xf numFmtId="0" fontId="19" fillId="0" borderId="0" xfId="17" applyFont="1" applyAlignment="1">
      <alignment horizontal="center" vertical="center"/>
    </xf>
    <xf numFmtId="0" fontId="19" fillId="0" borderId="0" xfId="17" applyFont="1" applyAlignment="1">
      <alignment horizontal="left" vertical="center"/>
    </xf>
    <xf numFmtId="49" fontId="19" fillId="0" borderId="0" xfId="17" applyNumberFormat="1" applyFont="1" applyAlignment="1">
      <alignment horizontal="left" vertical="center"/>
    </xf>
    <xf numFmtId="170" fontId="19" fillId="0" borderId="1" xfId="3" applyNumberFormat="1" applyFont="1" applyBorder="1" applyAlignment="1">
      <alignment horizontal="right" vertical="center" wrapText="1"/>
    </xf>
    <xf numFmtId="3" fontId="19" fillId="0" borderId="1" xfId="1" applyNumberFormat="1" applyFont="1" applyBorder="1" applyAlignment="1">
      <alignment horizontal="center" wrapText="1"/>
    </xf>
    <xf numFmtId="0" fontId="19" fillId="0" borderId="1" xfId="17" applyFont="1" applyBorder="1" applyAlignment="1">
      <alignment horizontal="center"/>
    </xf>
    <xf numFmtId="0" fontId="19" fillId="0" borderId="1" xfId="17" applyFont="1" applyBorder="1" applyAlignment="1">
      <alignment horizontal="center" wrapText="1"/>
    </xf>
    <xf numFmtId="0" fontId="19" fillId="0" borderId="1" xfId="17" applyFont="1" applyBorder="1" applyAlignment="1">
      <alignment horizontal="left" vertical="center" wrapText="1"/>
    </xf>
    <xf numFmtId="0" fontId="19" fillId="0" borderId="1" xfId="17" applyFont="1" applyBorder="1" applyAlignment="1">
      <alignment horizontal="center" vertical="center" wrapText="1"/>
    </xf>
    <xf numFmtId="49" fontId="19" fillId="0" borderId="1" xfId="17" applyNumberFormat="1" applyFont="1" applyBorder="1" applyAlignment="1">
      <alignment horizontal="right" vertical="center" wrapText="1"/>
    </xf>
    <xf numFmtId="0" fontId="19" fillId="0" borderId="3" xfId="17" applyFont="1" applyBorder="1" applyAlignment="1">
      <alignment horizontal="left" vertical="center" wrapText="1"/>
    </xf>
    <xf numFmtId="3" fontId="19" fillId="0" borderId="1" xfId="1" applyNumberFormat="1" applyFont="1" applyBorder="1" applyAlignment="1">
      <alignment horizontal="center" vertical="center" wrapText="1"/>
    </xf>
    <xf numFmtId="0" fontId="19" fillId="0" borderId="1" xfId="17" applyFont="1" applyBorder="1" applyAlignment="1">
      <alignment horizontal="left" vertical="center"/>
    </xf>
    <xf numFmtId="170" fontId="19" fillId="0" borderId="1" xfId="3" applyNumberFormat="1" applyFont="1" applyBorder="1" applyAlignment="1">
      <alignment horizontal="right" wrapText="1"/>
    </xf>
    <xf numFmtId="0" fontId="19" fillId="0" borderId="3" xfId="17" applyFont="1" applyBorder="1" applyAlignment="1">
      <alignment horizontal="left" vertical="center"/>
    </xf>
    <xf numFmtId="49" fontId="19" fillId="0" borderId="1" xfId="17" applyNumberFormat="1" applyFont="1" applyBorder="1" applyAlignment="1">
      <alignment horizontal="right" wrapText="1"/>
    </xf>
    <xf numFmtId="49" fontId="19" fillId="0" borderId="1" xfId="17" applyNumberFormat="1" applyFont="1" applyBorder="1" applyAlignment="1">
      <alignment horizontal="right" vertical="top" wrapText="1"/>
    </xf>
    <xf numFmtId="170" fontId="19" fillId="0" borderId="0" xfId="3" applyNumberFormat="1" applyFont="1" applyBorder="1" applyAlignment="1">
      <alignment horizontal="right" wrapText="1"/>
    </xf>
    <xf numFmtId="0" fontId="19" fillId="0" borderId="0" xfId="17" applyFont="1" applyAlignment="1">
      <alignment horizontal="right"/>
    </xf>
    <xf numFmtId="169" fontId="19" fillId="0" borderId="0" xfId="17" applyNumberFormat="1" applyFont="1" applyAlignment="1">
      <alignment horizontal="right"/>
    </xf>
    <xf numFmtId="170" fontId="19" fillId="0" borderId="0" xfId="1" applyNumberFormat="1" applyFont="1" applyBorder="1" applyAlignment="1">
      <alignment horizontal="right" wrapText="1"/>
    </xf>
    <xf numFmtId="170" fontId="19" fillId="0" borderId="0" xfId="3" applyNumberFormat="1" applyFont="1" applyBorder="1" applyAlignment="1">
      <alignment wrapText="1"/>
    </xf>
    <xf numFmtId="0" fontId="20" fillId="0" borderId="0" xfId="17" applyFont="1" applyAlignment="1">
      <alignment horizontal="center" vertical="center"/>
    </xf>
    <xf numFmtId="0" fontId="20" fillId="0" borderId="0" xfId="17" applyFont="1" applyAlignment="1">
      <alignment horizontal="center" vertical="center" wrapText="1"/>
    </xf>
    <xf numFmtId="49" fontId="20" fillId="0" borderId="0" xfId="17" applyNumberFormat="1" applyFont="1" applyAlignment="1">
      <alignment horizontal="left" vertical="center" wrapText="1"/>
    </xf>
    <xf numFmtId="0" fontId="20" fillId="0" borderId="0" xfId="17" applyFont="1" applyAlignment="1">
      <alignment horizontal="left" vertical="top"/>
    </xf>
    <xf numFmtId="0" fontId="20" fillId="0" borderId="0" xfId="17" applyFont="1" applyAlignment="1">
      <alignment horizontal="left" vertical="center"/>
    </xf>
    <xf numFmtId="0" fontId="20" fillId="0" borderId="0" xfId="17" applyFont="1" applyAlignment="1">
      <alignment horizontal="right" vertical="center"/>
    </xf>
    <xf numFmtId="0" fontId="21" fillId="0" borderId="1" xfId="17" applyFont="1" applyBorder="1" applyAlignment="1">
      <alignment horizontal="center" wrapText="1"/>
    </xf>
    <xf numFmtId="0" fontId="22" fillId="0" borderId="1" xfId="17" applyFont="1" applyBorder="1" applyAlignment="1">
      <alignment horizontal="center" vertical="center" wrapText="1"/>
    </xf>
    <xf numFmtId="0" fontId="19" fillId="0" borderId="1" xfId="17" applyFont="1" applyBorder="1" applyAlignment="1">
      <alignment horizontal="center" vertical="center"/>
    </xf>
    <xf numFmtId="44" fontId="0" fillId="0" borderId="0" xfId="3" applyNumberFormat="1" applyFont="1" applyAlignment="1">
      <alignment vertical="center" wrapText="1"/>
    </xf>
    <xf numFmtId="0" fontId="7" fillId="0" borderId="0" xfId="17" applyAlignment="1">
      <alignment horizontal="left" vertical="center" wrapText="1" indent="1"/>
    </xf>
    <xf numFmtId="0" fontId="8" fillId="0" borderId="0" xfId="17" applyFont="1" applyAlignment="1">
      <alignment horizontal="left" vertical="center" wrapText="1"/>
    </xf>
    <xf numFmtId="0" fontId="7" fillId="0" borderId="17" xfId="17" applyBorder="1" applyAlignment="1">
      <alignment horizontal="left" vertical="center"/>
    </xf>
    <xf numFmtId="0" fontId="7" fillId="0" borderId="17" xfId="17" applyBorder="1" applyAlignment="1">
      <alignment horizontal="left" vertical="center" wrapText="1"/>
    </xf>
    <xf numFmtId="49" fontId="8" fillId="0" borderId="11" xfId="17" applyNumberFormat="1" applyFont="1" applyBorder="1" applyAlignment="1">
      <alignment horizontal="right" vertical="center"/>
    </xf>
    <xf numFmtId="0" fontId="7" fillId="0" borderId="6" xfId="17" applyBorder="1" applyAlignment="1">
      <alignment horizontal="left" vertical="center" wrapText="1"/>
    </xf>
    <xf numFmtId="49" fontId="7" fillId="0" borderId="1" xfId="17" applyNumberFormat="1" applyBorder="1" applyAlignment="1">
      <alignment horizontal="right" vertical="center"/>
    </xf>
    <xf numFmtId="0" fontId="7" fillId="0" borderId="1" xfId="17" applyBorder="1" applyAlignment="1">
      <alignment horizontal="right"/>
    </xf>
    <xf numFmtId="49" fontId="8" fillId="0" borderId="1" xfId="17" applyNumberFormat="1" applyFont="1" applyBorder="1" applyAlignment="1">
      <alignment horizontal="right" vertical="center"/>
    </xf>
    <xf numFmtId="0" fontId="7" fillId="0" borderId="14" xfId="17" applyBorder="1" applyAlignment="1">
      <alignment vertical="center" wrapText="1"/>
    </xf>
    <xf numFmtId="0" fontId="7" fillId="0" borderId="14" xfId="17" applyBorder="1" applyAlignment="1">
      <alignment horizontal="center" vertical="center" wrapText="1"/>
    </xf>
    <xf numFmtId="0" fontId="8" fillId="0" borderId="1" xfId="17" applyFont="1" applyBorder="1" applyAlignment="1">
      <alignment horizontal="right"/>
    </xf>
    <xf numFmtId="0" fontId="20" fillId="0" borderId="0" xfId="17" applyFont="1" applyAlignment="1">
      <alignment horizontal="left" vertical="center" wrapText="1"/>
    </xf>
    <xf numFmtId="0" fontId="8" fillId="0" borderId="12" xfId="17" applyFont="1" applyBorder="1" applyAlignment="1">
      <alignment horizontal="right" vertical="center"/>
    </xf>
    <xf numFmtId="0" fontId="19" fillId="0" borderId="17" xfId="17" applyFont="1" applyBorder="1" applyAlignment="1">
      <alignment horizontal="left" vertical="center" wrapText="1"/>
    </xf>
    <xf numFmtId="49" fontId="8" fillId="0" borderId="1" xfId="17" applyNumberFormat="1" applyFont="1" applyBorder="1" applyAlignment="1">
      <alignment horizontal="right" vertical="top" wrapText="1"/>
    </xf>
    <xf numFmtId="0" fontId="19" fillId="0" borderId="17" xfId="17" applyFont="1" applyBorder="1" applyAlignment="1">
      <alignment horizontal="left" vertical="center"/>
    </xf>
    <xf numFmtId="49" fontId="7" fillId="0" borderId="0" xfId="17" applyNumberFormat="1" applyAlignment="1">
      <alignment horizontal="center" vertical="center"/>
    </xf>
    <xf numFmtId="0" fontId="7" fillId="0" borderId="3" xfId="17" applyBorder="1" applyAlignment="1">
      <alignment horizontal="center" vertical="center"/>
    </xf>
    <xf numFmtId="49" fontId="7" fillId="0" borderId="1" xfId="17" applyNumberFormat="1" applyBorder="1" applyAlignment="1">
      <alignment horizontal="right" vertical="top"/>
    </xf>
    <xf numFmtId="49" fontId="7" fillId="0" borderId="1" xfId="17" applyNumberFormat="1" applyBorder="1" applyAlignment="1">
      <alignment horizontal="right"/>
    </xf>
    <xf numFmtId="3" fontId="7" fillId="0" borderId="17" xfId="1" applyNumberFormat="1" applyFont="1" applyBorder="1" applyAlignment="1">
      <alignment horizontal="center" wrapText="1"/>
    </xf>
    <xf numFmtId="0" fontId="7" fillId="0" borderId="15" xfId="17" applyBorder="1" applyAlignment="1">
      <alignment horizontal="center" vertical="center" wrapText="1"/>
    </xf>
    <xf numFmtId="9" fontId="7" fillId="0" borderId="0" xfId="17" applyNumberFormat="1" applyAlignment="1">
      <alignment vertical="center"/>
    </xf>
    <xf numFmtId="0" fontId="7" fillId="0" borderId="0" xfId="0" applyFont="1" applyAlignment="1">
      <alignment wrapText="1"/>
    </xf>
    <xf numFmtId="0" fontId="8" fillId="3" borderId="0" xfId="0" applyFont="1" applyFill="1" applyAlignment="1">
      <alignment horizontal="left" vertical="center"/>
    </xf>
    <xf numFmtId="0" fontId="7" fillId="3" borderId="0" xfId="0" applyFont="1" applyFill="1"/>
    <xf numFmtId="49" fontId="8" fillId="3" borderId="0" xfId="0" applyNumberFormat="1" applyFont="1" applyFill="1" applyAlignment="1">
      <alignment horizontal="left" vertical="center"/>
    </xf>
    <xf numFmtId="49" fontId="8" fillId="3" borderId="0" xfId="0" applyNumberFormat="1" applyFont="1" applyFill="1" applyAlignment="1">
      <alignment horizontal="left" vertical="top"/>
    </xf>
    <xf numFmtId="0" fontId="0" fillId="0" borderId="0" xfId="0" applyAlignment="1">
      <alignment horizontal="left"/>
    </xf>
    <xf numFmtId="165" fontId="0" fillId="3" borderId="11" xfId="0" applyNumberFormat="1" applyFill="1" applyBorder="1" applyAlignment="1">
      <alignment horizontal="right"/>
    </xf>
    <xf numFmtId="0" fontId="8" fillId="0" borderId="0" xfId="0" applyFont="1"/>
    <xf numFmtId="175" fontId="0" fillId="3" borderId="11" xfId="0" applyNumberFormat="1" applyFill="1" applyBorder="1" applyAlignment="1">
      <alignment horizontal="right"/>
    </xf>
    <xf numFmtId="0" fontId="7" fillId="0" borderId="11" xfId="0" applyFont="1" applyBorder="1" applyAlignment="1">
      <alignment horizontal="center"/>
    </xf>
    <xf numFmtId="176" fontId="0" fillId="3" borderId="11" xfId="0" applyNumberFormat="1" applyFill="1" applyBorder="1" applyAlignment="1">
      <alignment horizontal="center"/>
    </xf>
    <xf numFmtId="165" fontId="0" fillId="0" borderId="11" xfId="0" applyNumberFormat="1" applyBorder="1" applyAlignment="1">
      <alignment horizontal="right"/>
    </xf>
    <xf numFmtId="0" fontId="8" fillId="4" borderId="15" xfId="0" applyFont="1" applyFill="1" applyBorder="1" applyAlignment="1">
      <alignment horizontal="center"/>
    </xf>
    <xf numFmtId="0" fontId="8" fillId="4" borderId="14" xfId="0" applyFont="1" applyFill="1" applyBorder="1" applyAlignment="1">
      <alignment horizontal="center"/>
    </xf>
    <xf numFmtId="0" fontId="7" fillId="0" borderId="19" xfId="0" applyFont="1" applyBorder="1" applyAlignment="1">
      <alignment horizontal="center"/>
    </xf>
    <xf numFmtId="9" fontId="0" fillId="0" borderId="19" xfId="0" applyNumberFormat="1" applyBorder="1" applyAlignment="1">
      <alignment horizontal="center"/>
    </xf>
    <xf numFmtId="171" fontId="0" fillId="3" borderId="11" xfId="7" applyNumberFormat="1" applyFont="1" applyFill="1" applyBorder="1" applyAlignment="1">
      <alignment horizontal="right"/>
    </xf>
    <xf numFmtId="0" fontId="7" fillId="0" borderId="20" xfId="0" applyFont="1" applyBorder="1" applyAlignment="1">
      <alignment horizontal="center"/>
    </xf>
    <xf numFmtId="9" fontId="0" fillId="0" borderId="20" xfId="0" applyNumberFormat="1" applyBorder="1" applyAlignment="1">
      <alignment horizontal="center"/>
    </xf>
    <xf numFmtId="0" fontId="7" fillId="0" borderId="21" xfId="0" applyFont="1" applyBorder="1" applyAlignment="1">
      <alignment horizontal="center"/>
    </xf>
    <xf numFmtId="9" fontId="0" fillId="0" borderId="21" xfId="0" applyNumberFormat="1" applyBorder="1" applyAlignment="1">
      <alignment horizontal="center"/>
    </xf>
    <xf numFmtId="175" fontId="0" fillId="0" borderId="11" xfId="0" applyNumberFormat="1" applyBorder="1" applyAlignment="1">
      <alignment horizontal="right"/>
    </xf>
    <xf numFmtId="0" fontId="8" fillId="5" borderId="11" xfId="0" applyFont="1" applyFill="1" applyBorder="1" applyAlignment="1">
      <alignment horizontal="center" vertical="center"/>
    </xf>
    <xf numFmtId="0" fontId="19" fillId="0" borderId="11" xfId="0" applyFont="1" applyBorder="1" applyAlignment="1">
      <alignment horizontal="center" wrapText="1"/>
    </xf>
    <xf numFmtId="0" fontId="0" fillId="0" borderId="1" xfId="0" applyBorder="1" applyAlignment="1">
      <alignment wrapText="1"/>
    </xf>
    <xf numFmtId="175" fontId="0" fillId="0" borderId="1" xfId="0" applyNumberFormat="1" applyBorder="1"/>
    <xf numFmtId="175" fontId="8" fillId="0" borderId="1" xfId="0" applyNumberFormat="1" applyFont="1" applyBorder="1"/>
    <xf numFmtId="177" fontId="0" fillId="0" borderId="14" xfId="0" applyNumberFormat="1" applyBorder="1" applyAlignment="1" applyProtection="1">
      <alignment wrapText="1"/>
      <protection locked="0"/>
    </xf>
    <xf numFmtId="0" fontId="0" fillId="0" borderId="15" xfId="0" applyBorder="1" applyAlignment="1">
      <alignment wrapText="1"/>
    </xf>
    <xf numFmtId="0" fontId="0" fillId="0" borderId="15" xfId="0" applyBorder="1"/>
    <xf numFmtId="0" fontId="8" fillId="0" borderId="15" xfId="0" applyFont="1" applyBorder="1"/>
    <xf numFmtId="0" fontId="0" fillId="0" borderId="11" xfId="0" applyBorder="1" applyAlignment="1">
      <alignment wrapText="1"/>
    </xf>
    <xf numFmtId="175" fontId="0" fillId="0" borderId="11" xfId="0" applyNumberFormat="1" applyBorder="1"/>
    <xf numFmtId="175" fontId="8" fillId="0" borderId="11" xfId="0" applyNumberFormat="1" applyFont="1" applyBorder="1"/>
    <xf numFmtId="0" fontId="19" fillId="0" borderId="0" xfId="0" applyFont="1"/>
    <xf numFmtId="0" fontId="0" fillId="0" borderId="14" xfId="0" applyBorder="1" applyAlignment="1">
      <alignment wrapText="1"/>
    </xf>
    <xf numFmtId="175" fontId="0" fillId="0" borderId="14" xfId="0" applyNumberFormat="1" applyBorder="1"/>
    <xf numFmtId="175" fontId="8" fillId="0" borderId="14" xfId="0" applyNumberFormat="1" applyFont="1" applyBorder="1"/>
    <xf numFmtId="0" fontId="7" fillId="0" borderId="11" xfId="0" applyFont="1" applyBorder="1" applyAlignment="1">
      <alignment wrapText="1"/>
    </xf>
    <xf numFmtId="0" fontId="8" fillId="5" borderId="12" xfId="0" applyFont="1" applyFill="1" applyBorder="1" applyAlignment="1">
      <alignment horizontal="right" vertical="center" indent="1"/>
    </xf>
    <xf numFmtId="0" fontId="0" fillId="5" borderId="18" xfId="0" applyFill="1" applyBorder="1" applyAlignment="1">
      <alignment vertical="center"/>
    </xf>
    <xf numFmtId="0" fontId="8" fillId="5" borderId="12"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18" xfId="0" applyFont="1" applyFill="1" applyBorder="1" applyAlignment="1">
      <alignment horizontal="center" vertical="center"/>
    </xf>
    <xf numFmtId="0" fontId="7" fillId="0" borderId="22" xfId="0" applyFont="1" applyBorder="1" applyAlignment="1">
      <alignment horizontal="left" indent="1"/>
    </xf>
    <xf numFmtId="0" fontId="0" fillId="0" borderId="23" xfId="0" applyBorder="1"/>
    <xf numFmtId="165" fontId="7" fillId="0" borderId="19" xfId="0" applyNumberFormat="1" applyFont="1" applyBorder="1" applyAlignment="1" applyProtection="1">
      <alignment horizontal="center"/>
      <protection locked="0"/>
    </xf>
    <xf numFmtId="165" fontId="0" fillId="0" borderId="19" xfId="0" applyNumberFormat="1" applyBorder="1"/>
    <xf numFmtId="0" fontId="7" fillId="0" borderId="23" xfId="0" applyFont="1" applyBorder="1" applyAlignment="1">
      <alignment horizontal="left" indent="1"/>
    </xf>
    <xf numFmtId="0" fontId="7" fillId="0" borderId="24" xfId="0" applyFont="1" applyBorder="1" applyAlignment="1">
      <alignment horizontal="left"/>
    </xf>
    <xf numFmtId="0" fontId="7" fillId="0" borderId="23" xfId="0" applyFont="1" applyBorder="1" applyAlignment="1">
      <alignment horizontal="left"/>
    </xf>
    <xf numFmtId="0" fontId="7" fillId="0" borderId="25" xfId="0" applyFont="1" applyBorder="1" applyAlignment="1">
      <alignment horizontal="left" indent="1"/>
    </xf>
    <xf numFmtId="0" fontId="0" fillId="0" borderId="26" xfId="0" applyBorder="1"/>
    <xf numFmtId="175" fontId="7" fillId="0" borderId="20" xfId="0" applyNumberFormat="1" applyFont="1" applyBorder="1" applyAlignment="1" applyProtection="1">
      <alignment horizontal="center"/>
      <protection locked="0"/>
    </xf>
    <xf numFmtId="175" fontId="0" fillId="3" borderId="20" xfId="0" applyNumberFormat="1" applyFill="1" applyBorder="1"/>
    <xf numFmtId="0" fontId="0" fillId="0" borderId="26" xfId="0" applyBorder="1" applyAlignment="1">
      <alignment horizontal="left" indent="1"/>
    </xf>
    <xf numFmtId="0" fontId="0" fillId="0" borderId="25" xfId="0" applyBorder="1" applyAlignment="1">
      <alignment horizontal="left" indent="1"/>
    </xf>
    <xf numFmtId="0" fontId="0" fillId="0" borderId="27" xfId="0" applyBorder="1" applyAlignment="1">
      <alignment horizontal="left"/>
    </xf>
    <xf numFmtId="0" fontId="0" fillId="0" borderId="26" xfId="0" applyBorder="1" applyAlignment="1">
      <alignment horizontal="left"/>
    </xf>
    <xf numFmtId="165" fontId="7" fillId="0" borderId="20" xfId="0" applyNumberFormat="1" applyFont="1" applyBorder="1" applyAlignment="1" applyProtection="1">
      <alignment horizontal="center"/>
      <protection locked="0"/>
    </xf>
    <xf numFmtId="165" fontId="0" fillId="0" borderId="20" xfId="0" applyNumberFormat="1" applyBorder="1"/>
    <xf numFmtId="0" fontId="7" fillId="0" borderId="26" xfId="0" applyFont="1" applyBorder="1" applyAlignment="1">
      <alignment horizontal="left" indent="1"/>
    </xf>
    <xf numFmtId="0" fontId="7" fillId="0" borderId="27" xfId="0" applyFont="1" applyBorder="1" applyAlignment="1">
      <alignment horizontal="left"/>
    </xf>
    <xf numFmtId="0" fontId="7" fillId="0" borderId="26" xfId="0" applyFont="1" applyBorder="1" applyAlignment="1">
      <alignment horizontal="left"/>
    </xf>
    <xf numFmtId="0" fontId="7" fillId="0" borderId="28" xfId="0" applyFont="1" applyBorder="1" applyAlignment="1">
      <alignment horizontal="left" indent="1"/>
    </xf>
    <xf numFmtId="0" fontId="0" fillId="0" borderId="29" xfId="0" applyBorder="1"/>
    <xf numFmtId="175" fontId="7" fillId="0" borderId="30" xfId="0" applyNumberFormat="1" applyFont="1" applyBorder="1" applyAlignment="1" applyProtection="1">
      <alignment horizontal="center"/>
      <protection locked="0"/>
    </xf>
    <xf numFmtId="0" fontId="7" fillId="0" borderId="29" xfId="0" applyFont="1" applyBorder="1" applyAlignment="1">
      <alignment horizontal="left" indent="1"/>
    </xf>
    <xf numFmtId="0" fontId="7" fillId="0" borderId="31" xfId="0" applyFont="1" applyBorder="1" applyAlignment="1">
      <alignment horizontal="left"/>
    </xf>
    <xf numFmtId="0" fontId="7" fillId="0" borderId="29" xfId="0" applyFont="1" applyBorder="1" applyAlignment="1">
      <alignment horizontal="left"/>
    </xf>
    <xf numFmtId="165" fontId="0" fillId="0" borderId="20"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0" fillId="0" borderId="30" xfId="0" applyNumberFormat="1" applyBorder="1"/>
    <xf numFmtId="0" fontId="0" fillId="0" borderId="29" xfId="0" applyBorder="1" applyAlignment="1">
      <alignment horizontal="left" indent="1"/>
    </xf>
    <xf numFmtId="0" fontId="0" fillId="0" borderId="32" xfId="0" applyBorder="1" applyAlignment="1">
      <alignment horizontal="left" indent="1"/>
    </xf>
    <xf numFmtId="0" fontId="0" fillId="0" borderId="33" xfId="0" applyBorder="1" applyAlignment="1">
      <alignment horizontal="left"/>
    </xf>
    <xf numFmtId="0" fontId="0" fillId="0" borderId="34" xfId="0" applyBorder="1" applyAlignment="1">
      <alignment horizontal="left"/>
    </xf>
    <xf numFmtId="0" fontId="0" fillId="0" borderId="6" xfId="0" applyBorder="1"/>
    <xf numFmtId="0" fontId="0" fillId="3" borderId="0" xfId="0" applyFill="1"/>
    <xf numFmtId="0" fontId="7" fillId="0" borderId="1" xfId="0" applyFont="1" applyBorder="1"/>
    <xf numFmtId="0" fontId="7" fillId="0" borderId="1" xfId="0" applyFont="1" applyBorder="1" applyAlignment="1">
      <alignment wrapText="1"/>
    </xf>
    <xf numFmtId="167" fontId="19" fillId="0" borderId="1" xfId="0" applyNumberFormat="1" applyFont="1" applyBorder="1" applyAlignment="1">
      <alignment horizontal="right"/>
    </xf>
    <xf numFmtId="49" fontId="27" fillId="0" borderId="1" xfId="17" applyNumberFormat="1" applyFont="1" applyBorder="1" applyAlignment="1">
      <alignment horizontal="right" vertical="center" wrapText="1"/>
    </xf>
    <xf numFmtId="0" fontId="27" fillId="0" borderId="1" xfId="17" applyFont="1" applyBorder="1" applyAlignment="1">
      <alignment horizontal="left" vertical="center" wrapText="1"/>
    </xf>
    <xf numFmtId="0" fontId="27" fillId="0" borderId="1" xfId="17" applyFont="1" applyBorder="1" applyAlignment="1">
      <alignment horizontal="center" vertical="center" wrapText="1"/>
    </xf>
    <xf numFmtId="0" fontId="28" fillId="6" borderId="0" xfId="0" applyFont="1" applyFill="1"/>
    <xf numFmtId="0" fontId="0" fillId="6" borderId="0" xfId="0" applyFill="1"/>
    <xf numFmtId="0" fontId="19" fillId="0" borderId="0" xfId="0" applyFont="1" applyAlignment="1">
      <alignment vertical="top"/>
    </xf>
    <xf numFmtId="49" fontId="19" fillId="0" borderId="0" xfId="0" applyNumberFormat="1" applyFont="1" applyAlignment="1">
      <alignment horizontal="left" vertic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horizontal="right" vertical="center"/>
    </xf>
    <xf numFmtId="170" fontId="19" fillId="0" borderId="0" xfId="0" applyNumberFormat="1" applyFont="1" applyAlignment="1">
      <alignment horizontal="right" vertical="center"/>
    </xf>
    <xf numFmtId="49" fontId="19" fillId="0" borderId="0" xfId="0" applyNumberFormat="1" applyFont="1" applyAlignment="1">
      <alignment horizontal="right" vertical="top"/>
    </xf>
    <xf numFmtId="175" fontId="19" fillId="0" borderId="0" xfId="0" applyNumberFormat="1" applyFont="1" applyAlignment="1">
      <alignment vertical="center"/>
    </xf>
    <xf numFmtId="0" fontId="19" fillId="0" borderId="0" xfId="0" applyFont="1" applyAlignment="1">
      <alignment vertical="center"/>
    </xf>
    <xf numFmtId="49" fontId="20" fillId="0" borderId="11" xfId="0" applyNumberFormat="1" applyFont="1" applyBorder="1" applyAlignment="1">
      <alignment horizontal="center" vertical="center"/>
    </xf>
    <xf numFmtId="0" fontId="20" fillId="0" borderId="11" xfId="0" applyFont="1" applyBorder="1" applyAlignment="1">
      <alignment horizontal="center" vertical="center"/>
    </xf>
    <xf numFmtId="175" fontId="20" fillId="0" borderId="11" xfId="0" applyNumberFormat="1" applyFont="1" applyBorder="1" applyAlignment="1">
      <alignment horizontal="center" vertical="center" wrapText="1"/>
    </xf>
    <xf numFmtId="0" fontId="19" fillId="0" borderId="18" xfId="0" applyFont="1" applyBorder="1" applyAlignment="1">
      <alignment horizontal="right" vertical="center"/>
    </xf>
    <xf numFmtId="10" fontId="19" fillId="7" borderId="0" xfId="7" applyNumberFormat="1" applyFont="1" applyFill="1" applyBorder="1" applyAlignment="1" applyProtection="1">
      <alignment horizontal="center" vertical="top"/>
    </xf>
    <xf numFmtId="2" fontId="19" fillId="0" borderId="0" xfId="0" applyNumberFormat="1" applyFont="1" applyAlignment="1">
      <alignment vertical="top"/>
    </xf>
    <xf numFmtId="0" fontId="20" fillId="7" borderId="0" xfId="0" applyFont="1" applyFill="1" applyAlignment="1" applyProtection="1">
      <alignment horizontal="right" indent="1"/>
      <protection locked="0"/>
    </xf>
    <xf numFmtId="0" fontId="2" fillId="8" borderId="0" xfId="13" applyFont="1" applyFill="1" applyAlignment="1">
      <alignment horizontal="center" vertical="center"/>
    </xf>
    <xf numFmtId="0" fontId="29" fillId="8" borderId="0" xfId="13" applyFont="1" applyFill="1" applyAlignment="1">
      <alignment vertical="center"/>
    </xf>
    <xf numFmtId="0" fontId="2" fillId="8" borderId="0" xfId="13" applyFont="1" applyFill="1" applyAlignment="1">
      <alignment vertical="center"/>
    </xf>
    <xf numFmtId="0" fontId="30" fillId="8" borderId="0" xfId="13" applyFont="1" applyFill="1" applyAlignment="1">
      <alignment horizontal="center" vertical="center"/>
    </xf>
    <xf numFmtId="0" fontId="30" fillId="8" borderId="0" xfId="13" applyFont="1" applyFill="1" applyAlignment="1">
      <alignment vertical="center"/>
    </xf>
    <xf numFmtId="0" fontId="30" fillId="8" borderId="0" xfId="13" applyFont="1" applyFill="1" applyAlignment="1">
      <alignment vertical="center" wrapText="1"/>
    </xf>
    <xf numFmtId="0" fontId="30" fillId="8" borderId="0" xfId="13" applyFont="1" applyFill="1" applyAlignment="1">
      <alignment horizontal="right" vertical="center"/>
    </xf>
    <xf numFmtId="174" fontId="30" fillId="9" borderId="11" xfId="13" applyNumberFormat="1" applyFont="1" applyFill="1" applyBorder="1" applyAlignment="1">
      <alignment horizontal="center" vertical="center"/>
    </xf>
    <xf numFmtId="0" fontId="30" fillId="8" borderId="11" xfId="13" applyFont="1" applyFill="1" applyBorder="1" applyAlignment="1">
      <alignment vertical="center"/>
    </xf>
    <xf numFmtId="0" fontId="31" fillId="8" borderId="0" xfId="13" applyFont="1" applyFill="1" applyAlignment="1">
      <alignment vertical="center"/>
    </xf>
    <xf numFmtId="0" fontId="31" fillId="8" borderId="0" xfId="13" applyFont="1" applyFill="1" applyAlignment="1">
      <alignment horizontal="left" vertical="center"/>
    </xf>
    <xf numFmtId="0" fontId="31" fillId="9" borderId="15" xfId="13" applyFont="1" applyFill="1" applyBorder="1" applyAlignment="1">
      <alignment vertical="center"/>
    </xf>
    <xf numFmtId="0" fontId="31" fillId="8" borderId="11" xfId="13" applyFont="1" applyFill="1" applyBorder="1" applyAlignment="1">
      <alignment vertical="center"/>
    </xf>
    <xf numFmtId="0" fontId="30" fillId="10" borderId="11" xfId="13" applyFont="1" applyFill="1" applyBorder="1" applyAlignment="1">
      <alignment vertical="center"/>
    </xf>
    <xf numFmtId="174" fontId="30" fillId="8" borderId="11" xfId="13" applyNumberFormat="1" applyFont="1" applyFill="1" applyBorder="1" applyAlignment="1">
      <alignment vertical="center"/>
    </xf>
    <xf numFmtId="0" fontId="31" fillId="9" borderId="0" xfId="13" applyFont="1" applyFill="1" applyAlignment="1">
      <alignment vertical="center"/>
    </xf>
    <xf numFmtId="179" fontId="31" fillId="8" borderId="11" xfId="14" applyNumberFormat="1" applyFont="1" applyFill="1" applyBorder="1" applyAlignment="1">
      <alignment vertical="center"/>
    </xf>
    <xf numFmtId="171" fontId="31" fillId="8" borderId="11" xfId="13" applyNumberFormat="1" applyFont="1" applyFill="1" applyBorder="1" applyAlignment="1">
      <alignment vertical="center"/>
    </xf>
    <xf numFmtId="9" fontId="31" fillId="8" borderId="0" xfId="13" applyNumberFormat="1" applyFont="1" applyFill="1" applyAlignment="1">
      <alignment vertical="center"/>
    </xf>
    <xf numFmtId="0" fontId="30" fillId="8" borderId="0" xfId="13" applyFont="1" applyFill="1" applyAlignment="1">
      <alignment horizontal="left" vertical="center"/>
    </xf>
    <xf numFmtId="0" fontId="30" fillId="11" borderId="0" xfId="13" applyFont="1" applyFill="1" applyAlignment="1">
      <alignment horizontal="right" vertical="center"/>
    </xf>
    <xf numFmtId="1" fontId="31" fillId="11" borderId="11" xfId="13" applyNumberFormat="1" applyFont="1" applyFill="1" applyBorder="1" applyAlignment="1">
      <alignment vertical="center"/>
    </xf>
    <xf numFmtId="0" fontId="30" fillId="11" borderId="0" xfId="13" applyFont="1" applyFill="1" applyAlignment="1">
      <alignment vertical="center"/>
    </xf>
    <xf numFmtId="177" fontId="31" fillId="11" borderId="11" xfId="13" applyNumberFormat="1" applyFont="1" applyFill="1" applyBorder="1" applyAlignment="1">
      <alignment vertical="center"/>
    </xf>
    <xf numFmtId="0" fontId="30" fillId="8" borderId="11" xfId="13" applyFont="1" applyFill="1" applyBorder="1" applyAlignment="1">
      <alignment horizontal="center" vertical="center"/>
    </xf>
    <xf numFmtId="0" fontId="33" fillId="8" borderId="0" xfId="13" applyFont="1" applyFill="1" applyAlignment="1">
      <alignment vertical="center"/>
    </xf>
    <xf numFmtId="0" fontId="34" fillId="8" borderId="0" xfId="13" applyFont="1" applyFill="1" applyAlignment="1">
      <alignment vertical="center"/>
    </xf>
    <xf numFmtId="0" fontId="31" fillId="8" borderId="14" xfId="13" applyFont="1" applyFill="1" applyBorder="1" applyAlignment="1">
      <alignment horizontal="center" vertical="center" wrapText="1"/>
    </xf>
    <xf numFmtId="0" fontId="31" fillId="8" borderId="11" xfId="13" applyFont="1" applyFill="1" applyBorder="1" applyAlignment="1">
      <alignment horizontal="center" vertical="center" wrapText="1"/>
    </xf>
    <xf numFmtId="0" fontId="30" fillId="8" borderId="12" xfId="13" applyFont="1" applyFill="1" applyBorder="1" applyAlignment="1">
      <alignment vertical="center" wrapText="1"/>
    </xf>
    <xf numFmtId="170" fontId="30" fillId="12" borderId="11" xfId="13" applyNumberFormat="1" applyFont="1" applyFill="1" applyBorder="1" applyAlignment="1">
      <alignment horizontal="center" vertical="center" shrinkToFit="1"/>
    </xf>
    <xf numFmtId="171" fontId="30" fillId="12" borderId="14" xfId="13" applyNumberFormat="1" applyFont="1" applyFill="1" applyBorder="1" applyAlignment="1">
      <alignment horizontal="center" vertical="center"/>
    </xf>
    <xf numFmtId="170" fontId="30" fillId="8" borderId="14" xfId="13" applyNumberFormat="1" applyFont="1" applyFill="1" applyBorder="1" applyAlignment="1">
      <alignment horizontal="center" vertical="center" shrinkToFit="1"/>
    </xf>
    <xf numFmtId="1" fontId="30" fillId="12" borderId="11" xfId="13" applyNumberFormat="1" applyFont="1" applyFill="1" applyBorder="1" applyAlignment="1">
      <alignment horizontal="center" vertical="center" shrinkToFit="1"/>
    </xf>
    <xf numFmtId="0" fontId="30" fillId="8" borderId="11" xfId="13" applyFont="1" applyFill="1" applyBorder="1" applyAlignment="1">
      <alignment horizontal="center" vertical="center" shrinkToFit="1"/>
    </xf>
    <xf numFmtId="1" fontId="30" fillId="8" borderId="14" xfId="13" applyNumberFormat="1" applyFont="1" applyFill="1" applyBorder="1" applyAlignment="1">
      <alignment horizontal="center" vertical="center" shrinkToFit="1"/>
    </xf>
    <xf numFmtId="0" fontId="30" fillId="12" borderId="11" xfId="13" applyFont="1" applyFill="1" applyBorder="1" applyAlignment="1">
      <alignment horizontal="center" vertical="center"/>
    </xf>
    <xf numFmtId="170" fontId="30" fillId="8" borderId="11" xfId="13" applyNumberFormat="1" applyFont="1" applyFill="1" applyBorder="1" applyAlignment="1">
      <alignment horizontal="center" vertical="center" shrinkToFit="1"/>
    </xf>
    <xf numFmtId="9" fontId="30" fillId="8" borderId="14" xfId="13" applyNumberFormat="1" applyFont="1" applyFill="1" applyBorder="1" applyAlignment="1">
      <alignment horizontal="center" vertical="center"/>
    </xf>
    <xf numFmtId="1" fontId="30" fillId="8" borderId="11" xfId="13" applyNumberFormat="1" applyFont="1" applyFill="1" applyBorder="1" applyAlignment="1">
      <alignment horizontal="center" vertical="center" shrinkToFit="1"/>
    </xf>
    <xf numFmtId="0" fontId="31" fillId="8" borderId="12" xfId="13" applyFont="1" applyFill="1" applyBorder="1" applyAlignment="1">
      <alignment vertical="center"/>
    </xf>
    <xf numFmtId="170" fontId="31" fillId="8" borderId="11" xfId="13" applyNumberFormat="1" applyFont="1" applyFill="1" applyBorder="1" applyAlignment="1">
      <alignment horizontal="center" vertical="center" shrinkToFit="1"/>
    </xf>
    <xf numFmtId="9" fontId="31" fillId="8" borderId="18" xfId="13" applyNumberFormat="1" applyFont="1" applyFill="1" applyBorder="1" applyAlignment="1">
      <alignment horizontal="center" vertical="center" shrinkToFit="1"/>
    </xf>
    <xf numFmtId="1" fontId="31" fillId="8" borderId="11" xfId="13" applyNumberFormat="1" applyFont="1" applyFill="1" applyBorder="1" applyAlignment="1">
      <alignment horizontal="center" vertical="center" shrinkToFit="1"/>
    </xf>
    <xf numFmtId="0" fontId="31" fillId="8" borderId="11" xfId="13" applyFont="1" applyFill="1" applyBorder="1" applyAlignment="1">
      <alignment horizontal="center" vertical="center" shrinkToFit="1"/>
    </xf>
    <xf numFmtId="3" fontId="31" fillId="8" borderId="11" xfId="13" applyNumberFormat="1" applyFont="1" applyFill="1" applyBorder="1" applyAlignment="1">
      <alignment horizontal="center" vertical="center" shrinkToFit="1"/>
    </xf>
    <xf numFmtId="0" fontId="31" fillId="8" borderId="11" xfId="13" applyFont="1" applyFill="1" applyBorder="1" applyAlignment="1">
      <alignment horizontal="center" vertical="center"/>
    </xf>
    <xf numFmtId="0" fontId="26" fillId="8" borderId="0" xfId="13" applyFont="1" applyFill="1" applyAlignment="1">
      <alignment vertical="center"/>
    </xf>
    <xf numFmtId="0" fontId="35" fillId="8" borderId="0" xfId="13" applyFont="1" applyFill="1" applyAlignment="1">
      <alignment vertical="center"/>
    </xf>
    <xf numFmtId="39" fontId="2" fillId="8" borderId="0" xfId="13" applyNumberFormat="1" applyFont="1" applyFill="1" applyAlignment="1">
      <alignment vertical="center"/>
    </xf>
    <xf numFmtId="0" fontId="0" fillId="0" borderId="0" xfId="0" applyAlignment="1">
      <alignment vertical="center" wrapText="1"/>
    </xf>
    <xf numFmtId="0" fontId="8"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vertical="center"/>
    </xf>
    <xf numFmtId="0" fontId="0" fillId="0" borderId="0" xfId="0" applyAlignment="1">
      <alignment horizontal="left" vertical="center" wrapText="1" indent="1"/>
    </xf>
    <xf numFmtId="0" fontId="8" fillId="0" borderId="0" xfId="0" applyFont="1" applyAlignment="1">
      <alignment horizontal="right" vertical="center"/>
    </xf>
    <xf numFmtId="0" fontId="8" fillId="0" borderId="0" xfId="0" applyFont="1" applyAlignment="1">
      <alignment horizontal="left" vertical="top"/>
    </xf>
    <xf numFmtId="49" fontId="8" fillId="0" borderId="0" xfId="0" applyNumberFormat="1" applyFont="1" applyAlignment="1">
      <alignment horizontal="left" vertical="top"/>
    </xf>
    <xf numFmtId="0" fontId="7" fillId="0" borderId="0" xfId="0" applyFont="1" applyAlignment="1">
      <alignment horizontal="left" vertical="center" indent="1"/>
    </xf>
    <xf numFmtId="0" fontId="7" fillId="0" borderId="0" xfId="0" applyFont="1" applyAlignment="1">
      <alignment horizontal="right" vertical="center"/>
    </xf>
    <xf numFmtId="180" fontId="7" fillId="0" borderId="11" xfId="0" applyNumberFormat="1" applyFont="1" applyBorder="1" applyAlignment="1">
      <alignment horizontal="center" vertical="center" wrapText="1"/>
    </xf>
    <xf numFmtId="0" fontId="8" fillId="0" borderId="0" xfId="0" applyFont="1" applyAlignment="1">
      <alignment vertical="center"/>
    </xf>
    <xf numFmtId="0" fontId="8" fillId="0" borderId="0" xfId="0" applyFont="1" applyAlignment="1">
      <alignment horizontal="center" vertical="center" wrapText="1"/>
    </xf>
    <xf numFmtId="0" fontId="20" fillId="0" borderId="36" xfId="0" applyFont="1" applyBorder="1" applyAlignment="1">
      <alignment horizontal="center" vertical="center" wrapText="1"/>
    </xf>
    <xf numFmtId="0" fontId="20" fillId="0" borderId="37" xfId="0" applyFont="1" applyBorder="1" applyAlignment="1">
      <alignment horizontal="center" vertical="center" wrapText="1"/>
    </xf>
    <xf numFmtId="44" fontId="20" fillId="0" borderId="38" xfId="3" applyNumberFormat="1" applyFont="1" applyBorder="1" applyAlignment="1" applyProtection="1">
      <alignment horizontal="center" vertical="center" wrapText="1"/>
      <protection locked="0"/>
    </xf>
    <xf numFmtId="44" fontId="20" fillId="0" borderId="36" xfId="3" applyNumberFormat="1" applyFont="1" applyBorder="1" applyAlignment="1" applyProtection="1">
      <alignment horizontal="center" vertical="center" wrapText="1"/>
      <protection locked="0"/>
    </xf>
    <xf numFmtId="44" fontId="20" fillId="0" borderId="39" xfId="3" applyNumberFormat="1" applyFont="1" applyBorder="1" applyAlignment="1" applyProtection="1">
      <alignment horizontal="center" vertical="center" wrapText="1"/>
      <protection locked="0"/>
    </xf>
    <xf numFmtId="181" fontId="20" fillId="0" borderId="38" xfId="3" applyNumberFormat="1" applyFont="1" applyBorder="1" applyAlignment="1" applyProtection="1">
      <alignment horizontal="center" vertical="center" wrapText="1"/>
      <protection locked="0"/>
    </xf>
    <xf numFmtId="0" fontId="8" fillId="0" borderId="0" xfId="0" applyFont="1" applyAlignment="1">
      <alignment horizontal="left" vertical="center" wrapText="1" indent="1"/>
    </xf>
    <xf numFmtId="44" fontId="20" fillId="0" borderId="40" xfId="3" applyNumberFormat="1" applyFont="1" applyBorder="1" applyAlignment="1" applyProtection="1">
      <alignment horizontal="center" vertical="center" wrapText="1"/>
      <protection locked="0"/>
    </xf>
    <xf numFmtId="181" fontId="20" fillId="0" borderId="36" xfId="3" applyNumberFormat="1" applyFont="1" applyBorder="1" applyAlignment="1" applyProtection="1">
      <alignment horizontal="center" vertical="center" wrapText="1"/>
      <protection locked="0"/>
    </xf>
    <xf numFmtId="0" fontId="8" fillId="0" borderId="11" xfId="0" applyFont="1" applyBorder="1" applyAlignment="1">
      <alignment horizontal="center" vertical="center" wrapText="1"/>
    </xf>
    <xf numFmtId="182" fontId="8" fillId="0" borderId="0" xfId="0" applyNumberFormat="1" applyFont="1" applyAlignment="1">
      <alignment horizontal="center" vertical="center" wrapText="1"/>
    </xf>
    <xf numFmtId="183" fontId="19" fillId="3" borderId="41" xfId="3" applyNumberFormat="1" applyFont="1" applyFill="1" applyBorder="1" applyAlignment="1">
      <alignment horizontal="center" vertical="center" wrapText="1"/>
    </xf>
    <xf numFmtId="175" fontId="19" fillId="0" borderId="5" xfId="3" applyNumberFormat="1" applyFont="1" applyBorder="1" applyAlignment="1">
      <alignment horizontal="right" vertical="center" wrapText="1"/>
    </xf>
    <xf numFmtId="181" fontId="19" fillId="0" borderId="42" xfId="3" applyNumberFormat="1" applyFont="1" applyBorder="1" applyAlignment="1">
      <alignment horizontal="right" vertical="center" wrapText="1"/>
    </xf>
    <xf numFmtId="10" fontId="0" fillId="0" borderId="0" xfId="0" applyNumberFormat="1" applyAlignment="1">
      <alignment horizontal="left" vertical="center" wrapText="1" indent="1"/>
    </xf>
    <xf numFmtId="175" fontId="19" fillId="0" borderId="43" xfId="3" applyNumberFormat="1" applyFont="1" applyBorder="1" applyAlignment="1">
      <alignment horizontal="right" vertical="center" wrapText="1"/>
    </xf>
    <xf numFmtId="181" fontId="19" fillId="0" borderId="41" xfId="3" applyNumberFormat="1" applyFont="1" applyBorder="1" applyAlignment="1">
      <alignment horizontal="right" vertical="center" wrapText="1"/>
    </xf>
    <xf numFmtId="181" fontId="7" fillId="0" borderId="0" xfId="0" applyNumberFormat="1" applyFont="1" applyAlignment="1">
      <alignment vertical="center" wrapText="1"/>
    </xf>
    <xf numFmtId="175" fontId="0" fillId="0" borderId="19" xfId="0" applyNumberFormat="1" applyBorder="1" applyAlignment="1">
      <alignment horizontal="center" vertical="center" wrapText="1"/>
    </xf>
    <xf numFmtId="0" fontId="19" fillId="0" borderId="44" xfId="0" applyFont="1" applyBorder="1" applyAlignment="1">
      <alignment horizontal="center" vertical="center" wrapText="1"/>
    </xf>
    <xf numFmtId="0" fontId="19" fillId="0" borderId="11" xfId="0" applyFont="1" applyBorder="1" applyAlignment="1">
      <alignment horizontal="left" vertical="center" wrapText="1"/>
    </xf>
    <xf numFmtId="175" fontId="19" fillId="0" borderId="45" xfId="3" applyNumberFormat="1" applyFont="1" applyBorder="1" applyAlignment="1">
      <alignment horizontal="right" vertical="center" wrapText="1"/>
    </xf>
    <xf numFmtId="183" fontId="19" fillId="3" borderId="44" xfId="3" applyNumberFormat="1" applyFont="1" applyFill="1" applyBorder="1" applyAlignment="1">
      <alignment horizontal="center" vertical="center" wrapText="1"/>
    </xf>
    <xf numFmtId="175" fontId="19" fillId="0" borderId="12" xfId="3" applyNumberFormat="1" applyFont="1" applyBorder="1" applyAlignment="1">
      <alignment horizontal="right" vertical="center" wrapText="1"/>
    </xf>
    <xf numFmtId="181" fontId="19" fillId="0" borderId="45" xfId="3" applyNumberFormat="1" applyFont="1" applyBorder="1" applyAlignment="1">
      <alignment horizontal="right" vertical="center" wrapText="1"/>
    </xf>
    <xf numFmtId="175" fontId="19" fillId="0" borderId="45" xfId="3" applyNumberFormat="1" applyFont="1" applyFill="1" applyBorder="1" applyAlignment="1">
      <alignment horizontal="right" vertical="center" wrapText="1"/>
    </xf>
    <xf numFmtId="10" fontId="7" fillId="0" borderId="0" xfId="0" applyNumberFormat="1" applyFont="1" applyAlignment="1">
      <alignment horizontal="left" vertical="center" wrapText="1" indent="1"/>
    </xf>
    <xf numFmtId="183" fontId="19" fillId="0" borderId="44" xfId="3" applyNumberFormat="1" applyFont="1" applyBorder="1" applyAlignment="1">
      <alignment horizontal="center" vertical="center" wrapText="1"/>
    </xf>
    <xf numFmtId="184" fontId="0" fillId="3" borderId="11" xfId="0" applyNumberFormat="1" applyFill="1" applyBorder="1" applyAlignment="1">
      <alignment horizontal="center" vertical="center" wrapText="1"/>
    </xf>
    <xf numFmtId="175" fontId="19" fillId="0" borderId="47" xfId="3" applyNumberFormat="1" applyFont="1" applyBorder="1" applyAlignment="1">
      <alignment horizontal="right" vertical="center" wrapText="1"/>
    </xf>
    <xf numFmtId="183" fontId="19" fillId="0" borderId="48" xfId="3" applyNumberFormat="1" applyFont="1" applyBorder="1" applyAlignment="1">
      <alignment horizontal="center" vertical="center" wrapText="1"/>
    </xf>
    <xf numFmtId="175" fontId="19" fillId="0" borderId="8" xfId="3" applyNumberFormat="1" applyFont="1" applyBorder="1" applyAlignment="1">
      <alignment horizontal="right" vertical="center" wrapText="1"/>
    </xf>
    <xf numFmtId="181" fontId="19" fillId="0" borderId="47" xfId="3" applyNumberFormat="1" applyFont="1" applyBorder="1" applyAlignment="1">
      <alignment horizontal="right" vertical="center" wrapText="1"/>
    </xf>
    <xf numFmtId="175" fontId="20" fillId="0" borderId="38" xfId="3" applyNumberFormat="1" applyFont="1" applyBorder="1" applyAlignment="1">
      <alignment horizontal="right" vertical="center" wrapText="1"/>
    </xf>
    <xf numFmtId="183" fontId="20" fillId="0" borderId="36" xfId="3" applyNumberFormat="1" applyFont="1" applyBorder="1" applyAlignment="1">
      <alignment horizontal="center" vertical="center" wrapText="1"/>
    </xf>
    <xf numFmtId="39" fontId="20" fillId="0" borderId="39" xfId="3" applyNumberFormat="1" applyFont="1" applyBorder="1" applyAlignment="1">
      <alignment horizontal="right" vertical="center" wrapText="1"/>
    </xf>
    <xf numFmtId="185" fontId="20" fillId="0" borderId="38" xfId="3" applyNumberFormat="1" applyFont="1" applyBorder="1" applyAlignment="1">
      <alignment horizontal="right" vertical="center" wrapText="1"/>
    </xf>
    <xf numFmtId="175" fontId="20" fillId="0" borderId="40" xfId="3" applyNumberFormat="1" applyFont="1" applyBorder="1" applyAlignment="1">
      <alignment horizontal="right" vertical="center" wrapText="1"/>
    </xf>
    <xf numFmtId="181" fontId="20" fillId="0" borderId="36" xfId="3" applyNumberFormat="1" applyFont="1" applyFill="1" applyBorder="1" applyAlignment="1">
      <alignment horizontal="right" vertical="center" wrapText="1"/>
    </xf>
    <xf numFmtId="185" fontId="20" fillId="14" borderId="38" xfId="3" applyNumberFormat="1" applyFont="1" applyFill="1" applyBorder="1" applyAlignment="1">
      <alignment horizontal="right" vertical="center" wrapText="1"/>
    </xf>
    <xf numFmtId="10" fontId="8" fillId="0" borderId="0" xfId="0" applyNumberFormat="1" applyFont="1"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169" fontId="15" fillId="0" borderId="0" xfId="1" applyFont="1" applyAlignment="1">
      <alignment vertical="center" wrapText="1"/>
    </xf>
    <xf numFmtId="183" fontId="15" fillId="0" borderId="0" xfId="1" applyNumberFormat="1" applyFont="1" applyAlignment="1">
      <alignment vertical="center" wrapText="1"/>
    </xf>
    <xf numFmtId="0" fontId="8" fillId="0" borderId="12" xfId="0" applyFont="1" applyBorder="1" applyAlignment="1">
      <alignment horizontal="left" vertical="center" indent="1"/>
    </xf>
    <xf numFmtId="0" fontId="8" fillId="0" borderId="18" xfId="0" applyFont="1" applyBorder="1" applyAlignment="1">
      <alignment horizontal="left" vertical="center" indent="1"/>
    </xf>
    <xf numFmtId="44" fontId="8" fillId="0" borderId="11" xfId="3" applyNumberFormat="1" applyFont="1" applyBorder="1" applyAlignment="1">
      <alignment vertical="center" wrapText="1"/>
    </xf>
    <xf numFmtId="183" fontId="8" fillId="0" borderId="11" xfId="7" applyNumberFormat="1" applyFont="1" applyBorder="1" applyAlignment="1">
      <alignment horizontal="center" vertical="center" wrapText="1"/>
    </xf>
    <xf numFmtId="0" fontId="8" fillId="0" borderId="0" xfId="0" applyFont="1" applyAlignment="1">
      <alignment vertical="center" wrapText="1"/>
    </xf>
    <xf numFmtId="171" fontId="8" fillId="0" borderId="11" xfId="7" applyNumberFormat="1" applyFont="1" applyBorder="1" applyAlignment="1">
      <alignment horizontal="center" vertical="center" wrapText="1"/>
    </xf>
    <xf numFmtId="0" fontId="7" fillId="0" borderId="12" xfId="0" applyFont="1" applyBorder="1" applyAlignment="1">
      <alignment horizontal="left" vertical="center" indent="1"/>
    </xf>
    <xf numFmtId="0" fontId="7" fillId="0" borderId="18" xfId="0" applyFont="1" applyBorder="1" applyAlignment="1">
      <alignment horizontal="left" vertical="center" indent="1"/>
    </xf>
    <xf numFmtId="44" fontId="0" fillId="0" borderId="11" xfId="3" applyNumberFormat="1" applyFont="1" applyBorder="1" applyAlignment="1">
      <alignment vertical="center" wrapText="1"/>
    </xf>
    <xf numFmtId="183" fontId="7" fillId="0" borderId="11" xfId="7" applyNumberFormat="1" applyBorder="1" applyAlignment="1">
      <alignment horizontal="center" vertical="center" wrapText="1"/>
    </xf>
    <xf numFmtId="44" fontId="7" fillId="0" borderId="11" xfId="3" applyNumberFormat="1" applyBorder="1" applyAlignment="1">
      <alignment vertical="center" wrapText="1"/>
    </xf>
    <xf numFmtId="171" fontId="7" fillId="0" borderId="11" xfId="7" applyNumberFormat="1" applyBorder="1" applyAlignment="1">
      <alignment horizontal="center" vertical="center" wrapText="1"/>
    </xf>
    <xf numFmtId="0" fontId="36" fillId="0" borderId="0" xfId="0" applyFont="1" applyAlignment="1">
      <alignment horizontal="center" vertical="center"/>
    </xf>
    <xf numFmtId="39" fontId="19" fillId="0" borderId="45" xfId="3" applyNumberFormat="1" applyFont="1" applyBorder="1" applyAlignment="1">
      <alignment horizontal="right" vertical="center" wrapText="1"/>
    </xf>
    <xf numFmtId="171" fontId="19" fillId="3" borderId="44" xfId="3" applyNumberFormat="1" applyFont="1" applyFill="1" applyBorder="1" applyAlignment="1">
      <alignment horizontal="center" vertical="center" wrapText="1"/>
    </xf>
    <xf numFmtId="10" fontId="0" fillId="0" borderId="0" xfId="0" applyNumberFormat="1" applyAlignment="1">
      <alignment vertical="center" wrapText="1"/>
    </xf>
    <xf numFmtId="10" fontId="0" fillId="0" borderId="0" xfId="0" applyNumberFormat="1" applyAlignment="1">
      <alignment horizontal="left" vertical="center" indent="1"/>
    </xf>
    <xf numFmtId="10" fontId="0" fillId="2" borderId="0" xfId="0" applyNumberFormat="1" applyFill="1" applyAlignment="1">
      <alignment vertical="center" wrapText="1"/>
    </xf>
    <xf numFmtId="10" fontId="7" fillId="0" borderId="0" xfId="0" applyNumberFormat="1" applyFont="1" applyAlignment="1">
      <alignment horizontal="left" vertical="center" indent="1"/>
    </xf>
    <xf numFmtId="0" fontId="19" fillId="0" borderId="1" xfId="0" applyFont="1" applyBorder="1" applyAlignment="1">
      <alignment horizontal="left" vertical="top" wrapText="1"/>
    </xf>
    <xf numFmtId="0" fontId="37" fillId="0" borderId="1" xfId="0" applyFont="1" applyBorder="1" applyAlignment="1">
      <alignment horizontal="left" vertical="top" wrapText="1"/>
    </xf>
    <xf numFmtId="169" fontId="27" fillId="0" borderId="1" xfId="1" applyFont="1" applyBorder="1" applyAlignment="1">
      <alignment vertical="center" wrapText="1"/>
    </xf>
    <xf numFmtId="170" fontId="27" fillId="0" borderId="1" xfId="3" applyNumberFormat="1" applyFont="1" applyBorder="1" applyAlignment="1">
      <alignment horizontal="right" wrapText="1"/>
    </xf>
    <xf numFmtId="0" fontId="19" fillId="0" borderId="1" xfId="0" applyFont="1" applyBorder="1" applyAlignment="1">
      <alignment horizontal="center" wrapText="1"/>
    </xf>
    <xf numFmtId="0" fontId="37" fillId="0" borderId="1" xfId="0" applyFont="1" applyBorder="1" applyAlignment="1">
      <alignment horizontal="center" wrapText="1"/>
    </xf>
    <xf numFmtId="170" fontId="27" fillId="0" borderId="1" xfId="3" applyNumberFormat="1" applyFont="1" applyBorder="1" applyAlignment="1">
      <alignment horizontal="right" vertical="center" wrapText="1"/>
    </xf>
    <xf numFmtId="3" fontId="27" fillId="0" borderId="1" xfId="1" applyNumberFormat="1" applyFont="1" applyBorder="1" applyAlignment="1">
      <alignment horizontal="center" wrapText="1"/>
    </xf>
    <xf numFmtId="0" fontId="27" fillId="0" borderId="1" xfId="17" applyFont="1" applyBorder="1" applyAlignment="1">
      <alignment horizontal="center" wrapText="1"/>
    </xf>
    <xf numFmtId="49" fontId="27" fillId="0" borderId="1" xfId="17" applyNumberFormat="1" applyFont="1" applyBorder="1" applyAlignment="1">
      <alignment horizontal="right" vertical="top" wrapText="1"/>
    </xf>
    <xf numFmtId="0" fontId="37" fillId="0" borderId="1" xfId="17" applyFont="1" applyBorder="1" applyAlignment="1">
      <alignment horizontal="left" vertical="center" wrapText="1"/>
    </xf>
    <xf numFmtId="178" fontId="19" fillId="0" borderId="1" xfId="1" applyNumberFormat="1" applyFont="1" applyBorder="1" applyAlignment="1">
      <alignment horizontal="center" vertical="center" wrapText="1"/>
    </xf>
    <xf numFmtId="0" fontId="20" fillId="0" borderId="18" xfId="0" applyFont="1" applyBorder="1" applyAlignment="1">
      <alignment horizontal="center" vertical="center"/>
    </xf>
    <xf numFmtId="175" fontId="19" fillId="0" borderId="1" xfId="3" applyNumberFormat="1" applyFont="1" applyBorder="1" applyAlignment="1">
      <alignment wrapText="1"/>
    </xf>
    <xf numFmtId="175" fontId="19" fillId="0" borderId="1" xfId="1" applyNumberFormat="1" applyFont="1" applyBorder="1" applyAlignment="1">
      <alignment wrapText="1"/>
    </xf>
    <xf numFmtId="171" fontId="19" fillId="0" borderId="1" xfId="1" applyNumberFormat="1" applyFont="1" applyBorder="1" applyAlignment="1">
      <alignment wrapText="1"/>
    </xf>
    <xf numFmtId="175" fontId="19" fillId="0" borderId="1" xfId="0" applyNumberFormat="1" applyFont="1" applyBorder="1"/>
    <xf numFmtId="0" fontId="7" fillId="0" borderId="2" xfId="17" applyBorder="1" applyAlignment="1">
      <alignment vertical="center"/>
    </xf>
    <xf numFmtId="0" fontId="7" fillId="0" borderId="5" xfId="17" applyBorder="1" applyAlignment="1">
      <alignment vertical="center"/>
    </xf>
    <xf numFmtId="0" fontId="7" fillId="0" borderId="14" xfId="17" applyBorder="1" applyAlignment="1">
      <alignment vertical="center"/>
    </xf>
    <xf numFmtId="175" fontId="20" fillId="0" borderId="11" xfId="1" applyNumberFormat="1" applyFont="1" applyBorder="1" applyAlignment="1">
      <alignment vertical="center" wrapText="1"/>
    </xf>
    <xf numFmtId="171" fontId="19" fillId="0" borderId="11" xfId="0" applyNumberFormat="1" applyFont="1" applyBorder="1" applyAlignment="1">
      <alignment vertical="center"/>
    </xf>
    <xf numFmtId="0" fontId="8" fillId="0" borderId="11" xfId="17" applyFont="1" applyBorder="1" applyAlignment="1">
      <alignment horizontal="center" vertical="center"/>
    </xf>
    <xf numFmtId="175" fontId="19" fillId="0" borderId="11" xfId="3" applyNumberFormat="1" applyFont="1" applyBorder="1" applyAlignment="1">
      <alignment wrapText="1"/>
    </xf>
    <xf numFmtId="171" fontId="19" fillId="0" borderId="11" xfId="1" applyNumberFormat="1" applyFont="1" applyBorder="1" applyAlignment="1">
      <alignment wrapText="1"/>
    </xf>
    <xf numFmtId="174" fontId="7" fillId="0" borderId="1" xfId="17" applyNumberFormat="1" applyBorder="1" applyAlignment="1">
      <alignment wrapText="1"/>
    </xf>
    <xf numFmtId="174" fontId="7" fillId="0" borderId="1" xfId="1" applyNumberFormat="1" applyFont="1" applyBorder="1" applyAlignment="1">
      <alignment horizontal="center" vertical="center" wrapText="1"/>
    </xf>
    <xf numFmtId="174" fontId="7" fillId="0" borderId="1" xfId="17" applyNumberFormat="1" applyBorder="1" applyAlignment="1">
      <alignment vertical="center"/>
    </xf>
    <xf numFmtId="174" fontId="7" fillId="0" borderId="1" xfId="1" applyNumberFormat="1" applyFont="1" applyBorder="1" applyAlignment="1">
      <alignment vertical="center" wrapText="1"/>
    </xf>
    <xf numFmtId="174" fontId="7" fillId="0" borderId="1" xfId="1" applyNumberFormat="1" applyFont="1" applyFill="1" applyBorder="1" applyAlignment="1">
      <alignment vertical="center" wrapText="1"/>
    </xf>
    <xf numFmtId="0" fontId="7" fillId="0" borderId="11" xfId="17" applyBorder="1" applyAlignment="1">
      <alignment horizontal="center" vertical="center"/>
    </xf>
    <xf numFmtId="174" fontId="19" fillId="0" borderId="0" xfId="0" applyNumberFormat="1" applyFont="1" applyAlignment="1">
      <alignment vertical="center"/>
    </xf>
    <xf numFmtId="174" fontId="20" fillId="0" borderId="11" xfId="1" applyNumberFormat="1" applyFont="1" applyBorder="1" applyAlignment="1">
      <alignment vertical="center" wrapText="1"/>
    </xf>
    <xf numFmtId="174" fontId="20" fillId="0" borderId="11" xfId="1" applyNumberFormat="1" applyFont="1" applyBorder="1" applyAlignment="1">
      <alignment wrapText="1"/>
    </xf>
    <xf numFmtId="174" fontId="19" fillId="0" borderId="1" xfId="1" applyNumberFormat="1" applyFont="1" applyBorder="1" applyAlignment="1">
      <alignment wrapText="1"/>
    </xf>
    <xf numFmtId="174" fontId="7" fillId="0" borderId="1" xfId="17" applyNumberFormat="1" applyBorder="1"/>
    <xf numFmtId="174" fontId="7" fillId="0" borderId="1" xfId="1" applyNumberFormat="1" applyFont="1" applyBorder="1" applyAlignment="1">
      <alignment wrapText="1"/>
    </xf>
    <xf numFmtId="174" fontId="7" fillId="0" borderId="1" xfId="7" applyNumberFormat="1" applyFont="1" applyBorder="1" applyAlignment="1">
      <alignment wrapText="1"/>
    </xf>
    <xf numFmtId="174" fontId="7" fillId="0" borderId="1" xfId="1" applyNumberFormat="1" applyFont="1" applyFill="1" applyBorder="1" applyAlignment="1">
      <alignment wrapText="1"/>
    </xf>
    <xf numFmtId="10" fontId="7" fillId="0" borderId="1" xfId="1" applyNumberFormat="1" applyFont="1" applyBorder="1" applyAlignment="1">
      <alignment wrapText="1"/>
    </xf>
    <xf numFmtId="0" fontId="19" fillId="0" borderId="1" xfId="17" applyFont="1" applyBorder="1" applyAlignment="1">
      <alignment horizontal="right" vertical="center"/>
    </xf>
    <xf numFmtId="0" fontId="20" fillId="0" borderId="0" xfId="0" applyFont="1" applyAlignment="1">
      <alignment horizontal="center" vertical="center"/>
    </xf>
    <xf numFmtId="0" fontId="38" fillId="0" borderId="0" xfId="0" applyFont="1" applyAlignment="1">
      <alignment horizontal="center" vertical="center" wrapText="1"/>
    </xf>
    <xf numFmtId="169" fontId="38" fillId="0" borderId="0" xfId="1" applyFont="1" applyAlignment="1">
      <alignment horizontal="center" vertical="center" wrapText="1"/>
    </xf>
    <xf numFmtId="3" fontId="19" fillId="0" borderId="0" xfId="0" applyNumberFormat="1" applyFont="1" applyAlignment="1">
      <alignment horizontal="center"/>
    </xf>
    <xf numFmtId="3" fontId="37" fillId="0" borderId="0" xfId="0" applyNumberFormat="1" applyFont="1" applyAlignment="1">
      <alignment horizontal="center"/>
    </xf>
    <xf numFmtId="177" fontId="38" fillId="0" borderId="0" xfId="0" applyNumberFormat="1" applyFont="1" applyAlignment="1">
      <alignment horizontal="center" vertical="center" wrapText="1"/>
    </xf>
    <xf numFmtId="186" fontId="19" fillId="0" borderId="0" xfId="0" applyNumberFormat="1" applyFont="1" applyAlignment="1">
      <alignment horizontal="center" vertical="center"/>
    </xf>
    <xf numFmtId="178" fontId="19" fillId="0" borderId="0" xfId="0" applyNumberFormat="1" applyFont="1" applyAlignment="1">
      <alignment horizontal="center"/>
    </xf>
    <xf numFmtId="178" fontId="37" fillId="0" borderId="0" xfId="0" applyNumberFormat="1" applyFont="1" applyAlignment="1">
      <alignment horizontal="center"/>
    </xf>
    <xf numFmtId="186" fontId="19" fillId="0" borderId="0" xfId="0" applyNumberFormat="1" applyFont="1" applyAlignment="1">
      <alignment horizontal="center"/>
    </xf>
    <xf numFmtId="187" fontId="19" fillId="0" borderId="0" xfId="0" applyNumberFormat="1" applyFont="1" applyAlignment="1">
      <alignment horizontal="center"/>
    </xf>
    <xf numFmtId="188" fontId="19" fillId="0" borderId="0" xfId="0" applyNumberFormat="1" applyFont="1" applyAlignment="1">
      <alignment horizontal="center"/>
    </xf>
    <xf numFmtId="188" fontId="37" fillId="0" borderId="0" xfId="0" applyNumberFormat="1" applyFont="1" applyAlignment="1">
      <alignment horizontal="center"/>
    </xf>
    <xf numFmtId="189" fontId="19" fillId="0" borderId="0" xfId="0" applyNumberFormat="1" applyFont="1" applyAlignment="1">
      <alignment horizontal="center"/>
    </xf>
    <xf numFmtId="3" fontId="19" fillId="0" borderId="0" xfId="0" applyNumberFormat="1" applyFont="1"/>
    <xf numFmtId="0" fontId="19" fillId="0" borderId="0" xfId="0" applyFont="1" applyAlignment="1">
      <alignment horizontal="left"/>
    </xf>
    <xf numFmtId="178" fontId="7" fillId="0" borderId="1" xfId="17" applyNumberFormat="1" applyBorder="1" applyAlignment="1">
      <alignment horizontal="center" wrapText="1"/>
    </xf>
    <xf numFmtId="0" fontId="38" fillId="0" borderId="0" xfId="0" applyFont="1" applyAlignment="1">
      <alignment vertical="center" wrapText="1"/>
    </xf>
    <xf numFmtId="167" fontId="19" fillId="0" borderId="0" xfId="0" applyNumberFormat="1" applyFont="1" applyAlignment="1">
      <alignment horizontal="center" vertical="center"/>
    </xf>
    <xf numFmtId="177" fontId="19" fillId="0" borderId="0" xfId="0" applyNumberFormat="1" applyFont="1" applyAlignment="1">
      <alignment horizontal="center"/>
    </xf>
    <xf numFmtId="0" fontId="19" fillId="15" borderId="0" xfId="0" applyFont="1" applyFill="1" applyAlignment="1">
      <alignment horizontal="center" vertical="center"/>
    </xf>
    <xf numFmtId="3" fontId="19" fillId="2" borderId="0" xfId="0" applyNumberFormat="1" applyFont="1" applyFill="1" applyAlignment="1">
      <alignment horizontal="center"/>
    </xf>
    <xf numFmtId="2" fontId="20" fillId="0" borderId="0" xfId="12" applyNumberFormat="1" applyFont="1" applyAlignment="1">
      <alignment horizontal="center" vertical="center" wrapText="1"/>
    </xf>
    <xf numFmtId="40" fontId="19" fillId="0" borderId="0" xfId="12" applyNumberFormat="1" applyFont="1" applyAlignment="1">
      <alignment horizontal="center" vertical="center"/>
    </xf>
    <xf numFmtId="0" fontId="19" fillId="0" borderId="0" xfId="0" applyFont="1" applyAlignment="1">
      <alignment horizontal="right" indent="1"/>
    </xf>
    <xf numFmtId="0" fontId="19" fillId="0" borderId="0" xfId="0" applyFont="1" applyAlignment="1" applyProtection="1">
      <alignment horizontal="left" wrapText="1"/>
      <protection locked="0"/>
    </xf>
    <xf numFmtId="0" fontId="20" fillId="0" borderId="0" xfId="0" applyFont="1" applyAlignment="1">
      <alignment horizontal="center" vertical="top"/>
    </xf>
    <xf numFmtId="0" fontId="19" fillId="0" borderId="0" xfId="0" applyFont="1" applyAlignment="1">
      <alignment horizontal="center" vertical="top"/>
    </xf>
    <xf numFmtId="0" fontId="19" fillId="0" borderId="0" xfId="1" applyNumberFormat="1" applyFont="1" applyBorder="1" applyAlignment="1"/>
    <xf numFmtId="0" fontId="19" fillId="0" borderId="15" xfId="0" applyFont="1" applyBorder="1" applyAlignment="1">
      <alignment horizontal="center"/>
    </xf>
    <xf numFmtId="0" fontId="7" fillId="0" borderId="14" xfId="0" applyFont="1" applyBorder="1" applyAlignment="1" applyProtection="1">
      <alignment horizontal="center"/>
      <protection locked="0"/>
    </xf>
    <xf numFmtId="0" fontId="0" fillId="0" borderId="14" xfId="0" applyBorder="1" applyAlignment="1" applyProtection="1">
      <alignment wrapText="1"/>
      <protection locked="0"/>
    </xf>
    <xf numFmtId="0" fontId="0" fillId="0" borderId="14" xfId="0" applyBorder="1" applyAlignment="1" applyProtection="1">
      <alignment horizontal="center" wrapText="1"/>
      <protection locked="0"/>
    </xf>
    <xf numFmtId="0" fontId="19" fillId="0" borderId="0" xfId="0" applyFont="1" applyAlignment="1">
      <alignment horizontal="center"/>
    </xf>
    <xf numFmtId="0" fontId="37" fillId="0" borderId="0" xfId="0" applyFont="1" applyAlignment="1">
      <alignment horizontal="center"/>
    </xf>
    <xf numFmtId="0" fontId="12" fillId="0" borderId="0" xfId="0" applyFont="1"/>
    <xf numFmtId="0" fontId="41" fillId="0" borderId="4" xfId="0" applyFont="1" applyBorder="1"/>
    <xf numFmtId="0" fontId="41" fillId="0" borderId="52" xfId="0" applyFont="1" applyBorder="1" applyAlignment="1">
      <alignment horizontal="center"/>
    </xf>
    <xf numFmtId="0" fontId="41" fillId="0" borderId="54" xfId="0" applyFont="1" applyBorder="1" applyAlignment="1">
      <alignment horizontal="center"/>
    </xf>
    <xf numFmtId="0" fontId="41" fillId="0" borderId="54" xfId="0" applyFont="1" applyBorder="1"/>
    <xf numFmtId="0" fontId="41" fillId="0" borderId="55" xfId="0" applyFont="1" applyBorder="1"/>
    <xf numFmtId="0" fontId="41" fillId="0" borderId="7" xfId="0" applyFont="1" applyBorder="1"/>
    <xf numFmtId="0" fontId="41" fillId="0" borderId="56" xfId="0" applyFont="1" applyBorder="1"/>
    <xf numFmtId="0" fontId="41" fillId="0" borderId="57" xfId="0" applyFont="1" applyBorder="1"/>
    <xf numFmtId="0" fontId="41" fillId="0" borderId="58" xfId="0" applyFont="1" applyBorder="1"/>
    <xf numFmtId="0" fontId="42" fillId="0" borderId="41" xfId="0" applyFont="1" applyBorder="1"/>
    <xf numFmtId="0" fontId="42" fillId="0" borderId="14" xfId="0" applyFont="1" applyBorder="1"/>
    <xf numFmtId="0" fontId="42" fillId="0" borderId="11" xfId="0" applyFont="1" applyBorder="1" applyAlignment="1">
      <alignment horizontal="center"/>
    </xf>
    <xf numFmtId="0" fontId="42" fillId="0" borderId="14" xfId="0" applyFont="1" applyBorder="1" applyAlignment="1">
      <alignment horizontal="center"/>
    </xf>
    <xf numFmtId="0" fontId="41" fillId="0" borderId="14" xfId="0" applyFont="1" applyBorder="1" applyAlignment="1">
      <alignment horizontal="center"/>
    </xf>
    <xf numFmtId="0" fontId="42" fillId="0" borderId="42" xfId="0" applyFont="1" applyBorder="1" applyAlignment="1">
      <alignment horizontal="center"/>
    </xf>
    <xf numFmtId="0" fontId="42" fillId="0" borderId="16" xfId="0" applyFont="1" applyBorder="1" applyAlignment="1">
      <alignment horizontal="center"/>
    </xf>
    <xf numFmtId="0" fontId="42" fillId="0" borderId="16" xfId="0" applyFont="1" applyBorder="1"/>
    <xf numFmtId="0" fontId="42" fillId="0" borderId="11" xfId="0" applyFont="1" applyBorder="1"/>
    <xf numFmtId="0" fontId="41" fillId="0" borderId="14" xfId="0" applyFont="1" applyBorder="1"/>
    <xf numFmtId="0" fontId="42" fillId="0" borderId="42" xfId="0" applyFont="1" applyBorder="1"/>
    <xf numFmtId="0" fontId="45" fillId="13" borderId="56" xfId="0" applyFont="1" applyFill="1" applyBorder="1"/>
    <xf numFmtId="0" fontId="45" fillId="13" borderId="57" xfId="0" applyFont="1" applyFill="1" applyBorder="1"/>
    <xf numFmtId="2" fontId="45" fillId="13" borderId="57" xfId="0" applyNumberFormat="1" applyFont="1" applyFill="1" applyBorder="1"/>
    <xf numFmtId="4" fontId="45" fillId="13" borderId="57" xfId="0" applyNumberFormat="1" applyFont="1" applyFill="1" applyBorder="1"/>
    <xf numFmtId="0" fontId="42" fillId="13" borderId="41" xfId="0" applyFont="1" applyFill="1" applyBorder="1"/>
    <xf numFmtId="0" fontId="42" fillId="13" borderId="14" xfId="0" applyFont="1" applyFill="1" applyBorder="1"/>
    <xf numFmtId="0" fontId="42" fillId="13" borderId="11" xfId="0" applyFont="1" applyFill="1" applyBorder="1"/>
    <xf numFmtId="4" fontId="42" fillId="13" borderId="14" xfId="0" applyNumberFormat="1" applyFont="1" applyFill="1" applyBorder="1"/>
    <xf numFmtId="2" fontId="42" fillId="13" borderId="14" xfId="0" applyNumberFormat="1" applyFont="1" applyFill="1" applyBorder="1"/>
    <xf numFmtId="4" fontId="42" fillId="13" borderId="16" xfId="0" applyNumberFormat="1" applyFont="1" applyFill="1" applyBorder="1"/>
    <xf numFmtId="0" fontId="42" fillId="13" borderId="44" xfId="0" applyFont="1" applyFill="1" applyBorder="1"/>
    <xf numFmtId="10" fontId="41" fillId="13" borderId="62" xfId="0" applyNumberFormat="1" applyFont="1" applyFill="1" applyBorder="1"/>
    <xf numFmtId="0" fontId="41" fillId="13" borderId="61" xfId="0" applyFont="1" applyFill="1" applyBorder="1" applyAlignment="1">
      <alignment horizontal="center"/>
    </xf>
    <xf numFmtId="2" fontId="41" fillId="13" borderId="61" xfId="0" applyNumberFormat="1" applyFont="1" applyFill="1" applyBorder="1" applyAlignment="1">
      <alignment horizontal="center"/>
    </xf>
    <xf numFmtId="174" fontId="27" fillId="0" borderId="1" xfId="1" applyNumberFormat="1" applyFont="1" applyBorder="1" applyAlignment="1">
      <alignment wrapText="1"/>
    </xf>
    <xf numFmtId="0" fontId="20" fillId="0" borderId="13" xfId="0" applyFont="1" applyBorder="1" applyAlignment="1">
      <alignment vertical="center"/>
    </xf>
    <xf numFmtId="0" fontId="27" fillId="0" borderId="3" xfId="17" applyFont="1" applyBorder="1" applyAlignment="1">
      <alignment horizontal="left" vertical="center" wrapText="1"/>
    </xf>
    <xf numFmtId="190" fontId="0" fillId="3" borderId="11" xfId="0" applyNumberFormat="1" applyFill="1" applyBorder="1" applyAlignment="1">
      <alignment horizontal="right"/>
    </xf>
    <xf numFmtId="0" fontId="7" fillId="0" borderId="0" xfId="0" quotePrefix="1" applyFont="1"/>
    <xf numFmtId="0" fontId="38" fillId="0" borderId="1" xfId="0" applyFont="1" applyBorder="1" applyAlignment="1">
      <alignment horizontal="center" wrapText="1"/>
    </xf>
    <xf numFmtId="0" fontId="19" fillId="0" borderId="1" xfId="0" applyFont="1" applyBorder="1" applyAlignment="1">
      <alignment horizontal="left" vertical="top" wrapText="1" indent="1"/>
    </xf>
    <xf numFmtId="174" fontId="19" fillId="0" borderId="1" xfId="0" applyNumberFormat="1" applyFont="1" applyBorder="1" applyAlignment="1">
      <alignment horizontal="center" wrapText="1"/>
    </xf>
    <xf numFmtId="174" fontId="38" fillId="0" borderId="1" xfId="0" applyNumberFormat="1" applyFont="1" applyBorder="1" applyAlignment="1">
      <alignment horizontal="center" wrapText="1"/>
    </xf>
    <xf numFmtId="0" fontId="46" fillId="0" borderId="0" xfId="12" applyFont="1"/>
    <xf numFmtId="0" fontId="7" fillId="0" borderId="0" xfId="12"/>
    <xf numFmtId="4" fontId="7" fillId="0" borderId="0" xfId="12" applyNumberFormat="1"/>
    <xf numFmtId="0" fontId="15" fillId="0" borderId="0" xfId="12" applyFont="1" applyAlignment="1">
      <alignment horizontal="center" vertical="center"/>
    </xf>
    <xf numFmtId="0" fontId="7" fillId="0" borderId="0" xfId="12" applyAlignment="1">
      <alignment horizontal="center"/>
    </xf>
    <xf numFmtId="0" fontId="7" fillId="0" borderId="0" xfId="12" applyAlignment="1">
      <alignment horizontal="left"/>
    </xf>
    <xf numFmtId="4" fontId="27" fillId="0" borderId="0" xfId="12" applyNumberFormat="1" applyFont="1"/>
    <xf numFmtId="4" fontId="7" fillId="0" borderId="0" xfId="12" applyNumberFormat="1" applyAlignment="1">
      <alignment horizontal="left" indent="1"/>
    </xf>
    <xf numFmtId="0" fontId="7" fillId="0" borderId="0" xfId="12" applyAlignment="1">
      <alignment horizontal="left" indent="1"/>
    </xf>
    <xf numFmtId="0" fontId="47" fillId="0" borderId="0" xfId="12" applyFont="1"/>
    <xf numFmtId="10" fontId="7" fillId="0" borderId="0" xfId="12" applyNumberFormat="1"/>
    <xf numFmtId="4" fontId="8" fillId="0" borderId="0" xfId="12" applyNumberFormat="1" applyFont="1"/>
    <xf numFmtId="0" fontId="8" fillId="0" borderId="0" xfId="12" applyFont="1"/>
    <xf numFmtId="0" fontId="49" fillId="0" borderId="0" xfId="12" applyFont="1"/>
    <xf numFmtId="4" fontId="49" fillId="0" borderId="0" xfId="12" applyNumberFormat="1" applyFont="1"/>
    <xf numFmtId="0" fontId="50" fillId="0" borderId="0" xfId="12" applyFont="1"/>
    <xf numFmtId="4" fontId="50" fillId="0" borderId="0" xfId="12" applyNumberFormat="1" applyFont="1"/>
    <xf numFmtId="4" fontId="8" fillId="0" borderId="0" xfId="12" applyNumberFormat="1" applyFont="1" applyAlignment="1">
      <alignment horizontal="center"/>
    </xf>
    <xf numFmtId="0" fontId="48" fillId="0" borderId="0" xfId="12" applyFont="1"/>
    <xf numFmtId="191" fontId="7" fillId="0" borderId="0" xfId="12" applyNumberFormat="1"/>
    <xf numFmtId="4" fontId="7" fillId="0" borderId="4" xfId="12" applyNumberFormat="1" applyBorder="1"/>
    <xf numFmtId="9" fontId="7" fillId="0" borderId="4" xfId="12" applyNumberFormat="1" applyBorder="1"/>
    <xf numFmtId="0" fontId="7" fillId="0" borderId="4" xfId="12" applyBorder="1"/>
    <xf numFmtId="3" fontId="8" fillId="0" borderId="0" xfId="12" applyNumberFormat="1" applyFont="1"/>
    <xf numFmtId="3" fontId="7" fillId="0" borderId="4" xfId="12" applyNumberFormat="1" applyBorder="1"/>
    <xf numFmtId="9" fontId="7" fillId="0" borderId="0" xfId="12" applyNumberFormat="1"/>
    <xf numFmtId="0" fontId="52" fillId="0" borderId="0" xfId="25" applyBorder="1"/>
    <xf numFmtId="192" fontId="7" fillId="0" borderId="0" xfId="12" applyNumberFormat="1"/>
    <xf numFmtId="4" fontId="7" fillId="0" borderId="6" xfId="12" applyNumberFormat="1" applyBorder="1"/>
    <xf numFmtId="3" fontId="7" fillId="0" borderId="0" xfId="12" applyNumberFormat="1"/>
    <xf numFmtId="0" fontId="53" fillId="0" borderId="0" xfId="12" applyFont="1"/>
    <xf numFmtId="0" fontId="7" fillId="0" borderId="0" xfId="12" quotePrefix="1"/>
    <xf numFmtId="1" fontId="7" fillId="0" borderId="0" xfId="12" applyNumberFormat="1"/>
    <xf numFmtId="1" fontId="7" fillId="0" borderId="4" xfId="12" applyNumberFormat="1" applyBorder="1"/>
    <xf numFmtId="171" fontId="7" fillId="0" borderId="0" xfId="12" applyNumberFormat="1"/>
    <xf numFmtId="0" fontId="0" fillId="0" borderId="0" xfId="0" applyAlignment="1">
      <alignment horizontal="center"/>
    </xf>
    <xf numFmtId="0" fontId="0" fillId="0" borderId="4" xfId="0" applyBorder="1"/>
    <xf numFmtId="0" fontId="47" fillId="0" borderId="0" xfId="12" applyFont="1" applyAlignment="1">
      <alignment horizontal="left"/>
    </xf>
    <xf numFmtId="0" fontId="7" fillId="16" borderId="8" xfId="12" applyFill="1" applyBorder="1"/>
    <xf numFmtId="0" fontId="7" fillId="16" borderId="6" xfId="12" applyFill="1" applyBorder="1"/>
    <xf numFmtId="0" fontId="7" fillId="16" borderId="7" xfId="12" applyFill="1" applyBorder="1"/>
    <xf numFmtId="0" fontId="7" fillId="16" borderId="2" xfId="12" applyFill="1" applyBorder="1"/>
    <xf numFmtId="0" fontId="7" fillId="17" borderId="8" xfId="12" applyFill="1" applyBorder="1"/>
    <xf numFmtId="0" fontId="7" fillId="17" borderId="7" xfId="12" applyFill="1" applyBorder="1"/>
    <xf numFmtId="0" fontId="7" fillId="16" borderId="17" xfId="12" applyFill="1" applyBorder="1"/>
    <xf numFmtId="0" fontId="7" fillId="17" borderId="2" xfId="12" applyFill="1" applyBorder="1"/>
    <xf numFmtId="0" fontId="7" fillId="17" borderId="17" xfId="12" applyFill="1" applyBorder="1"/>
    <xf numFmtId="0" fontId="7" fillId="17" borderId="5" xfId="12" applyFill="1" applyBorder="1"/>
    <xf numFmtId="0" fontId="7" fillId="17" borderId="16" xfId="12" applyFill="1" applyBorder="1"/>
    <xf numFmtId="0" fontId="7" fillId="16" borderId="5" xfId="12" applyFill="1" applyBorder="1"/>
    <xf numFmtId="0" fontId="7" fillId="16" borderId="4" xfId="12" applyFill="1" applyBorder="1"/>
    <xf numFmtId="0" fontId="7" fillId="16" borderId="16" xfId="12" applyFill="1" applyBorder="1"/>
    <xf numFmtId="0" fontId="54" fillId="0" borderId="1" xfId="0" applyFont="1" applyBorder="1" applyAlignment="1">
      <alignment horizontal="left" vertical="top" wrapText="1"/>
    </xf>
    <xf numFmtId="0" fontId="54" fillId="0" borderId="1" xfId="0" applyFont="1" applyBorder="1" applyAlignment="1">
      <alignment horizontal="left" vertical="top" wrapText="1" indent="1"/>
    </xf>
    <xf numFmtId="0" fontId="37" fillId="0" borderId="1" xfId="0" applyFont="1" applyBorder="1" applyAlignment="1">
      <alignment horizontal="left" vertical="top" wrapText="1" indent="1"/>
    </xf>
    <xf numFmtId="3" fontId="37" fillId="0" borderId="1" xfId="0" applyNumberFormat="1" applyFont="1" applyBorder="1" applyAlignment="1">
      <alignment horizontal="center" wrapText="1"/>
    </xf>
    <xf numFmtId="174" fontId="37" fillId="0" borderId="1" xfId="0" applyNumberFormat="1" applyFont="1" applyBorder="1" applyAlignment="1">
      <alignment horizontal="center" wrapText="1"/>
    </xf>
    <xf numFmtId="10" fontId="37" fillId="0" borderId="1" xfId="0" applyNumberFormat="1" applyFont="1" applyBorder="1" applyAlignment="1">
      <alignment horizontal="center" wrapText="1"/>
    </xf>
    <xf numFmtId="175" fontId="19" fillId="0" borderId="1" xfId="3" applyNumberFormat="1" applyFont="1" applyBorder="1" applyAlignment="1">
      <alignment vertical="top" wrapText="1"/>
    </xf>
    <xf numFmtId="3" fontId="27" fillId="0" borderId="1" xfId="1" applyNumberFormat="1" applyFont="1" applyBorder="1" applyAlignment="1">
      <alignment horizontal="center" vertical="center" wrapText="1"/>
    </xf>
    <xf numFmtId="0" fontId="37" fillId="0" borderId="1" xfId="0" applyFont="1" applyBorder="1" applyAlignment="1">
      <alignment wrapText="1"/>
    </xf>
    <xf numFmtId="38" fontId="37" fillId="0" borderId="1" xfId="0" applyNumberFormat="1" applyFont="1" applyBorder="1" applyAlignment="1">
      <alignment horizontal="center" wrapText="1"/>
    </xf>
    <xf numFmtId="4" fontId="27" fillId="0" borderId="1" xfId="1" applyNumberFormat="1" applyFont="1" applyBorder="1" applyAlignment="1">
      <alignment horizontal="center" wrapText="1"/>
    </xf>
    <xf numFmtId="174" fontId="19" fillId="0" borderId="1" xfId="17" applyNumberFormat="1" applyFont="1" applyBorder="1" applyAlignment="1">
      <alignment wrapText="1"/>
    </xf>
    <xf numFmtId="174" fontId="19" fillId="0" borderId="1" xfId="1" applyNumberFormat="1" applyFont="1" applyBorder="1" applyAlignment="1">
      <alignment horizontal="center" vertical="center" wrapText="1"/>
    </xf>
    <xf numFmtId="174" fontId="19" fillId="0" borderId="1" xfId="7" applyNumberFormat="1" applyFont="1" applyBorder="1" applyAlignment="1">
      <alignment wrapText="1"/>
    </xf>
    <xf numFmtId="174" fontId="19" fillId="0" borderId="1" xfId="17" applyNumberFormat="1" applyFont="1" applyBorder="1"/>
    <xf numFmtId="174" fontId="19" fillId="0" borderId="1" xfId="1" applyNumberFormat="1" applyFont="1" applyFill="1" applyBorder="1" applyAlignment="1">
      <alignment wrapText="1"/>
    </xf>
    <xf numFmtId="193" fontId="19" fillId="0" borderId="1" xfId="2" applyNumberFormat="1" applyFont="1" applyFill="1" applyBorder="1" applyAlignment="1" applyProtection="1">
      <alignment horizontal="center" vertical="top"/>
    </xf>
    <xf numFmtId="0" fontId="19" fillId="0" borderId="1" xfId="0" applyFont="1" applyBorder="1" applyAlignment="1">
      <alignment horizontal="center" vertical="top"/>
    </xf>
    <xf numFmtId="0" fontId="19" fillId="0" borderId="1" xfId="0" applyFont="1" applyBorder="1" applyAlignment="1">
      <alignment horizontal="center" vertical="center"/>
    </xf>
    <xf numFmtId="175" fontId="37" fillId="0" borderId="1" xfId="3" applyNumberFormat="1" applyFont="1" applyBorder="1" applyAlignment="1">
      <alignment wrapText="1"/>
    </xf>
    <xf numFmtId="4" fontId="7" fillId="0" borderId="1" xfId="17" applyNumberFormat="1" applyBorder="1" applyAlignment="1">
      <alignment horizontal="center" wrapText="1"/>
    </xf>
    <xf numFmtId="3" fontId="19" fillId="0" borderId="1" xfId="2" applyFont="1" applyFill="1" applyBorder="1" applyAlignment="1" applyProtection="1">
      <alignment horizontal="center"/>
    </xf>
    <xf numFmtId="3" fontId="7" fillId="0" borderId="1" xfId="17" applyNumberFormat="1" applyBorder="1" applyAlignment="1">
      <alignment horizontal="center" wrapText="1"/>
    </xf>
    <xf numFmtId="4" fontId="7" fillId="0" borderId="1" xfId="17" applyNumberFormat="1" applyBorder="1" applyAlignment="1">
      <alignment horizontal="center"/>
    </xf>
    <xf numFmtId="178" fontId="7" fillId="0" borderId="1" xfId="1" applyNumberFormat="1" applyFont="1" applyBorder="1" applyAlignment="1">
      <alignment horizontal="center" wrapText="1"/>
    </xf>
    <xf numFmtId="0" fontId="19" fillId="0" borderId="1" xfId="0" applyFont="1" applyBorder="1" applyAlignment="1">
      <alignment wrapText="1"/>
    </xf>
    <xf numFmtId="0" fontId="19" fillId="0" borderId="1" xfId="0" applyFont="1" applyBorder="1" applyAlignment="1">
      <alignment vertical="top" wrapText="1"/>
    </xf>
    <xf numFmtId="0" fontId="20" fillId="0" borderId="1" xfId="0" applyFont="1" applyBorder="1" applyAlignment="1">
      <alignment horizontal="left" wrapText="1"/>
    </xf>
    <xf numFmtId="0" fontId="19" fillId="0" borderId="1" xfId="0" applyFont="1" applyBorder="1" applyAlignment="1">
      <alignment horizontal="left" wrapText="1" indent="1"/>
    </xf>
    <xf numFmtId="0" fontId="19" fillId="0" borderId="1" xfId="0" applyFont="1" applyBorder="1" applyAlignment="1">
      <alignment horizontal="center"/>
    </xf>
    <xf numFmtId="175" fontId="37" fillId="0" borderId="1" xfId="1" applyNumberFormat="1" applyFont="1" applyBorder="1" applyAlignment="1">
      <alignment wrapText="1"/>
    </xf>
    <xf numFmtId="0" fontId="20" fillId="0" borderId="1" xfId="0" applyFont="1" applyBorder="1" applyAlignment="1" applyProtection="1">
      <alignment vertical="top" wrapText="1"/>
      <protection locked="0"/>
    </xf>
    <xf numFmtId="0" fontId="19" fillId="0" borderId="1" xfId="0" applyFont="1" applyBorder="1" applyAlignment="1" applyProtection="1">
      <alignment horizontal="center"/>
      <protection locked="0"/>
    </xf>
    <xf numFmtId="174" fontId="19" fillId="0" borderId="1" xfId="0" applyNumberFormat="1" applyFont="1" applyBorder="1" applyAlignment="1" applyProtection="1">
      <alignment horizontal="center"/>
      <protection locked="0"/>
    </xf>
    <xf numFmtId="0" fontId="7" fillId="0" borderId="14" xfId="17" applyBorder="1" applyAlignment="1">
      <alignment horizontal="center"/>
    </xf>
    <xf numFmtId="3" fontId="19" fillId="0" borderId="1" xfId="2" applyFont="1" applyBorder="1" applyAlignment="1">
      <alignment horizontal="center" vertical="top"/>
    </xf>
    <xf numFmtId="0" fontId="20" fillId="0" borderId="1" xfId="0" applyFont="1" applyBorder="1" applyAlignment="1">
      <alignment horizontal="center" vertical="top"/>
    </xf>
    <xf numFmtId="0" fontId="19" fillId="0" borderId="1" xfId="0" applyFont="1" applyBorder="1" applyAlignment="1">
      <alignment horizontal="left" wrapText="1" indent="2"/>
    </xf>
    <xf numFmtId="0" fontId="19" fillId="0" borderId="1" xfId="0" applyFont="1" applyBorder="1" applyAlignment="1">
      <alignment horizontal="left" wrapText="1"/>
    </xf>
    <xf numFmtId="0" fontId="37" fillId="0" borderId="1" xfId="0" applyFont="1" applyBorder="1" applyAlignment="1">
      <alignment horizontal="center" vertical="top"/>
    </xf>
    <xf numFmtId="49" fontId="37" fillId="0" borderId="1" xfId="17" applyNumberFormat="1" applyFont="1" applyBorder="1" applyAlignment="1">
      <alignment horizontal="right" vertical="top" wrapText="1"/>
    </xf>
    <xf numFmtId="0" fontId="37" fillId="0" borderId="1" xfId="0" applyFont="1" applyBorder="1" applyAlignment="1">
      <alignment horizontal="left" wrapText="1"/>
    </xf>
    <xf numFmtId="0" fontId="7" fillId="0" borderId="12" xfId="17" applyBorder="1" applyAlignment="1">
      <alignment vertical="center"/>
    </xf>
    <xf numFmtId="175" fontId="19" fillId="0" borderId="18" xfId="0" applyNumberFormat="1" applyFont="1" applyBorder="1" applyAlignment="1">
      <alignment vertical="center"/>
    </xf>
    <xf numFmtId="0" fontId="7" fillId="0" borderId="11" xfId="17" applyBorder="1" applyAlignment="1">
      <alignment vertical="center"/>
    </xf>
    <xf numFmtId="175" fontId="19" fillId="0" borderId="11" xfId="1" applyNumberFormat="1" applyFont="1" applyBorder="1" applyAlignment="1">
      <alignment wrapText="1"/>
    </xf>
    <xf numFmtId="175" fontId="20" fillId="0" borderId="11" xfId="1" applyNumberFormat="1" applyFont="1" applyBorder="1" applyAlignment="1">
      <alignment wrapText="1"/>
    </xf>
    <xf numFmtId="175" fontId="19" fillId="0" borderId="17" xfId="3" applyNumberFormat="1" applyFont="1" applyBorder="1" applyAlignment="1">
      <alignment wrapText="1"/>
    </xf>
    <xf numFmtId="175" fontId="37" fillId="0" borderId="1" xfId="0" applyNumberFormat="1" applyFont="1" applyBorder="1"/>
    <xf numFmtId="171" fontId="20" fillId="0" borderId="11" xfId="1" applyNumberFormat="1" applyFont="1" applyBorder="1" applyAlignment="1">
      <alignment vertical="center" wrapText="1"/>
    </xf>
    <xf numFmtId="0" fontId="20" fillId="0" borderId="1" xfId="0" applyFont="1" applyBorder="1" applyAlignment="1">
      <alignment wrapText="1"/>
    </xf>
    <xf numFmtId="175" fontId="19" fillId="0" borderId="17" xfId="0" applyNumberFormat="1" applyFont="1" applyBorder="1"/>
    <xf numFmtId="175" fontId="19" fillId="0" borderId="17" xfId="1" applyNumberFormat="1" applyFont="1" applyBorder="1" applyAlignment="1">
      <alignment wrapText="1"/>
    </xf>
    <xf numFmtId="0" fontId="8" fillId="0" borderId="5" xfId="17" applyFont="1" applyBorder="1" applyAlignment="1">
      <alignment vertical="center" wrapText="1"/>
    </xf>
    <xf numFmtId="0" fontId="8" fillId="0" borderId="4" xfId="17" applyFont="1" applyBorder="1" applyAlignment="1">
      <alignment vertical="center" wrapText="1"/>
    </xf>
    <xf numFmtId="10" fontId="7" fillId="0" borderId="1" xfId="17" applyNumberFormat="1" applyBorder="1"/>
    <xf numFmtId="174" fontId="37" fillId="0" borderId="1" xfId="0" applyNumberFormat="1" applyFont="1" applyBorder="1" applyAlignment="1">
      <alignment wrapText="1"/>
    </xf>
    <xf numFmtId="0" fontId="20" fillId="0" borderId="1" xfId="0" applyFont="1" applyBorder="1" applyAlignment="1">
      <alignment horizontal="left" vertical="top" wrapText="1"/>
    </xf>
    <xf numFmtId="49" fontId="27" fillId="0" borderId="1" xfId="17" applyNumberFormat="1" applyFont="1" applyBorder="1" applyAlignment="1">
      <alignment horizontal="right" vertical="center"/>
    </xf>
    <xf numFmtId="0" fontId="27" fillId="0" borderId="0" xfId="17" applyFont="1" applyAlignment="1">
      <alignment wrapText="1"/>
    </xf>
    <xf numFmtId="0" fontId="8" fillId="0" borderId="0" xfId="17" applyFont="1" applyAlignment="1">
      <alignment wrapText="1"/>
    </xf>
    <xf numFmtId="175" fontId="19" fillId="0" borderId="15" xfId="3" applyNumberFormat="1" applyFont="1" applyBorder="1" applyAlignment="1">
      <alignment wrapText="1"/>
    </xf>
    <xf numFmtId="0" fontId="8" fillId="0" borderId="17" xfId="17" applyFont="1" applyBorder="1" applyAlignment="1">
      <alignment horizontal="center" vertical="center" wrapText="1"/>
    </xf>
    <xf numFmtId="0" fontId="7" fillId="0" borderId="2" xfId="17" applyBorder="1" applyAlignment="1">
      <alignment horizontal="left" vertical="center" wrapText="1"/>
    </xf>
    <xf numFmtId="0" fontId="19" fillId="0" borderId="1" xfId="0" applyFont="1" applyBorder="1" applyAlignment="1">
      <alignment horizontal="left" vertical="top"/>
    </xf>
    <xf numFmtId="0" fontId="20" fillId="0" borderId="17" xfId="0" applyFont="1" applyBorder="1" applyAlignment="1">
      <alignment vertical="top" wrapText="1"/>
    </xf>
    <xf numFmtId="0" fontId="20" fillId="0" borderId="17" xfId="0" applyFont="1" applyBorder="1" applyAlignment="1">
      <alignment horizontal="left" vertical="top" wrapText="1"/>
    </xf>
    <xf numFmtId="0" fontId="19" fillId="0" borderId="17" xfId="0" applyFont="1" applyBorder="1" applyAlignment="1">
      <alignment horizontal="left" vertical="top" wrapText="1" indent="1"/>
    </xf>
    <xf numFmtId="0" fontId="19" fillId="0" borderId="17" xfId="0" applyFont="1" applyBorder="1" applyAlignment="1">
      <alignment horizontal="left" vertical="top" wrapText="1"/>
    </xf>
    <xf numFmtId="0" fontId="8" fillId="0" borderId="12" xfId="17" applyFont="1" applyBorder="1" applyAlignment="1">
      <alignment vertical="center" wrapText="1"/>
    </xf>
    <xf numFmtId="0" fontId="7" fillId="0" borderId="8" xfId="17" applyBorder="1" applyAlignment="1">
      <alignment vertical="center" wrapText="1"/>
    </xf>
    <xf numFmtId="0" fontId="7" fillId="0" borderId="2" xfId="17" applyBorder="1" applyAlignment="1">
      <alignment vertical="center" wrapText="1"/>
    </xf>
    <xf numFmtId="0" fontId="7" fillId="0" borderId="5" xfId="17" applyBorder="1" applyAlignment="1">
      <alignment vertical="center" wrapText="1"/>
    </xf>
    <xf numFmtId="0" fontId="8" fillId="0" borderId="18" xfId="17" applyFont="1" applyBorder="1" applyAlignment="1">
      <alignment vertical="center"/>
    </xf>
    <xf numFmtId="0" fontId="8" fillId="0" borderId="11" xfId="17" applyFont="1" applyBorder="1" applyAlignment="1">
      <alignment vertical="center" wrapText="1"/>
    </xf>
    <xf numFmtId="166" fontId="8" fillId="0" borderId="15" xfId="1" applyNumberFormat="1" applyFont="1" applyBorder="1" applyAlignment="1">
      <alignment vertical="center" wrapText="1"/>
    </xf>
    <xf numFmtId="0" fontId="8" fillId="0" borderId="1" xfId="17" applyFont="1" applyBorder="1" applyAlignment="1">
      <alignment vertical="center" wrapText="1"/>
    </xf>
    <xf numFmtId="0" fontId="8" fillId="0" borderId="14" xfId="17" applyFont="1" applyBorder="1" applyAlignment="1">
      <alignment vertical="center" wrapText="1"/>
    </xf>
    <xf numFmtId="170" fontId="8" fillId="0" borderId="11" xfId="1" applyNumberFormat="1" applyFont="1" applyBorder="1" applyAlignment="1">
      <alignment vertical="center" wrapText="1"/>
    </xf>
    <xf numFmtId="166" fontId="8" fillId="0" borderId="1" xfId="1" applyNumberFormat="1" applyFont="1" applyBorder="1" applyAlignment="1">
      <alignment vertical="center" wrapText="1"/>
    </xf>
    <xf numFmtId="0" fontId="20" fillId="0" borderId="12" xfId="17" applyFont="1" applyBorder="1" applyAlignment="1">
      <alignment horizontal="left" vertical="center"/>
    </xf>
    <xf numFmtId="174" fontId="7" fillId="0" borderId="0" xfId="17" applyNumberFormat="1" applyAlignment="1">
      <alignment vertical="center" wrapText="1"/>
    </xf>
    <xf numFmtId="0" fontId="7" fillId="0" borderId="1" xfId="0" applyFont="1" applyBorder="1" applyAlignment="1" applyProtection="1">
      <alignment horizontal="left" vertical="top" wrapText="1"/>
      <protection locked="0"/>
    </xf>
    <xf numFmtId="0" fontId="8" fillId="0" borderId="0" xfId="17" applyFont="1" applyAlignment="1">
      <alignment vertical="center" wrapText="1"/>
    </xf>
    <xf numFmtId="0" fontId="8" fillId="0" borderId="12" xfId="17" applyFont="1" applyBorder="1" applyAlignment="1">
      <alignment horizontal="left" vertical="center"/>
    </xf>
    <xf numFmtId="0" fontId="8" fillId="0" borderId="13" xfId="17" applyFont="1" applyBorder="1" applyAlignment="1">
      <alignment horizontal="left" vertical="center"/>
    </xf>
    <xf numFmtId="0" fontId="7" fillId="0" borderId="5" xfId="17" applyBorder="1" applyAlignment="1">
      <alignment horizontal="left" vertical="center" wrapText="1"/>
    </xf>
    <xf numFmtId="0" fontId="8" fillId="0" borderId="12" xfId="17" applyFont="1" applyBorder="1" applyAlignment="1">
      <alignment horizontal="center" vertical="center" wrapText="1"/>
    </xf>
    <xf numFmtId="0" fontId="7" fillId="0" borderId="8" xfId="17" applyBorder="1" applyAlignment="1">
      <alignment horizontal="left" vertical="center" wrapText="1"/>
    </xf>
    <xf numFmtId="3" fontId="7" fillId="0" borderId="1" xfId="1" applyNumberFormat="1" applyFont="1" applyFill="1" applyBorder="1" applyAlignment="1">
      <alignment horizontal="center" wrapText="1"/>
    </xf>
    <xf numFmtId="49" fontId="8" fillId="0" borderId="18" xfId="17" applyNumberFormat="1" applyFont="1" applyBorder="1" applyAlignment="1">
      <alignment vertical="center"/>
    </xf>
    <xf numFmtId="0" fontId="8" fillId="0" borderId="12" xfId="17" applyFont="1" applyBorder="1" applyAlignment="1">
      <alignment vertical="center"/>
    </xf>
    <xf numFmtId="0" fontId="7" fillId="0" borderId="15" xfId="17" applyBorder="1" applyAlignment="1">
      <alignment vertical="center" wrapText="1"/>
    </xf>
    <xf numFmtId="174" fontId="8" fillId="0" borderId="15" xfId="17" applyNumberFormat="1" applyFont="1" applyBorder="1" applyAlignment="1">
      <alignment vertical="center" wrapText="1"/>
    </xf>
    <xf numFmtId="174" fontId="8" fillId="0" borderId="1" xfId="17" applyNumberFormat="1" applyFont="1" applyBorder="1" applyAlignment="1">
      <alignment vertical="center" wrapText="1"/>
    </xf>
    <xf numFmtId="174" fontId="8" fillId="0" borderId="14" xfId="17" applyNumberFormat="1" applyFont="1" applyBorder="1" applyAlignment="1">
      <alignment vertical="center" wrapText="1"/>
    </xf>
    <xf numFmtId="0" fontId="8" fillId="0" borderId="11" xfId="17" applyFont="1" applyBorder="1" applyAlignment="1">
      <alignment horizontal="left" vertical="center"/>
    </xf>
    <xf numFmtId="0" fontId="8" fillId="0" borderId="15" xfId="17" applyFont="1" applyBorder="1" applyAlignment="1">
      <alignment vertical="center" wrapText="1"/>
    </xf>
    <xf numFmtId="0" fontId="8" fillId="0" borderId="2" xfId="17" applyFont="1" applyBorder="1" applyAlignment="1">
      <alignment vertical="center"/>
    </xf>
    <xf numFmtId="0" fontId="8" fillId="0" borderId="2" xfId="17" applyFont="1" applyBorder="1" applyAlignment="1">
      <alignment horizontal="left" vertical="center" wrapText="1"/>
    </xf>
    <xf numFmtId="0" fontId="7" fillId="0" borderId="6" xfId="17" applyBorder="1" applyAlignment="1">
      <alignment vertical="center" wrapText="1"/>
    </xf>
    <xf numFmtId="0" fontId="7" fillId="0" borderId="7" xfId="17" applyBorder="1" applyAlignment="1">
      <alignment vertical="center" wrapText="1"/>
    </xf>
    <xf numFmtId="49" fontId="7" fillId="0" borderId="0" xfId="17" applyNumberFormat="1" applyAlignment="1">
      <alignment vertical="center" wrapText="1"/>
    </xf>
    <xf numFmtId="49" fontId="7" fillId="0" borderId="17" xfId="17" applyNumberFormat="1" applyBorder="1" applyAlignment="1">
      <alignment vertical="center" wrapText="1"/>
    </xf>
    <xf numFmtId="0" fontId="7" fillId="0" borderId="17" xfId="17" applyBorder="1" applyAlignment="1">
      <alignment vertical="center" wrapText="1"/>
    </xf>
    <xf numFmtId="49" fontId="7" fillId="0" borderId="8" xfId="17" applyNumberFormat="1" applyBorder="1" applyAlignment="1">
      <alignment vertical="center"/>
    </xf>
    <xf numFmtId="49" fontId="7" fillId="0" borderId="2" xfId="17" applyNumberFormat="1" applyBorder="1" applyAlignment="1">
      <alignment vertical="center"/>
    </xf>
    <xf numFmtId="4" fontId="27" fillId="0" borderId="1" xfId="17" applyNumberFormat="1" applyFont="1" applyBorder="1" applyAlignment="1">
      <alignment horizontal="center" wrapText="1"/>
    </xf>
    <xf numFmtId="0" fontId="7" fillId="0" borderId="1" xfId="0" applyFont="1" applyBorder="1" applyAlignment="1">
      <alignment horizontal="center"/>
    </xf>
    <xf numFmtId="0" fontId="7" fillId="0" borderId="1" xfId="0" applyFont="1" applyBorder="1" applyAlignment="1">
      <alignment vertical="top" wrapText="1"/>
    </xf>
    <xf numFmtId="0" fontId="7" fillId="0" borderId="1" xfId="0" applyFont="1" applyBorder="1" applyAlignment="1">
      <alignment horizontal="left" vertical="top" wrapText="1"/>
    </xf>
    <xf numFmtId="0" fontId="19" fillId="0" borderId="46" xfId="0" applyFont="1" applyBorder="1" applyAlignment="1">
      <alignment horizontal="center" vertical="center" wrapText="1"/>
    </xf>
    <xf numFmtId="0" fontId="19" fillId="0" borderId="14" xfId="0" applyFont="1" applyBorder="1" applyAlignment="1">
      <alignment horizontal="left" vertical="center" wrapText="1"/>
    </xf>
    <xf numFmtId="175" fontId="19" fillId="0" borderId="42" xfId="3" applyNumberFormat="1" applyFont="1" applyFill="1" applyBorder="1" applyAlignment="1">
      <alignment horizontal="right" vertical="center" wrapText="1"/>
    </xf>
    <xf numFmtId="0" fontId="8" fillId="0" borderId="1" xfId="17" applyFont="1" applyBorder="1" applyAlignment="1">
      <alignment horizontal="left" vertical="top" wrapText="1"/>
    </xf>
    <xf numFmtId="0" fontId="19" fillId="0" borderId="41" xfId="0" applyFont="1" applyBorder="1" applyAlignment="1">
      <alignment horizontal="center" vertical="center" wrapText="1"/>
    </xf>
    <xf numFmtId="175" fontId="0" fillId="0" borderId="11" xfId="0" applyNumberFormat="1" applyBorder="1" applyAlignment="1">
      <alignment horizontal="center" vertical="center" wrapText="1"/>
    </xf>
    <xf numFmtId="0" fontId="0" fillId="0" borderId="11" xfId="0" applyBorder="1" applyAlignment="1">
      <alignment vertical="center" wrapText="1"/>
    </xf>
    <xf numFmtId="195" fontId="0" fillId="0" borderId="1" xfId="0" applyNumberFormat="1" applyBorder="1" applyAlignment="1">
      <alignment horizontal="center" vertical="center" wrapText="1"/>
    </xf>
    <xf numFmtId="195" fontId="7" fillId="0" borderId="1" xfId="17" applyNumberFormat="1" applyBorder="1" applyAlignment="1">
      <alignment horizontal="center" vertical="center" wrapText="1"/>
    </xf>
    <xf numFmtId="49" fontId="7" fillId="0" borderId="0" xfId="17" applyNumberFormat="1" applyAlignment="1">
      <alignment horizontal="center" vertical="center" wrapText="1"/>
    </xf>
    <xf numFmtId="0" fontId="8" fillId="0" borderId="4" xfId="17" applyFont="1" applyBorder="1" applyAlignment="1">
      <alignment horizontal="center" vertical="center" wrapText="1"/>
    </xf>
    <xf numFmtId="174" fontId="7" fillId="0" borderId="1" xfId="0" applyNumberFormat="1" applyFont="1" applyBorder="1"/>
    <xf numFmtId="0" fontId="36" fillId="0" borderId="1" xfId="0" applyFont="1" applyBorder="1" applyAlignment="1">
      <alignment horizontal="left" vertical="top" wrapText="1"/>
    </xf>
    <xf numFmtId="0" fontId="27" fillId="0" borderId="1" xfId="0" applyFont="1" applyBorder="1" applyAlignment="1">
      <alignment horizontal="left" vertical="top" wrapText="1"/>
    </xf>
    <xf numFmtId="0" fontId="8" fillId="0" borderId="1" xfId="0" applyFont="1" applyBorder="1" applyAlignment="1">
      <alignment horizontal="left" vertical="top" wrapText="1" indent="1"/>
    </xf>
    <xf numFmtId="0" fontId="7" fillId="0" borderId="1" xfId="0" applyFont="1" applyBorder="1" applyAlignment="1">
      <alignment horizontal="center" wrapText="1"/>
    </xf>
    <xf numFmtId="174" fontId="7" fillId="0" borderId="1" xfId="0" applyNumberFormat="1" applyFont="1" applyBorder="1" applyAlignment="1">
      <alignment wrapText="1"/>
    </xf>
    <xf numFmtId="0" fontId="7" fillId="0" borderId="1" xfId="0" applyFont="1" applyBorder="1" applyAlignment="1">
      <alignment horizontal="left" vertical="top" wrapText="1" indent="1"/>
    </xf>
    <xf numFmtId="3" fontId="7" fillId="0" borderId="1" xfId="0" applyNumberFormat="1" applyFont="1" applyBorder="1" applyAlignment="1">
      <alignment horizontal="center" wrapText="1"/>
    </xf>
    <xf numFmtId="10" fontId="7" fillId="0" borderId="1" xfId="0" applyNumberFormat="1" applyFont="1" applyBorder="1" applyAlignment="1">
      <alignment wrapText="1"/>
    </xf>
    <xf numFmtId="0" fontId="7" fillId="0" borderId="1" xfId="0" applyFont="1" applyBorder="1" applyAlignment="1">
      <alignment horizontal="center" vertical="top"/>
    </xf>
    <xf numFmtId="0" fontId="7" fillId="0" borderId="17" xfId="0" applyFont="1" applyBorder="1" applyAlignment="1">
      <alignment wrapText="1"/>
    </xf>
    <xf numFmtId="0" fontId="7" fillId="0" borderId="17" xfId="0" applyFont="1" applyBorder="1" applyAlignment="1">
      <alignment horizontal="left" wrapText="1"/>
    </xf>
    <xf numFmtId="0" fontId="7" fillId="0" borderId="17" xfId="0" applyFont="1" applyBorder="1" applyAlignment="1">
      <alignment horizontal="left" wrapText="1" indent="1"/>
    </xf>
    <xf numFmtId="3" fontId="7" fillId="0" borderId="1" xfId="2" applyFont="1" applyBorder="1" applyAlignment="1">
      <alignment horizontal="center"/>
    </xf>
    <xf numFmtId="3" fontId="7" fillId="0" borderId="1" xfId="2" applyFont="1" applyFill="1" applyBorder="1" applyAlignment="1">
      <alignment horizontal="center"/>
    </xf>
    <xf numFmtId="0" fontId="7" fillId="0" borderId="2" xfId="17" applyBorder="1"/>
    <xf numFmtId="0" fontId="7" fillId="0" borderId="5" xfId="17" applyBorder="1"/>
    <xf numFmtId="3" fontId="7" fillId="0" borderId="1" xfId="17" applyNumberFormat="1" applyBorder="1" applyAlignment="1">
      <alignment horizontal="center"/>
    </xf>
    <xf numFmtId="10" fontId="19" fillId="0" borderId="1" xfId="1" applyNumberFormat="1" applyFont="1" applyBorder="1" applyAlignment="1">
      <alignment wrapText="1"/>
    </xf>
    <xf numFmtId="175" fontId="19" fillId="0" borderId="2" xfId="0" applyNumberFormat="1" applyFont="1" applyBorder="1"/>
    <xf numFmtId="174" fontId="27" fillId="0" borderId="1" xfId="1" applyNumberFormat="1" applyFont="1" applyFill="1" applyBorder="1" applyAlignment="1">
      <alignment wrapText="1"/>
    </xf>
    <xf numFmtId="174" fontId="7" fillId="0" borderId="15" xfId="1" applyNumberFormat="1" applyFont="1" applyBorder="1" applyAlignment="1">
      <alignment wrapText="1"/>
    </xf>
    <xf numFmtId="0" fontId="7" fillId="0" borderId="15" xfId="17" applyBorder="1" applyAlignment="1">
      <alignment horizontal="center"/>
    </xf>
    <xf numFmtId="174" fontId="7" fillId="0" borderId="1" xfId="1" applyNumberFormat="1" applyFont="1" applyBorder="1" applyAlignment="1">
      <alignment horizontal="center" wrapText="1"/>
    </xf>
    <xf numFmtId="0" fontId="7" fillId="0" borderId="0" xfId="17" applyAlignment="1">
      <alignment horizontal="right" wrapText="1"/>
    </xf>
    <xf numFmtId="169" fontId="7" fillId="0" borderId="0" xfId="17" applyNumberFormat="1" applyAlignment="1">
      <alignment horizontal="right" wrapText="1"/>
    </xf>
    <xf numFmtId="0" fontId="17" fillId="0" borderId="1" xfId="17" applyFont="1" applyBorder="1" applyAlignment="1">
      <alignment horizontal="center" wrapText="1"/>
    </xf>
    <xf numFmtId="0" fontId="48" fillId="0" borderId="1" xfId="17" applyFont="1" applyBorder="1" applyAlignment="1">
      <alignment horizontal="center" wrapText="1"/>
    </xf>
    <xf numFmtId="193" fontId="7" fillId="0" borderId="1" xfId="2" applyNumberFormat="1" applyFont="1" applyFill="1" applyBorder="1" applyAlignment="1" applyProtection="1">
      <alignment horizontal="center"/>
    </xf>
    <xf numFmtId="10" fontId="7" fillId="0" borderId="1" xfId="17" applyNumberFormat="1" applyBorder="1" applyAlignment="1">
      <alignment wrapText="1"/>
    </xf>
    <xf numFmtId="174" fontId="8" fillId="0" borderId="1" xfId="1" applyNumberFormat="1" applyFont="1" applyBorder="1" applyAlignment="1">
      <alignment wrapText="1"/>
    </xf>
    <xf numFmtId="0" fontId="7" fillId="0" borderId="14" xfId="17" applyBorder="1"/>
    <xf numFmtId="0" fontId="7" fillId="0" borderId="0" xfId="17" applyAlignment="1">
      <alignment horizontal="center"/>
    </xf>
    <xf numFmtId="174" fontId="8" fillId="0" borderId="1" xfId="17" applyNumberFormat="1" applyFont="1" applyBorder="1" applyAlignment="1">
      <alignment horizontal="center" wrapText="1"/>
    </xf>
    <xf numFmtId="0" fontId="8" fillId="0" borderId="0" xfId="17" applyFont="1" applyAlignment="1">
      <alignment horizontal="center" wrapText="1"/>
    </xf>
    <xf numFmtId="170" fontId="7" fillId="0" borderId="1" xfId="3" applyNumberFormat="1" applyFont="1" applyBorder="1" applyAlignment="1">
      <alignment wrapText="1"/>
    </xf>
    <xf numFmtId="175" fontId="37" fillId="0" borderId="17" xfId="3" applyNumberFormat="1" applyFont="1" applyBorder="1" applyAlignment="1">
      <alignment wrapText="1"/>
    </xf>
    <xf numFmtId="3" fontId="19" fillId="0" borderId="1" xfId="0" applyNumberFormat="1" applyFont="1" applyBorder="1" applyAlignment="1" applyProtection="1">
      <alignment horizontal="center"/>
      <protection locked="0"/>
    </xf>
    <xf numFmtId="174" fontId="19" fillId="0" borderId="1" xfId="0" applyNumberFormat="1" applyFont="1" applyBorder="1" applyProtection="1">
      <protection locked="0"/>
    </xf>
    <xf numFmtId="0" fontId="7" fillId="0" borderId="1" xfId="0" applyFont="1" applyBorder="1" applyAlignment="1" applyProtection="1">
      <alignment horizontal="center"/>
      <protection locked="0"/>
    </xf>
    <xf numFmtId="174" fontId="7" fillId="0" borderId="1" xfId="0" applyNumberFormat="1" applyFont="1" applyBorder="1" applyProtection="1">
      <protection locked="0"/>
    </xf>
    <xf numFmtId="0" fontId="19" fillId="0" borderId="1" xfId="17" applyFont="1" applyBorder="1" applyAlignment="1">
      <alignment horizontal="right"/>
    </xf>
    <xf numFmtId="174" fontId="19" fillId="0" borderId="1" xfId="1" applyNumberFormat="1" applyFont="1" applyBorder="1" applyAlignment="1">
      <alignment horizontal="center" wrapText="1"/>
    </xf>
    <xf numFmtId="10" fontId="19" fillId="0" borderId="1" xfId="1" applyNumberFormat="1" applyFont="1" applyBorder="1" applyAlignment="1">
      <alignment horizontal="center" wrapText="1"/>
    </xf>
    <xf numFmtId="169" fontId="7" fillId="0" borderId="1" xfId="1" applyFont="1" applyBorder="1" applyAlignment="1">
      <alignment horizontal="center" wrapText="1"/>
    </xf>
    <xf numFmtId="49" fontId="8" fillId="0" borderId="13" xfId="17" applyNumberFormat="1" applyFont="1" applyBorder="1"/>
    <xf numFmtId="49" fontId="8" fillId="0" borderId="13" xfId="17" applyNumberFormat="1" applyFont="1" applyBorder="1" applyAlignment="1">
      <alignment horizontal="center"/>
    </xf>
    <xf numFmtId="170" fontId="8" fillId="0" borderId="11" xfId="1" applyNumberFormat="1" applyFont="1" applyBorder="1" applyAlignment="1">
      <alignment horizontal="right" wrapText="1"/>
    </xf>
    <xf numFmtId="170" fontId="8" fillId="0" borderId="0" xfId="1" applyNumberFormat="1" applyFont="1" applyBorder="1" applyAlignment="1">
      <alignment horizontal="right" wrapText="1"/>
    </xf>
    <xf numFmtId="0" fontId="8" fillId="0" borderId="11" xfId="17" applyFont="1" applyBorder="1" applyAlignment="1">
      <alignment horizontal="center"/>
    </xf>
    <xf numFmtId="171" fontId="19" fillId="0" borderId="11" xfId="0" applyNumberFormat="1" applyFont="1" applyBorder="1"/>
    <xf numFmtId="4" fontId="7" fillId="0" borderId="1" xfId="1" applyNumberFormat="1" applyFont="1" applyBorder="1" applyAlignment="1">
      <alignment horizontal="center" wrapText="1"/>
    </xf>
    <xf numFmtId="2" fontId="7" fillId="0" borderId="1" xfId="17" applyNumberFormat="1" applyBorder="1" applyAlignment="1">
      <alignment horizontal="center" wrapText="1"/>
    </xf>
    <xf numFmtId="0" fontId="7" fillId="0" borderId="15" xfId="17" applyBorder="1"/>
    <xf numFmtId="0" fontId="7" fillId="0" borderId="12" xfId="17" applyBorder="1" applyAlignment="1">
      <alignment horizontal="center" vertical="center"/>
    </xf>
    <xf numFmtId="174" fontId="19" fillId="0" borderId="1" xfId="0" applyNumberFormat="1" applyFont="1" applyBorder="1"/>
    <xf numFmtId="0" fontId="7" fillId="0" borderId="1" xfId="17" applyBorder="1" applyAlignment="1">
      <alignment horizontal="left"/>
    </xf>
    <xf numFmtId="175" fontId="19" fillId="0" borderId="1" xfId="3" applyNumberFormat="1" applyFont="1" applyBorder="1" applyAlignment="1">
      <alignment horizontal="left" wrapText="1"/>
    </xf>
    <xf numFmtId="174" fontId="19" fillId="0" borderId="1" xfId="1" applyNumberFormat="1" applyFont="1" applyBorder="1" applyAlignment="1">
      <alignment horizontal="left" wrapText="1"/>
    </xf>
    <xf numFmtId="171" fontId="19" fillId="0" borderId="1" xfId="1" applyNumberFormat="1" applyFont="1" applyBorder="1" applyAlignment="1">
      <alignment horizontal="left" wrapText="1"/>
    </xf>
    <xf numFmtId="175" fontId="19" fillId="0" borderId="1" xfId="0" applyNumberFormat="1" applyFont="1" applyBorder="1" applyAlignment="1">
      <alignment horizontal="left"/>
    </xf>
    <xf numFmtId="175" fontId="19" fillId="0" borderId="17" xfId="3" applyNumberFormat="1" applyFont="1" applyBorder="1" applyAlignment="1">
      <alignment horizontal="left" wrapText="1"/>
    </xf>
    <xf numFmtId="0" fontId="7" fillId="0" borderId="5" xfId="17" applyBorder="1" applyAlignment="1">
      <alignment horizontal="left"/>
    </xf>
    <xf numFmtId="170" fontId="7" fillId="0" borderId="1" xfId="3" applyNumberFormat="1" applyFont="1" applyFill="1" applyBorder="1" applyAlignment="1">
      <alignment horizontal="right" wrapText="1"/>
    </xf>
    <xf numFmtId="0" fontId="7" fillId="0" borderId="11" xfId="17" applyBorder="1" applyAlignment="1">
      <alignment horizontal="center"/>
    </xf>
    <xf numFmtId="10" fontId="56" fillId="0" borderId="0" xfId="12" applyNumberFormat="1" applyFont="1"/>
    <xf numFmtId="174" fontId="19" fillId="0" borderId="14" xfId="1" applyNumberFormat="1" applyFont="1" applyBorder="1" applyAlignment="1">
      <alignment wrapText="1"/>
    </xf>
    <xf numFmtId="171" fontId="19" fillId="0" borderId="14" xfId="1" applyNumberFormat="1" applyFont="1" applyBorder="1" applyAlignment="1">
      <alignment wrapText="1"/>
    </xf>
    <xf numFmtId="174" fontId="19" fillId="0" borderId="1" xfId="0" applyNumberFormat="1" applyFont="1" applyBorder="1" applyAlignment="1">
      <alignment wrapText="1"/>
    </xf>
    <xf numFmtId="174" fontId="27" fillId="0" borderId="1" xfId="7" applyNumberFormat="1" applyFont="1" applyBorder="1" applyAlignment="1">
      <alignment wrapText="1"/>
    </xf>
    <xf numFmtId="174" fontId="19" fillId="0" borderId="1" xfId="0" applyNumberFormat="1" applyFont="1" applyBorder="1" applyAlignment="1" applyProtection="1">
      <alignment wrapText="1"/>
      <protection locked="0"/>
    </xf>
    <xf numFmtId="0" fontId="7" fillId="0" borderId="1" xfId="17" quotePrefix="1" applyBorder="1" applyAlignment="1">
      <alignment horizontal="left" vertical="top" wrapText="1"/>
    </xf>
    <xf numFmtId="3" fontId="19" fillId="0" borderId="1" xfId="0" applyNumberFormat="1" applyFont="1" applyBorder="1" applyAlignment="1" applyProtection="1">
      <alignment horizontal="center" wrapText="1"/>
      <protection locked="0"/>
    </xf>
    <xf numFmtId="174" fontId="7" fillId="0" borderId="1" xfId="7" applyNumberFormat="1" applyFont="1" applyFill="1" applyBorder="1" applyAlignment="1">
      <alignment wrapText="1"/>
    </xf>
    <xf numFmtId="196" fontId="19" fillId="0" borderId="1" xfId="3" applyNumberFormat="1" applyFont="1" applyBorder="1" applyAlignment="1">
      <alignment wrapText="1"/>
    </xf>
    <xf numFmtId="171" fontId="0" fillId="3" borderId="11" xfId="0" applyNumberFormat="1" applyFill="1" applyBorder="1" applyAlignment="1">
      <alignment vertical="center"/>
    </xf>
    <xf numFmtId="178" fontId="7" fillId="0" borderId="1" xfId="1" applyNumberFormat="1" applyFont="1" applyFill="1" applyBorder="1" applyAlignment="1">
      <alignment horizontal="center" wrapText="1"/>
    </xf>
    <xf numFmtId="0" fontId="27" fillId="0" borderId="0" xfId="12" applyFont="1"/>
    <xf numFmtId="10" fontId="7" fillId="0" borderId="1" xfId="1" applyNumberFormat="1" applyFont="1" applyFill="1" applyBorder="1" applyAlignment="1">
      <alignment wrapText="1"/>
    </xf>
    <xf numFmtId="197" fontId="7" fillId="0" borderId="1" xfId="1" applyNumberFormat="1" applyFont="1" applyBorder="1" applyAlignment="1">
      <alignment horizontal="center" wrapText="1"/>
    </xf>
    <xf numFmtId="10" fontId="7" fillId="0" borderId="1" xfId="7" applyNumberFormat="1" applyFont="1" applyBorder="1" applyAlignment="1">
      <alignment wrapText="1"/>
    </xf>
    <xf numFmtId="38" fontId="7" fillId="0" borderId="1" xfId="17" applyNumberFormat="1" applyBorder="1" applyAlignment="1">
      <alignment horizontal="center" wrapText="1"/>
    </xf>
    <xf numFmtId="9" fontId="7" fillId="0" borderId="0" xfId="27" applyFont="1" applyAlignment="1">
      <alignment vertical="top"/>
    </xf>
    <xf numFmtId="170" fontId="27" fillId="0" borderId="1" xfId="3" applyNumberFormat="1" applyFont="1" applyFill="1" applyBorder="1" applyAlignment="1">
      <alignment horizontal="right" wrapText="1"/>
    </xf>
    <xf numFmtId="0" fontId="7" fillId="0" borderId="1" xfId="17" quotePrefix="1" applyBorder="1" applyAlignment="1">
      <alignment horizontal="left" vertical="center" wrapText="1"/>
    </xf>
    <xf numFmtId="3" fontId="27" fillId="0" borderId="1" xfId="17" applyNumberFormat="1" applyFont="1" applyBorder="1" applyAlignment="1">
      <alignment horizontal="center" wrapText="1"/>
    </xf>
    <xf numFmtId="4" fontId="7" fillId="0" borderId="1" xfId="17" applyNumberFormat="1" applyBorder="1" applyAlignment="1">
      <alignment horizontal="center" vertical="center" wrapText="1"/>
    </xf>
    <xf numFmtId="174" fontId="7" fillId="0" borderId="1" xfId="1" applyNumberFormat="1" applyFont="1" applyFill="1" applyBorder="1" applyAlignment="1">
      <alignment horizontal="center" wrapText="1"/>
    </xf>
    <xf numFmtId="3" fontId="19" fillId="0" borderId="1" xfId="2" applyFont="1" applyFill="1" applyBorder="1" applyAlignment="1">
      <alignment horizontal="center"/>
    </xf>
    <xf numFmtId="0" fontId="7" fillId="0" borderId="17" xfId="17" applyBorder="1"/>
    <xf numFmtId="175" fontId="19" fillId="0" borderId="43" xfId="3" applyNumberFormat="1" applyFont="1" applyFill="1" applyBorder="1" applyAlignment="1">
      <alignment horizontal="right" vertical="center" wrapText="1"/>
    </xf>
    <xf numFmtId="181" fontId="19" fillId="0" borderId="41" xfId="3" applyNumberFormat="1" applyFont="1" applyFill="1" applyBorder="1" applyAlignment="1">
      <alignment horizontal="right" vertical="center" wrapText="1"/>
    </xf>
    <xf numFmtId="181" fontId="19" fillId="0" borderId="42" xfId="3" applyNumberFormat="1" applyFont="1" applyFill="1" applyBorder="1" applyAlignment="1">
      <alignment horizontal="right" vertical="center" wrapText="1"/>
    </xf>
    <xf numFmtId="170" fontId="7" fillId="0" borderId="1" xfId="3" applyNumberFormat="1" applyFont="1" applyFill="1" applyBorder="1" applyAlignment="1">
      <alignment wrapText="1"/>
    </xf>
    <xf numFmtId="0" fontId="7" fillId="0" borderId="1" xfId="0" applyFont="1" applyBorder="1" applyAlignment="1">
      <alignment vertical="top"/>
    </xf>
    <xf numFmtId="0" fontId="7" fillId="0" borderId="1" xfId="0" applyFont="1" applyBorder="1" applyAlignment="1">
      <alignment horizontal="right" vertical="top"/>
    </xf>
    <xf numFmtId="49" fontId="7" fillId="0" borderId="1" xfId="17" applyNumberFormat="1" applyBorder="1" applyAlignment="1">
      <alignment vertical="top" wrapText="1"/>
    </xf>
    <xf numFmtId="49" fontId="7" fillId="0" borderId="15" xfId="17" applyNumberFormat="1" applyBorder="1" applyAlignment="1">
      <alignment horizontal="right" vertical="top"/>
    </xf>
    <xf numFmtId="49" fontId="8" fillId="0" borderId="1" xfId="17" applyNumberFormat="1" applyFont="1" applyBorder="1" applyAlignment="1">
      <alignment horizontal="right" vertical="top"/>
    </xf>
    <xf numFmtId="0" fontId="8" fillId="0" borderId="1" xfId="17" applyFont="1" applyBorder="1" applyAlignment="1">
      <alignment horizontal="right" vertical="top"/>
    </xf>
    <xf numFmtId="0" fontId="7" fillId="0" borderId="1" xfId="17" applyBorder="1" applyAlignment="1">
      <alignment horizontal="right" vertical="top"/>
    </xf>
    <xf numFmtId="49" fontId="7" fillId="0" borderId="15" xfId="17" applyNumberFormat="1" applyBorder="1" applyAlignment="1">
      <alignment horizontal="right" vertical="top" wrapText="1"/>
    </xf>
    <xf numFmtId="49" fontId="8" fillId="0" borderId="15" xfId="17" applyNumberFormat="1" applyFont="1" applyBorder="1" applyAlignment="1">
      <alignment horizontal="left" vertical="top" wrapText="1"/>
    </xf>
    <xf numFmtId="0" fontId="18" fillId="0" borderId="1" xfId="17" applyFont="1" applyBorder="1" applyAlignment="1">
      <alignment horizontal="right" vertical="top"/>
    </xf>
    <xf numFmtId="0" fontId="7" fillId="0" borderId="0" xfId="17" applyAlignment="1">
      <alignment vertical="top"/>
    </xf>
    <xf numFmtId="49" fontId="7" fillId="0" borderId="1" xfId="17" applyNumberFormat="1" applyBorder="1" applyAlignment="1">
      <alignment horizontal="center" vertical="top" wrapText="1"/>
    </xf>
    <xf numFmtId="0" fontId="7" fillId="0" borderId="17" xfId="17" applyBorder="1" applyAlignment="1">
      <alignment horizontal="left" vertical="top" wrapText="1"/>
    </xf>
    <xf numFmtId="0" fontId="27" fillId="0" borderId="1" xfId="17" applyFont="1" applyBorder="1" applyAlignment="1">
      <alignment horizontal="left" vertical="top" wrapText="1"/>
    </xf>
    <xf numFmtId="3" fontId="19" fillId="0" borderId="1" xfId="0" applyNumberFormat="1" applyFont="1" applyBorder="1" applyAlignment="1">
      <alignment horizontal="center" wrapText="1"/>
    </xf>
    <xf numFmtId="0" fontId="8" fillId="0" borderId="3" xfId="17" applyFont="1" applyBorder="1" applyAlignment="1">
      <alignment horizontal="left" vertical="top" wrapText="1"/>
    </xf>
    <xf numFmtId="0" fontId="8" fillId="0" borderId="17" xfId="17" applyFont="1" applyBorder="1" applyAlignment="1">
      <alignment horizontal="left" vertical="top" wrapText="1"/>
    </xf>
    <xf numFmtId="49" fontId="8" fillId="0" borderId="1" xfId="17" applyNumberFormat="1" applyFont="1" applyBorder="1" applyAlignment="1">
      <alignment horizontal="center" vertical="top" wrapText="1"/>
    </xf>
    <xf numFmtId="0" fontId="8" fillId="0" borderId="1" xfId="17" applyFont="1" applyBorder="1" applyAlignment="1">
      <alignment horizontal="center" vertical="top" wrapText="1"/>
    </xf>
    <xf numFmtId="0" fontId="7" fillId="0" borderId="17" xfId="17" applyBorder="1" applyAlignment="1">
      <alignment horizontal="left" vertical="top"/>
    </xf>
    <xf numFmtId="0" fontId="19" fillId="0" borderId="17" xfId="0" applyFont="1" applyBorder="1" applyAlignment="1">
      <alignment vertical="top" wrapText="1"/>
    </xf>
    <xf numFmtId="0" fontId="7" fillId="0" borderId="17" xfId="0" applyFont="1" applyBorder="1" applyAlignment="1">
      <alignment vertical="top" wrapText="1"/>
    </xf>
    <xf numFmtId="0" fontId="7" fillId="0" borderId="17" xfId="0" applyFont="1" applyBorder="1" applyAlignment="1">
      <alignment horizontal="left" vertical="top" wrapText="1"/>
    </xf>
    <xf numFmtId="0" fontId="8" fillId="0" borderId="17" xfId="17" applyFont="1" applyBorder="1" applyAlignment="1">
      <alignment horizontal="left" vertical="top"/>
    </xf>
    <xf numFmtId="0" fontId="7" fillId="0" borderId="0" xfId="0" applyFont="1" applyAlignment="1">
      <alignment vertical="top" wrapText="1"/>
    </xf>
    <xf numFmtId="0" fontId="7" fillId="0" borderId="1" xfId="17" applyBorder="1" applyAlignment="1">
      <alignment horizontal="left" vertical="top"/>
    </xf>
    <xf numFmtId="0" fontId="7" fillId="0" borderId="1" xfId="17" applyBorder="1" applyAlignment="1">
      <alignment horizontal="right" vertical="top" wrapText="1"/>
    </xf>
    <xf numFmtId="4" fontId="7" fillId="0" borderId="1" xfId="1" applyNumberFormat="1" applyFont="1" applyFill="1" applyBorder="1" applyAlignment="1">
      <alignment horizontal="center" wrapText="1"/>
    </xf>
    <xf numFmtId="0" fontId="7" fillId="0" borderId="0" xfId="17" applyAlignment="1">
      <alignment vertical="top" wrapText="1"/>
    </xf>
    <xf numFmtId="0" fontId="7" fillId="0" borderId="0" xfId="17" applyAlignment="1">
      <alignment horizontal="left" vertical="top" wrapText="1"/>
    </xf>
    <xf numFmtId="0" fontId="20" fillId="0" borderId="1" xfId="0" applyFont="1" applyBorder="1" applyAlignment="1">
      <alignment vertical="top" wrapText="1"/>
    </xf>
    <xf numFmtId="0" fontId="7" fillId="0" borderId="0" xfId="0" applyFont="1" applyAlignment="1">
      <alignment horizontal="justify"/>
    </xf>
    <xf numFmtId="0" fontId="7" fillId="0" borderId="0" xfId="0" applyFont="1" applyAlignment="1">
      <alignment horizontal="left"/>
    </xf>
    <xf numFmtId="0" fontId="8" fillId="0" borderId="1" xfId="0" applyFont="1" applyBorder="1" applyAlignment="1">
      <alignment vertical="top" wrapText="1"/>
    </xf>
    <xf numFmtId="181" fontId="20" fillId="0" borderId="62" xfId="3" applyNumberFormat="1" applyFont="1" applyBorder="1" applyAlignment="1" applyProtection="1">
      <alignment horizontal="center" vertical="center" wrapText="1"/>
      <protection locked="0"/>
    </xf>
    <xf numFmtId="175" fontId="19" fillId="0" borderId="66" xfId="3" applyNumberFormat="1" applyFont="1" applyBorder="1" applyAlignment="1">
      <alignment horizontal="right" vertical="center" wrapText="1"/>
    </xf>
    <xf numFmtId="175" fontId="19" fillId="0" borderId="67" xfId="3" applyNumberFormat="1" applyFont="1" applyBorder="1" applyAlignment="1">
      <alignment horizontal="right" vertical="center" wrapText="1"/>
    </xf>
    <xf numFmtId="175" fontId="20" fillId="0" borderId="67" xfId="3" applyNumberFormat="1" applyFont="1" applyBorder="1" applyAlignment="1">
      <alignment horizontal="right" vertical="center" wrapText="1"/>
    </xf>
    <xf numFmtId="175" fontId="20" fillId="0" borderId="68" xfId="3" applyNumberFormat="1" applyFont="1" applyBorder="1" applyAlignment="1">
      <alignment horizontal="right" vertical="center" wrapText="1"/>
    </xf>
    <xf numFmtId="175" fontId="19" fillId="19" borderId="45" xfId="3" applyNumberFormat="1" applyFont="1" applyFill="1" applyBorder="1" applyAlignment="1">
      <alignment horizontal="right" vertical="center" wrapText="1"/>
    </xf>
    <xf numFmtId="183" fontId="19" fillId="19" borderId="44" xfId="3" applyNumberFormat="1" applyFont="1" applyFill="1" applyBorder="1" applyAlignment="1">
      <alignment horizontal="center" vertical="center" wrapText="1"/>
    </xf>
    <xf numFmtId="175" fontId="19" fillId="19" borderId="12" xfId="3" applyNumberFormat="1" applyFont="1" applyFill="1" applyBorder="1" applyAlignment="1">
      <alignment horizontal="right" vertical="center" wrapText="1"/>
    </xf>
    <xf numFmtId="181" fontId="19" fillId="19" borderId="45" xfId="3" applyNumberFormat="1" applyFont="1" applyFill="1" applyBorder="1" applyAlignment="1">
      <alignment horizontal="right" vertical="center" wrapText="1"/>
    </xf>
    <xf numFmtId="175" fontId="20" fillId="19" borderId="67" xfId="3" applyNumberFormat="1" applyFont="1" applyFill="1" applyBorder="1" applyAlignment="1">
      <alignment horizontal="right" vertical="center" wrapText="1"/>
    </xf>
    <xf numFmtId="175" fontId="19" fillId="19" borderId="43" xfId="3" applyNumberFormat="1" applyFont="1" applyFill="1" applyBorder="1" applyAlignment="1">
      <alignment horizontal="right" vertical="center" wrapText="1"/>
    </xf>
    <xf numFmtId="181" fontId="19" fillId="19" borderId="41" xfId="3" applyNumberFormat="1" applyFont="1" applyFill="1" applyBorder="1" applyAlignment="1">
      <alignment horizontal="right" vertical="center" wrapText="1"/>
    </xf>
    <xf numFmtId="181" fontId="19" fillId="19" borderId="42" xfId="3" applyNumberFormat="1" applyFont="1" applyFill="1" applyBorder="1" applyAlignment="1">
      <alignment horizontal="right" vertical="center" wrapText="1"/>
    </xf>
    <xf numFmtId="0" fontId="19" fillId="19" borderId="46" xfId="0" applyFont="1" applyFill="1" applyBorder="1" applyAlignment="1">
      <alignment horizontal="center" vertical="center" wrapText="1"/>
    </xf>
    <xf numFmtId="0" fontId="19" fillId="19" borderId="14" xfId="0" applyFont="1" applyFill="1" applyBorder="1" applyAlignment="1">
      <alignment horizontal="left" vertical="center" wrapText="1"/>
    </xf>
    <xf numFmtId="175" fontId="19" fillId="19" borderId="42" xfId="3" applyNumberFormat="1" applyFont="1" applyFill="1" applyBorder="1" applyAlignment="1">
      <alignment horizontal="right" vertical="center" wrapText="1"/>
    </xf>
    <xf numFmtId="175" fontId="19" fillId="19" borderId="67" xfId="3" applyNumberFormat="1" applyFont="1" applyFill="1" applyBorder="1" applyAlignment="1">
      <alignment horizontal="right" vertical="center" wrapText="1"/>
    </xf>
    <xf numFmtId="175" fontId="19" fillId="19" borderId="5" xfId="3" applyNumberFormat="1" applyFont="1" applyFill="1" applyBorder="1" applyAlignment="1">
      <alignment horizontal="right" vertical="center" wrapText="1"/>
    </xf>
    <xf numFmtId="183" fontId="19" fillId="0" borderId="44" xfId="3" applyNumberFormat="1" applyFont="1" applyFill="1" applyBorder="1" applyAlignment="1">
      <alignment horizontal="center" vertical="center" wrapText="1"/>
    </xf>
    <xf numFmtId="175" fontId="19" fillId="0" borderId="5" xfId="3" applyNumberFormat="1" applyFont="1" applyFill="1" applyBorder="1" applyAlignment="1">
      <alignment horizontal="right" vertical="center" wrapText="1"/>
    </xf>
    <xf numFmtId="181" fontId="19" fillId="0" borderId="45" xfId="3" applyNumberFormat="1" applyFont="1" applyFill="1" applyBorder="1" applyAlignment="1">
      <alignment horizontal="right" vertical="center" wrapText="1"/>
    </xf>
    <xf numFmtId="175" fontId="20" fillId="0" borderId="67" xfId="3" applyNumberFormat="1" applyFont="1" applyFill="1" applyBorder="1" applyAlignment="1">
      <alignment horizontal="right" vertical="center" wrapText="1"/>
    </xf>
    <xf numFmtId="175" fontId="0" fillId="19" borderId="19" xfId="0" applyNumberFormat="1" applyFill="1" applyBorder="1" applyAlignment="1">
      <alignment horizontal="center" vertical="center" wrapText="1"/>
    </xf>
    <xf numFmtId="175" fontId="0" fillId="19" borderId="11" xfId="0" applyNumberFormat="1" applyFill="1" applyBorder="1" applyAlignment="1">
      <alignment horizontal="center" vertical="center" wrapText="1"/>
    </xf>
    <xf numFmtId="0" fontId="8" fillId="0" borderId="1" xfId="0" applyFont="1" applyBorder="1" applyAlignment="1">
      <alignment horizontal="center" vertical="center" wrapText="1"/>
    </xf>
    <xf numFmtId="0" fontId="57" fillId="0" borderId="1" xfId="17" applyFont="1" applyBorder="1" applyAlignment="1">
      <alignment horizontal="left" vertical="top" wrapText="1"/>
    </xf>
    <xf numFmtId="0" fontId="7" fillId="0" borderId="1" xfId="0" applyFont="1" applyBorder="1" applyAlignment="1" applyProtection="1">
      <alignment horizontal="right" vertical="top" wrapText="1"/>
      <protection locked="0"/>
    </xf>
    <xf numFmtId="0" fontId="8" fillId="0" borderId="8" xfId="17" applyFont="1" applyBorder="1" applyAlignment="1">
      <alignment horizontal="left" vertical="center"/>
    </xf>
    <xf numFmtId="0" fontId="8" fillId="0" borderId="6" xfId="17" applyFont="1" applyBorder="1" applyAlignment="1">
      <alignment horizontal="left" vertical="center"/>
    </xf>
    <xf numFmtId="174" fontId="7" fillId="0" borderId="1" xfId="17" applyNumberFormat="1" applyBorder="1" applyAlignment="1">
      <alignment vertical="top" wrapText="1"/>
    </xf>
    <xf numFmtId="170" fontId="7" fillId="0" borderId="1" xfId="3" applyNumberFormat="1" applyFont="1" applyBorder="1" applyAlignment="1">
      <alignment horizontal="right" vertical="top" wrapText="1"/>
    </xf>
    <xf numFmtId="178" fontId="7" fillId="0" borderId="1" xfId="1" applyNumberFormat="1" applyFont="1" applyBorder="1" applyAlignment="1">
      <alignment horizontal="center" vertical="top" wrapText="1"/>
    </xf>
    <xf numFmtId="174" fontId="7" fillId="0" borderId="1" xfId="1" applyNumberFormat="1" applyFont="1" applyFill="1" applyBorder="1" applyAlignment="1">
      <alignment vertical="top" wrapText="1"/>
    </xf>
    <xf numFmtId="3" fontId="7" fillId="0" borderId="1" xfId="1" applyNumberFormat="1" applyFont="1" applyBorder="1" applyAlignment="1">
      <alignment horizontal="center" vertical="top" wrapText="1"/>
    </xf>
    <xf numFmtId="174" fontId="7" fillId="0" borderId="1" xfId="7" applyNumberFormat="1" applyFont="1" applyFill="1" applyBorder="1" applyAlignment="1">
      <alignment vertical="top" wrapText="1"/>
    </xf>
    <xf numFmtId="174" fontId="7" fillId="0" borderId="1" xfId="17" applyNumberFormat="1" applyBorder="1" applyAlignment="1">
      <alignment vertical="top"/>
    </xf>
    <xf numFmtId="3" fontId="7" fillId="0" borderId="1" xfId="1" applyNumberFormat="1" applyFont="1" applyFill="1" applyBorder="1" applyAlignment="1">
      <alignment horizontal="center" vertical="top" wrapText="1"/>
    </xf>
    <xf numFmtId="170" fontId="7" fillId="0" borderId="1" xfId="3" applyNumberFormat="1" applyFont="1" applyFill="1" applyBorder="1" applyAlignment="1">
      <alignment horizontal="right" vertical="top" wrapText="1"/>
    </xf>
    <xf numFmtId="0" fontId="58" fillId="3" borderId="0" xfId="0" applyFont="1" applyFill="1"/>
    <xf numFmtId="49" fontId="7" fillId="0" borderId="0" xfId="17" applyNumberFormat="1" applyAlignment="1">
      <alignment horizontal="left" vertical="top" wrapText="1"/>
    </xf>
    <xf numFmtId="0" fontId="7" fillId="0" borderId="0" xfId="17" applyAlignment="1">
      <alignment horizontal="left" vertical="top"/>
    </xf>
    <xf numFmtId="49" fontId="7" fillId="0" borderId="0" xfId="17" applyNumberFormat="1" applyAlignment="1">
      <alignment horizontal="left" vertical="top"/>
    </xf>
    <xf numFmtId="3" fontId="7" fillId="0" borderId="1" xfId="1" applyNumberFormat="1" applyFont="1" applyFill="1" applyBorder="1" applyAlignment="1">
      <alignment horizontal="center" vertical="center" wrapText="1"/>
    </xf>
    <xf numFmtId="174" fontId="7" fillId="0" borderId="1" xfId="7" applyNumberFormat="1" applyFont="1" applyFill="1" applyBorder="1" applyAlignment="1">
      <alignment vertical="center" wrapText="1"/>
    </xf>
    <xf numFmtId="170" fontId="7" fillId="0" borderId="1" xfId="3" applyNumberFormat="1" applyFont="1" applyFill="1" applyBorder="1" applyAlignment="1">
      <alignment horizontal="right" vertical="center" wrapText="1"/>
    </xf>
    <xf numFmtId="49" fontId="8" fillId="0" borderId="1" xfId="17" applyNumberFormat="1" applyFont="1" applyBorder="1" applyAlignment="1">
      <alignment horizontal="left" vertical="top" wrapText="1"/>
    </xf>
    <xf numFmtId="0" fontId="8" fillId="0" borderId="18" xfId="17" applyFont="1" applyBorder="1" applyAlignment="1">
      <alignment horizontal="left" vertical="center"/>
    </xf>
    <xf numFmtId="0" fontId="19" fillId="0" borderId="1" xfId="0" applyFont="1" applyBorder="1" applyAlignment="1" applyProtection="1">
      <alignment horizontal="left" vertical="top" wrapText="1"/>
      <protection locked="0"/>
    </xf>
    <xf numFmtId="0" fontId="7" fillId="0" borderId="1" xfId="0" applyFont="1" applyBorder="1" applyAlignment="1" applyProtection="1">
      <alignment vertical="top" wrapText="1"/>
      <protection locked="0"/>
    </xf>
    <xf numFmtId="0" fontId="7" fillId="0" borderId="1" xfId="0" applyFont="1" applyBorder="1" applyAlignment="1" applyProtection="1">
      <alignment horizontal="right" vertical="top"/>
      <protection locked="0"/>
    </xf>
    <xf numFmtId="0" fontId="8" fillId="0" borderId="1" xfId="0" applyFont="1" applyBorder="1" applyAlignment="1" applyProtection="1">
      <alignment vertical="top" wrapText="1"/>
      <protection locked="0"/>
    </xf>
    <xf numFmtId="49" fontId="8" fillId="0" borderId="11" xfId="17" applyNumberFormat="1" applyFont="1" applyBorder="1" applyAlignment="1">
      <alignment horizontal="center" vertical="center"/>
    </xf>
    <xf numFmtId="0" fontId="8" fillId="0" borderId="1" xfId="0" applyFont="1" applyBorder="1" applyAlignment="1">
      <alignment horizontal="left" vertical="top" wrapText="1"/>
    </xf>
    <xf numFmtId="166" fontId="8" fillId="0" borderId="1" xfId="1" applyNumberFormat="1" applyFont="1" applyBorder="1" applyAlignment="1">
      <alignment horizontal="right" vertical="center" wrapText="1"/>
    </xf>
    <xf numFmtId="194" fontId="7" fillId="0" borderId="1" xfId="0" applyNumberFormat="1" applyFont="1" applyBorder="1" applyAlignment="1" applyProtection="1">
      <alignment wrapText="1"/>
      <protection locked="0"/>
    </xf>
    <xf numFmtId="175" fontId="0" fillId="14" borderId="19" xfId="0" applyNumberFormat="1" applyFill="1" applyBorder="1" applyAlignment="1">
      <alignment horizontal="center" vertical="center" wrapText="1"/>
    </xf>
    <xf numFmtId="0" fontId="7" fillId="0" borderId="0" xfId="0" applyFont="1" applyAlignment="1">
      <alignment horizontal="right" vertical="center" wrapText="1" indent="1"/>
    </xf>
    <xf numFmtId="0" fontId="8" fillId="0" borderId="17" xfId="17" applyFont="1" applyBorder="1" applyAlignment="1">
      <alignment horizontal="left" vertical="center" wrapText="1"/>
    </xf>
    <xf numFmtId="167" fontId="7" fillId="0" borderId="0" xfId="28" applyFont="1" applyAlignment="1">
      <alignment vertical="top"/>
    </xf>
    <xf numFmtId="0" fontId="55" fillId="0" borderId="0" xfId="26" applyFont="1" applyAlignment="1">
      <alignment vertical="top"/>
    </xf>
    <xf numFmtId="0" fontId="57" fillId="0" borderId="0" xfId="26" applyFont="1" applyAlignment="1">
      <alignment vertical="top"/>
    </xf>
    <xf numFmtId="0" fontId="55" fillId="0" borderId="0" xfId="26" applyFont="1" applyAlignment="1">
      <alignment horizontal="center" vertical="top"/>
    </xf>
    <xf numFmtId="0" fontId="57" fillId="0" borderId="0" xfId="26" applyFont="1" applyAlignment="1">
      <alignment horizontal="left" vertical="top"/>
    </xf>
    <xf numFmtId="0" fontId="55" fillId="0" borderId="0" xfId="26" applyFont="1" applyAlignment="1">
      <alignment horizontal="center" vertical="top" shrinkToFit="1"/>
    </xf>
    <xf numFmtId="175" fontId="55" fillId="0" borderId="0" xfId="26" applyNumberFormat="1" applyFont="1" applyAlignment="1">
      <alignment horizontal="center" vertical="top"/>
    </xf>
    <xf numFmtId="175" fontId="55" fillId="0" borderId="0" xfId="26" applyNumberFormat="1" applyFont="1" applyAlignment="1">
      <alignment horizontal="right" vertical="top"/>
    </xf>
    <xf numFmtId="175" fontId="55" fillId="0" borderId="0" xfId="26" applyNumberFormat="1" applyFont="1" applyAlignment="1">
      <alignment horizontal="left" vertical="top"/>
    </xf>
    <xf numFmtId="175" fontId="55" fillId="0" borderId="0" xfId="26" applyNumberFormat="1" applyFont="1" applyAlignment="1">
      <alignment vertical="top" shrinkToFit="1"/>
    </xf>
    <xf numFmtId="175" fontId="55" fillId="0" borderId="0" xfId="26" applyNumberFormat="1" applyFont="1" applyAlignment="1">
      <alignment horizontal="right" vertical="top" shrinkToFit="1"/>
    </xf>
    <xf numFmtId="175" fontId="55" fillId="0" borderId="0" xfId="26" applyNumberFormat="1" applyFont="1" applyAlignment="1">
      <alignment horizontal="left" vertical="top" shrinkToFit="1"/>
    </xf>
    <xf numFmtId="171" fontId="55" fillId="0" borderId="0" xfId="26" applyNumberFormat="1" applyFont="1" applyAlignment="1">
      <alignment vertical="top"/>
    </xf>
    <xf numFmtId="0" fontId="55" fillId="0" borderId="0" xfId="26" applyFont="1" applyAlignment="1">
      <alignment horizontal="center" vertical="top" wrapText="1"/>
    </xf>
    <xf numFmtId="175" fontId="36" fillId="0" borderId="0" xfId="26" applyNumberFormat="1" applyFont="1" applyAlignment="1">
      <alignment vertical="center" wrapText="1"/>
    </xf>
    <xf numFmtId="0" fontId="57" fillId="0" borderId="11" xfId="26" applyFont="1" applyBorder="1" applyAlignment="1">
      <alignment vertical="top" wrapText="1"/>
    </xf>
    <xf numFmtId="0" fontId="57" fillId="0" borderId="11" xfId="26" applyFont="1" applyBorder="1" applyAlignment="1">
      <alignment vertical="top"/>
    </xf>
    <xf numFmtId="0" fontId="55" fillId="0" borderId="11" xfId="26" applyFont="1" applyBorder="1" applyAlignment="1">
      <alignment horizontal="center" vertical="top" shrinkToFit="1"/>
    </xf>
    <xf numFmtId="175" fontId="55" fillId="0" borderId="11" xfId="26" applyNumberFormat="1" applyFont="1" applyBorder="1" applyAlignment="1">
      <alignment vertical="top" shrinkToFit="1"/>
    </xf>
    <xf numFmtId="175" fontId="55" fillId="0" borderId="11" xfId="26" applyNumberFormat="1" applyFont="1" applyBorder="1" applyAlignment="1">
      <alignment vertical="top" wrapText="1" shrinkToFit="1"/>
    </xf>
    <xf numFmtId="174" fontId="55" fillId="0" borderId="0" xfId="26" applyNumberFormat="1" applyFont="1" applyAlignment="1">
      <alignment vertical="top"/>
    </xf>
    <xf numFmtId="0" fontId="55" fillId="0" borderId="11" xfId="26" applyFont="1" applyBorder="1" applyAlignment="1">
      <alignment vertical="top"/>
    </xf>
    <xf numFmtId="0" fontId="55" fillId="0" borderId="11" xfId="26" applyFont="1" applyBorder="1" applyAlignment="1">
      <alignment vertical="top" wrapText="1"/>
    </xf>
    <xf numFmtId="0" fontId="55" fillId="18" borderId="0" xfId="26" applyFont="1" applyFill="1" applyAlignment="1">
      <alignment vertical="top"/>
    </xf>
    <xf numFmtId="0" fontId="55" fillId="2" borderId="0" xfId="26" applyFont="1" applyFill="1" applyAlignment="1">
      <alignment vertical="top"/>
    </xf>
    <xf numFmtId="0" fontId="57" fillId="2" borderId="11" xfId="26" applyFont="1" applyFill="1" applyBorder="1" applyAlignment="1">
      <alignment vertical="top"/>
    </xf>
    <xf numFmtId="0" fontId="55" fillId="0" borderId="11" xfId="26" applyFont="1" applyBorder="1" applyAlignment="1">
      <alignment horizontal="center" vertical="top"/>
    </xf>
    <xf numFmtId="0" fontId="55" fillId="0" borderId="12" xfId="26" applyFont="1" applyBorder="1" applyAlignment="1">
      <alignment vertical="top"/>
    </xf>
    <xf numFmtId="0" fontId="55" fillId="0" borderId="13" xfId="26" applyFont="1" applyBorder="1" applyAlignment="1">
      <alignment horizontal="center" vertical="top" shrinkToFit="1"/>
    </xf>
    <xf numFmtId="175" fontId="55" fillId="0" borderId="13" xfId="26" applyNumberFormat="1" applyFont="1" applyBorder="1" applyAlignment="1">
      <alignment vertical="top" shrinkToFit="1"/>
    </xf>
    <xf numFmtId="175" fontId="55" fillId="0" borderId="18" xfId="26" applyNumberFormat="1" applyFont="1" applyBorder="1" applyAlignment="1">
      <alignment vertical="top" shrinkToFit="1"/>
    </xf>
    <xf numFmtId="0" fontId="57" fillId="0" borderId="12" xfId="26" applyFont="1" applyBorder="1" applyAlignment="1">
      <alignment vertical="top"/>
    </xf>
    <xf numFmtId="175" fontId="57" fillId="0" borderId="11" xfId="28" applyNumberFormat="1" applyFont="1" applyFill="1" applyBorder="1" applyAlignment="1">
      <alignment vertical="top" shrinkToFit="1"/>
    </xf>
    <xf numFmtId="175" fontId="55" fillId="2" borderId="0" xfId="26" applyNumberFormat="1" applyFont="1" applyFill="1" applyAlignment="1">
      <alignment vertical="top"/>
    </xf>
    <xf numFmtId="175" fontId="57" fillId="2" borderId="11" xfId="26" applyNumberFormat="1" applyFont="1" applyFill="1" applyBorder="1" applyAlignment="1">
      <alignment vertical="top" shrinkToFit="1"/>
    </xf>
    <xf numFmtId="175" fontId="57" fillId="0" borderId="11" xfId="26" applyNumberFormat="1" applyFont="1" applyBorder="1" applyAlignment="1">
      <alignment vertical="top" shrinkToFit="1"/>
    </xf>
    <xf numFmtId="167" fontId="55" fillId="0" borderId="12" xfId="26" applyNumberFormat="1" applyFont="1" applyBorder="1" applyAlignment="1">
      <alignment vertical="top"/>
    </xf>
    <xf numFmtId="0" fontId="57" fillId="0" borderId="13" xfId="26" applyFont="1" applyBorder="1" applyAlignment="1">
      <alignment horizontal="center" vertical="top" shrinkToFit="1"/>
    </xf>
    <xf numFmtId="175" fontId="57" fillId="0" borderId="13" xfId="26" applyNumberFormat="1" applyFont="1" applyBorder="1" applyAlignment="1">
      <alignment vertical="top" shrinkToFit="1"/>
    </xf>
    <xf numFmtId="175" fontId="57" fillId="0" borderId="18" xfId="26" applyNumberFormat="1" applyFont="1" applyBorder="1" applyAlignment="1">
      <alignment vertical="top" shrinkToFit="1"/>
    </xf>
    <xf numFmtId="171" fontId="57" fillId="0" borderId="11" xfId="26" applyNumberFormat="1" applyFont="1" applyBorder="1" applyAlignment="1">
      <alignment vertical="top" shrinkToFit="1"/>
    </xf>
    <xf numFmtId="0" fontId="57" fillId="2" borderId="11" xfId="26" applyFont="1" applyFill="1" applyBorder="1" applyAlignment="1">
      <alignment horizontal="center" vertical="top" wrapText="1"/>
    </xf>
    <xf numFmtId="0" fontId="57" fillId="2" borderId="11" xfId="26" applyFont="1" applyFill="1" applyBorder="1" applyAlignment="1">
      <alignment horizontal="center" vertical="top" wrapText="1" shrinkToFit="1"/>
    </xf>
    <xf numFmtId="175" fontId="57" fillId="2" borderId="11" xfId="26" applyNumberFormat="1" applyFont="1" applyFill="1" applyBorder="1" applyAlignment="1">
      <alignment horizontal="center" vertical="top" wrapText="1" shrinkToFit="1"/>
    </xf>
    <xf numFmtId="0" fontId="57" fillId="2" borderId="11" xfId="26" applyFont="1" applyFill="1" applyBorder="1" applyAlignment="1">
      <alignment vertical="top" wrapText="1"/>
    </xf>
    <xf numFmtId="0" fontId="57" fillId="0" borderId="11" xfId="26" applyFont="1" applyBorder="1" applyAlignment="1">
      <alignment horizontal="center" vertical="top"/>
    </xf>
    <xf numFmtId="0" fontId="55" fillId="0" borderId="11" xfId="26" applyFont="1" applyBorder="1" applyAlignment="1">
      <alignment horizontal="center" vertical="top" wrapText="1"/>
    </xf>
    <xf numFmtId="0" fontId="7" fillId="0" borderId="17" xfId="17" applyBorder="1" applyAlignment="1">
      <alignment horizontal="center" vertical="top" wrapText="1"/>
    </xf>
    <xf numFmtId="0" fontId="36" fillId="0" borderId="0" xfId="26" applyFont="1" applyAlignment="1">
      <alignment vertical="center" wrapText="1"/>
    </xf>
    <xf numFmtId="9" fontId="7" fillId="0" borderId="11" xfId="27" applyFont="1" applyBorder="1" applyAlignment="1">
      <alignment horizontal="center" vertical="top"/>
    </xf>
    <xf numFmtId="9" fontId="8" fillId="2" borderId="11" xfId="27" applyFont="1" applyFill="1" applyBorder="1" applyAlignment="1">
      <alignment horizontal="center" vertical="top" wrapText="1"/>
    </xf>
    <xf numFmtId="175" fontId="55" fillId="2" borderId="11" xfId="26" applyNumberFormat="1" applyFont="1" applyFill="1" applyBorder="1" applyAlignment="1">
      <alignment horizontal="center" vertical="top" wrapText="1" shrinkToFit="1"/>
    </xf>
    <xf numFmtId="9" fontId="7" fillId="2" borderId="11" xfId="27" applyFont="1" applyFill="1" applyBorder="1" applyAlignment="1">
      <alignment horizontal="center" vertical="top" wrapText="1"/>
    </xf>
    <xf numFmtId="0" fontId="57" fillId="2" borderId="11" xfId="26" applyFont="1" applyFill="1" applyBorder="1" applyAlignment="1">
      <alignment horizontal="center" vertical="top"/>
    </xf>
    <xf numFmtId="0" fontId="55" fillId="2" borderId="11" xfId="26" applyFont="1" applyFill="1" applyBorder="1" applyAlignment="1">
      <alignment horizontal="center" vertical="top" shrinkToFit="1"/>
    </xf>
    <xf numFmtId="175" fontId="55" fillId="2" borderId="11" xfId="26" applyNumberFormat="1" applyFont="1" applyFill="1" applyBorder="1" applyAlignment="1">
      <alignment vertical="top" shrinkToFit="1"/>
    </xf>
    <xf numFmtId="175" fontId="55" fillId="2" borderId="11" xfId="26" applyNumberFormat="1" applyFont="1" applyFill="1" applyBorder="1" applyAlignment="1">
      <alignment vertical="top" wrapText="1" shrinkToFit="1"/>
    </xf>
    <xf numFmtId="9" fontId="7" fillId="2" borderId="11" xfId="27" applyFont="1" applyFill="1" applyBorder="1" applyAlignment="1">
      <alignment horizontal="center" vertical="top"/>
    </xf>
    <xf numFmtId="0" fontId="55" fillId="2" borderId="11" xfId="26" applyFont="1" applyFill="1" applyBorder="1" applyAlignment="1">
      <alignment vertical="top" wrapText="1"/>
    </xf>
    <xf numFmtId="0" fontId="37" fillId="0" borderId="1" xfId="0" applyFont="1" applyBorder="1" applyAlignment="1">
      <alignment vertical="top" wrapText="1"/>
    </xf>
    <xf numFmtId="0" fontId="27" fillId="0" borderId="1" xfId="17" quotePrefix="1" applyFont="1" applyBorder="1" applyAlignment="1">
      <alignment horizontal="left" vertical="top" wrapText="1"/>
    </xf>
    <xf numFmtId="0" fontId="8" fillId="0" borderId="0" xfId="0" applyFont="1" applyAlignment="1">
      <alignment vertical="top"/>
    </xf>
    <xf numFmtId="0" fontId="8" fillId="0" borderId="3" xfId="17" applyFont="1" applyBorder="1" applyAlignment="1">
      <alignment horizontal="left" vertical="top"/>
    </xf>
    <xf numFmtId="0" fontId="7" fillId="0" borderId="0" xfId="0" applyFont="1" applyAlignment="1">
      <alignment vertical="top"/>
    </xf>
    <xf numFmtId="49" fontId="36" fillId="0" borderId="1" xfId="17" applyNumberFormat="1" applyFont="1" applyBorder="1" applyAlignment="1">
      <alignment horizontal="right" vertical="top" wrapText="1"/>
    </xf>
    <xf numFmtId="0" fontId="36" fillId="0" borderId="1" xfId="17" applyFont="1" applyBorder="1" applyAlignment="1">
      <alignment horizontal="left" vertical="top" wrapText="1"/>
    </xf>
    <xf numFmtId="0" fontId="0" fillId="0" borderId="8" xfId="0" applyBorder="1"/>
    <xf numFmtId="0" fontId="0" fillId="0" borderId="7" xfId="0" applyBorder="1"/>
    <xf numFmtId="175" fontId="8" fillId="0" borderId="5" xfId="0" applyNumberFormat="1" applyFont="1" applyBorder="1" applyAlignment="1">
      <alignment horizontal="right"/>
    </xf>
    <xf numFmtId="0" fontId="0" fillId="0" borderId="16" xfId="0" applyBorder="1"/>
    <xf numFmtId="0" fontId="0" fillId="0" borderId="11" xfId="0" applyBorder="1" applyAlignment="1">
      <alignment horizontal="right" indent="1"/>
    </xf>
    <xf numFmtId="171" fontId="8" fillId="0" borderId="11" xfId="0" applyNumberFormat="1" applyFont="1" applyBorder="1"/>
    <xf numFmtId="0" fontId="8" fillId="0" borderId="0" xfId="17" applyFont="1" applyAlignment="1">
      <alignment horizontal="right" vertical="top"/>
    </xf>
    <xf numFmtId="175" fontId="7" fillId="0" borderId="0" xfId="17" applyNumberFormat="1" applyAlignment="1">
      <alignment vertical="center"/>
    </xf>
    <xf numFmtId="0" fontId="59" fillId="0" borderId="0" xfId="0" applyFont="1" applyAlignment="1">
      <alignment horizontal="centerContinuous"/>
    </xf>
    <xf numFmtId="0" fontId="14" fillId="0" borderId="0" xfId="0" applyFont="1" applyAlignment="1">
      <alignment horizontal="centerContinuous"/>
    </xf>
    <xf numFmtId="0" fontId="8" fillId="0" borderId="0" xfId="0" applyFont="1" applyAlignment="1">
      <alignment horizontal="right"/>
    </xf>
    <xf numFmtId="174" fontId="8" fillId="0" borderId="0" xfId="0" applyNumberFormat="1" applyFont="1" applyAlignment="1">
      <alignment horizontal="left" indent="1"/>
    </xf>
    <xf numFmtId="44" fontId="0" fillId="0" borderId="0" xfId="0" applyNumberFormat="1" applyAlignment="1">
      <alignment vertical="center" wrapText="1"/>
    </xf>
    <xf numFmtId="166" fontId="0" fillId="0" borderId="0" xfId="0" applyNumberFormat="1" applyAlignment="1">
      <alignment vertical="center" wrapText="1"/>
    </xf>
    <xf numFmtId="0" fontId="20" fillId="17" borderId="44" xfId="0" applyFont="1" applyFill="1" applyBorder="1" applyAlignment="1">
      <alignment horizontal="center" vertical="center" wrapText="1"/>
    </xf>
    <xf numFmtId="0" fontId="19" fillId="17" borderId="11" xfId="0" applyFont="1" applyFill="1" applyBorder="1" applyAlignment="1">
      <alignment horizontal="left" vertical="center" wrapText="1"/>
    </xf>
    <xf numFmtId="175" fontId="19" fillId="17" borderId="45" xfId="3" applyNumberFormat="1" applyFont="1" applyFill="1" applyBorder="1" applyAlignment="1">
      <alignment horizontal="right" vertical="center" wrapText="1"/>
    </xf>
    <xf numFmtId="0" fontId="0" fillId="17" borderId="0" xfId="0" applyFill="1" applyAlignment="1">
      <alignment vertical="center" wrapText="1"/>
    </xf>
    <xf numFmtId="183" fontId="19" fillId="17" borderId="44" xfId="3" applyNumberFormat="1" applyFont="1" applyFill="1" applyBorder="1" applyAlignment="1">
      <alignment horizontal="center" vertical="center" wrapText="1"/>
    </xf>
    <xf numFmtId="175" fontId="19" fillId="17" borderId="12" xfId="3" applyNumberFormat="1" applyFont="1" applyFill="1" applyBorder="1" applyAlignment="1">
      <alignment horizontal="right" vertical="center" wrapText="1"/>
    </xf>
    <xf numFmtId="181" fontId="19" fillId="17" borderId="45" xfId="3" applyNumberFormat="1" applyFont="1" applyFill="1" applyBorder="1" applyAlignment="1">
      <alignment horizontal="right" vertical="center" wrapText="1"/>
    </xf>
    <xf numFmtId="175" fontId="20" fillId="17" borderId="67" xfId="3" applyNumberFormat="1" applyFont="1" applyFill="1" applyBorder="1" applyAlignment="1">
      <alignment horizontal="right" vertical="center" wrapText="1"/>
    </xf>
    <xf numFmtId="175" fontId="19" fillId="17" borderId="43" xfId="3" applyNumberFormat="1" applyFont="1" applyFill="1" applyBorder="1" applyAlignment="1">
      <alignment horizontal="right" vertical="center" wrapText="1"/>
    </xf>
    <xf numFmtId="181" fontId="19" fillId="17" borderId="41" xfId="3" applyNumberFormat="1" applyFont="1" applyFill="1" applyBorder="1" applyAlignment="1">
      <alignment horizontal="right" vertical="center" wrapText="1"/>
    </xf>
    <xf numFmtId="181" fontId="19" fillId="17" borderId="42" xfId="3" applyNumberFormat="1" applyFont="1" applyFill="1" applyBorder="1" applyAlignment="1">
      <alignment horizontal="right" vertical="center" wrapText="1"/>
    </xf>
    <xf numFmtId="0" fontId="20" fillId="17" borderId="72" xfId="0" applyFont="1" applyFill="1" applyBorder="1" applyAlignment="1">
      <alignment horizontal="center" vertical="center" wrapText="1"/>
    </xf>
    <xf numFmtId="0" fontId="20" fillId="17" borderId="54" xfId="0" applyFont="1" applyFill="1" applyBorder="1" applyAlignment="1">
      <alignment horizontal="left" vertical="center" wrapText="1"/>
    </xf>
    <xf numFmtId="44" fontId="20" fillId="17" borderId="55" xfId="3" applyNumberFormat="1" applyFont="1" applyFill="1" applyBorder="1" applyAlignment="1" applyProtection="1">
      <alignment horizontal="center" vertical="center" wrapText="1"/>
      <protection locked="0"/>
    </xf>
    <xf numFmtId="44" fontId="20" fillId="17" borderId="69" xfId="3" applyNumberFormat="1" applyFont="1" applyFill="1" applyBorder="1" applyAlignment="1" applyProtection="1">
      <alignment horizontal="center" vertical="center" wrapText="1"/>
      <protection locked="0"/>
    </xf>
    <xf numFmtId="44" fontId="20" fillId="17" borderId="2" xfId="3" applyNumberFormat="1" applyFont="1" applyFill="1" applyBorder="1" applyAlignment="1" applyProtection="1">
      <alignment horizontal="center" vertical="center" wrapText="1"/>
      <protection locked="0"/>
    </xf>
    <xf numFmtId="181" fontId="20" fillId="17" borderId="70" xfId="3" applyNumberFormat="1" applyFont="1" applyFill="1" applyBorder="1" applyAlignment="1" applyProtection="1">
      <alignment horizontal="center" vertical="center" wrapText="1"/>
      <protection locked="0"/>
    </xf>
    <xf numFmtId="181" fontId="20" fillId="17" borderId="71" xfId="3" applyNumberFormat="1" applyFont="1" applyFill="1" applyBorder="1" applyAlignment="1" applyProtection="1">
      <alignment horizontal="center" vertical="center" wrapText="1"/>
      <protection locked="0"/>
    </xf>
    <xf numFmtId="44" fontId="20" fillId="17" borderId="65" xfId="3" applyNumberFormat="1" applyFont="1" applyFill="1" applyBorder="1" applyAlignment="1" applyProtection="1">
      <alignment horizontal="center" vertical="center" wrapText="1"/>
      <protection locked="0"/>
    </xf>
    <xf numFmtId="181" fontId="20" fillId="17" borderId="69" xfId="3" applyNumberFormat="1" applyFont="1" applyFill="1" applyBorder="1" applyAlignment="1" applyProtection="1">
      <alignment horizontal="center" vertical="center" wrapText="1"/>
      <protection locked="0"/>
    </xf>
    <xf numFmtId="0" fontId="20" fillId="17" borderId="14" xfId="0" applyFont="1" applyFill="1" applyBorder="1" applyAlignment="1">
      <alignment horizontal="left" vertical="center" wrapText="1"/>
    </xf>
    <xf numFmtId="175" fontId="19" fillId="17" borderId="42" xfId="3" applyNumberFormat="1" applyFont="1" applyFill="1" applyBorder="1" applyAlignment="1">
      <alignment horizontal="right" vertical="center" wrapText="1"/>
    </xf>
    <xf numFmtId="175" fontId="19" fillId="17" borderId="5" xfId="3" applyNumberFormat="1" applyFont="1" applyFill="1" applyBorder="1" applyAlignment="1">
      <alignment horizontal="right" vertical="center" wrapText="1"/>
    </xf>
    <xf numFmtId="175" fontId="19" fillId="17" borderId="67" xfId="3" applyNumberFormat="1" applyFont="1" applyFill="1" applyBorder="1" applyAlignment="1">
      <alignment horizontal="right" vertical="center" wrapText="1"/>
    </xf>
    <xf numFmtId="166" fontId="8" fillId="0" borderId="15" xfId="17" applyNumberFormat="1" applyFont="1" applyBorder="1" applyAlignment="1">
      <alignment horizontal="right" vertical="center" wrapText="1"/>
    </xf>
    <xf numFmtId="166" fontId="8" fillId="0" borderId="17" xfId="17" applyNumberFormat="1" applyFont="1" applyBorder="1" applyAlignment="1">
      <alignment horizontal="right" vertical="center" wrapText="1"/>
    </xf>
    <xf numFmtId="166" fontId="8" fillId="0" borderId="1" xfId="17" applyNumberFormat="1" applyFont="1" applyBorder="1" applyAlignment="1">
      <alignment horizontal="right" vertical="center" wrapText="1"/>
    </xf>
    <xf numFmtId="0" fontId="8" fillId="0" borderId="14" xfId="17" applyFont="1" applyBorder="1" applyAlignment="1">
      <alignment horizontal="right" vertical="center" wrapText="1"/>
    </xf>
    <xf numFmtId="170" fontId="7" fillId="0" borderId="11" xfId="1" applyNumberFormat="1" applyFont="1" applyBorder="1" applyAlignment="1">
      <alignment horizontal="right" vertical="center" wrapText="1"/>
    </xf>
    <xf numFmtId="175" fontId="7" fillId="0" borderId="0" xfId="17" applyNumberFormat="1" applyAlignment="1">
      <alignment vertical="center" wrapText="1"/>
    </xf>
    <xf numFmtId="0" fontId="7" fillId="0" borderId="17" xfId="17" applyBorder="1" applyAlignment="1">
      <alignment horizontal="center" wrapText="1"/>
    </xf>
    <xf numFmtId="49" fontId="19" fillId="0" borderId="0" xfId="0" applyNumberFormat="1" applyFont="1" applyAlignment="1">
      <alignment horizontal="center" vertical="top"/>
    </xf>
    <xf numFmtId="0" fontId="7" fillId="0" borderId="2" xfId="17" applyBorder="1" applyAlignment="1">
      <alignment horizontal="center" wrapText="1"/>
    </xf>
    <xf numFmtId="0" fontId="19" fillId="19" borderId="44" xfId="0" applyFont="1" applyFill="1" applyBorder="1" applyAlignment="1">
      <alignment horizontal="center" vertical="center" wrapText="1"/>
    </xf>
    <xf numFmtId="175" fontId="8" fillId="0" borderId="0" xfId="17" applyNumberFormat="1" applyFont="1" applyAlignment="1">
      <alignment vertical="center"/>
    </xf>
    <xf numFmtId="175" fontId="7" fillId="0" borderId="0" xfId="17" applyNumberFormat="1" applyAlignment="1">
      <alignment horizontal="right" vertical="center"/>
    </xf>
    <xf numFmtId="174" fontId="8" fillId="0" borderId="0" xfId="17" applyNumberFormat="1" applyFont="1" applyAlignment="1">
      <alignment vertical="center"/>
    </xf>
    <xf numFmtId="0" fontId="27" fillId="0" borderId="1" xfId="0" applyFont="1" applyBorder="1" applyAlignment="1">
      <alignment horizontal="left" vertical="top"/>
    </xf>
    <xf numFmtId="49" fontId="27" fillId="0" borderId="1" xfId="17" applyNumberFormat="1" applyFont="1" applyBorder="1" applyAlignment="1">
      <alignment horizontal="left" vertical="top" wrapText="1"/>
    </xf>
    <xf numFmtId="38" fontId="7" fillId="0" borderId="1" xfId="0" applyNumberFormat="1" applyFont="1" applyBorder="1" applyAlignment="1">
      <alignment horizontal="center" wrapText="1"/>
    </xf>
    <xf numFmtId="38" fontId="7" fillId="0" borderId="1" xfId="0" applyNumberFormat="1" applyFont="1" applyBorder="1" applyAlignment="1" applyProtection="1">
      <alignment horizontal="center" wrapText="1"/>
      <protection locked="0"/>
    </xf>
    <xf numFmtId="38" fontId="27" fillId="0" borderId="1" xfId="0" applyNumberFormat="1" applyFont="1" applyBorder="1" applyAlignment="1">
      <alignment horizontal="center" wrapText="1"/>
    </xf>
    <xf numFmtId="0" fontId="60" fillId="0" borderId="0" xfId="0" applyFont="1" applyAlignment="1">
      <alignment vertical="center" wrapText="1"/>
    </xf>
    <xf numFmtId="0" fontId="18" fillId="0" borderId="0" xfId="0" applyFont="1" applyAlignment="1">
      <alignment vertical="center"/>
    </xf>
    <xf numFmtId="175" fontId="18" fillId="0" borderId="0" xfId="0" applyNumberFormat="1" applyFont="1" applyAlignment="1">
      <alignment vertical="center"/>
    </xf>
    <xf numFmtId="175" fontId="60" fillId="0" borderId="0" xfId="0" applyNumberFormat="1" applyFont="1" applyAlignment="1">
      <alignment vertical="center"/>
    </xf>
    <xf numFmtId="0" fontId="18" fillId="0" borderId="0" xfId="0" applyFont="1" applyAlignment="1">
      <alignment horizontal="right" vertical="center"/>
    </xf>
    <xf numFmtId="0" fontId="60" fillId="0" borderId="0" xfId="0" applyFont="1" applyAlignment="1">
      <alignment horizontal="center" vertical="center" wrapText="1"/>
    </xf>
    <xf numFmtId="175" fontId="18" fillId="0" borderId="0" xfId="0" applyNumberFormat="1" applyFont="1" applyAlignment="1">
      <alignment vertical="center" wrapText="1"/>
    </xf>
    <xf numFmtId="0" fontId="18" fillId="0" borderId="1" xfId="0" applyFont="1" applyBorder="1" applyAlignment="1">
      <alignment horizontal="center" vertical="center"/>
    </xf>
    <xf numFmtId="175" fontId="18" fillId="0" borderId="1" xfId="0" applyNumberFormat="1" applyFont="1" applyBorder="1" applyAlignment="1">
      <alignment horizontal="left" vertical="center" wrapText="1"/>
    </xf>
    <xf numFmtId="184" fontId="18" fillId="0" borderId="1" xfId="0" applyNumberFormat="1" applyFont="1" applyBorder="1" applyAlignment="1">
      <alignment vertical="center"/>
    </xf>
    <xf numFmtId="184" fontId="18" fillId="0" borderId="1" xfId="0" applyNumberFormat="1" applyFont="1" applyBorder="1" applyAlignment="1">
      <alignment horizontal="right" vertical="center"/>
    </xf>
    <xf numFmtId="0" fontId="18" fillId="0" borderId="11" xfId="0" applyFont="1" applyBorder="1" applyAlignment="1">
      <alignment horizontal="center" vertical="center"/>
    </xf>
    <xf numFmtId="175" fontId="18" fillId="0" borderId="11" xfId="0" applyNumberFormat="1" applyFont="1" applyBorder="1" applyAlignment="1">
      <alignment horizontal="left" vertical="center" wrapText="1"/>
    </xf>
    <xf numFmtId="184" fontId="18" fillId="0" borderId="11" xfId="0" applyNumberFormat="1" applyFont="1" applyBorder="1" applyAlignment="1">
      <alignment vertical="center"/>
    </xf>
    <xf numFmtId="184" fontId="18" fillId="0" borderId="11" xfId="0" applyNumberFormat="1" applyFont="1" applyBorder="1" applyAlignment="1">
      <alignment horizontal="right" vertical="center"/>
    </xf>
    <xf numFmtId="0" fontId="18" fillId="0" borderId="73" xfId="0" applyFont="1" applyBorder="1" applyAlignment="1">
      <alignment horizontal="center" vertical="center"/>
    </xf>
    <xf numFmtId="175" fontId="18" fillId="0" borderId="73" xfId="0" applyNumberFormat="1" applyFont="1" applyBorder="1" applyAlignment="1">
      <alignment horizontal="left" vertical="center" wrapText="1"/>
    </xf>
    <xf numFmtId="184" fontId="18" fillId="0" borderId="73" xfId="0" applyNumberFormat="1" applyFont="1" applyBorder="1" applyAlignment="1">
      <alignment vertical="center"/>
    </xf>
    <xf numFmtId="184" fontId="18" fillId="0" borderId="73" xfId="0" applyNumberFormat="1" applyFont="1" applyBorder="1" applyAlignment="1">
      <alignment horizontal="right" vertical="center"/>
    </xf>
    <xf numFmtId="0" fontId="18" fillId="0" borderId="21" xfId="0" applyFont="1" applyBorder="1" applyAlignment="1">
      <alignment horizontal="center" vertical="center"/>
    </xf>
    <xf numFmtId="175" fontId="18" fillId="0" borderId="21" xfId="0" applyNumberFormat="1" applyFont="1" applyBorder="1" applyAlignment="1">
      <alignment horizontal="left" vertical="center" wrapText="1"/>
    </xf>
    <xf numFmtId="184" fontId="18" fillId="0" borderId="21" xfId="0" applyNumberFormat="1" applyFont="1" applyBorder="1" applyAlignment="1">
      <alignment vertical="center"/>
    </xf>
    <xf numFmtId="184" fontId="18" fillId="0" borderId="21" xfId="0" applyNumberFormat="1" applyFont="1" applyBorder="1" applyAlignment="1">
      <alignment horizontal="right" vertical="center"/>
    </xf>
    <xf numFmtId="0" fontId="18" fillId="0" borderId="31" xfId="0" applyFont="1" applyBorder="1" applyAlignment="1">
      <alignment vertical="center"/>
    </xf>
    <xf numFmtId="0" fontId="18" fillId="0" borderId="24" xfId="0" applyFont="1" applyBorder="1" applyAlignment="1">
      <alignment vertical="center"/>
    </xf>
    <xf numFmtId="0" fontId="18" fillId="0" borderId="29" xfId="0" applyFont="1" applyBorder="1" applyAlignment="1">
      <alignment vertical="center"/>
    </xf>
    <xf numFmtId="0" fontId="18" fillId="0" borderId="23" xfId="0" applyFont="1" applyBorder="1" applyAlignment="1">
      <alignment vertical="center"/>
    </xf>
    <xf numFmtId="0" fontId="23" fillId="17" borderId="11" xfId="0" applyFont="1" applyFill="1" applyBorder="1" applyAlignment="1">
      <alignment horizontal="center" vertical="center" wrapText="1"/>
    </xf>
    <xf numFmtId="175" fontId="18" fillId="0" borderId="19" xfId="0" applyNumberFormat="1" applyFont="1" applyBorder="1" applyAlignment="1">
      <alignment vertical="center"/>
    </xf>
    <xf numFmtId="175" fontId="18" fillId="0" borderId="20" xfId="0" applyNumberFormat="1" applyFont="1" applyBorder="1" applyAlignment="1">
      <alignment vertical="center"/>
    </xf>
    <xf numFmtId="175" fontId="18" fillId="0" borderId="30" xfId="0" applyNumberFormat="1" applyFont="1" applyBorder="1" applyAlignment="1">
      <alignment vertical="center"/>
    </xf>
    <xf numFmtId="184" fontId="60" fillId="17" borderId="11" xfId="0" applyNumberFormat="1" applyFont="1" applyFill="1" applyBorder="1" applyAlignment="1">
      <alignment horizontal="center" vertical="center"/>
    </xf>
    <xf numFmtId="175" fontId="60" fillId="17" borderId="11" xfId="0" applyNumberFormat="1" applyFont="1" applyFill="1" applyBorder="1" applyAlignment="1">
      <alignment vertical="center"/>
    </xf>
    <xf numFmtId="175" fontId="60" fillId="17" borderId="11" xfId="0" applyNumberFormat="1" applyFont="1" applyFill="1" applyBorder="1" applyAlignment="1">
      <alignment horizontal="center" vertical="center" wrapText="1"/>
    </xf>
    <xf numFmtId="0" fontId="60" fillId="17" borderId="11" xfId="0" applyFont="1" applyFill="1" applyBorder="1" applyAlignment="1">
      <alignment horizontal="center" vertical="center" wrapText="1"/>
    </xf>
    <xf numFmtId="0" fontId="60" fillId="17" borderId="12" xfId="0" applyFont="1" applyFill="1" applyBorder="1" applyAlignment="1">
      <alignment horizontal="centerContinuous" vertical="center"/>
    </xf>
    <xf numFmtId="0" fontId="60" fillId="17" borderId="18" xfId="0" applyFont="1" applyFill="1" applyBorder="1" applyAlignment="1">
      <alignment horizontal="centerContinuous" vertical="center"/>
    </xf>
    <xf numFmtId="184" fontId="18" fillId="20" borderId="19" xfId="0" applyNumberFormat="1" applyFont="1" applyFill="1" applyBorder="1" applyAlignment="1">
      <alignment horizontal="center" vertical="center"/>
    </xf>
    <xf numFmtId="184" fontId="18" fillId="20" borderId="20" xfId="0" applyNumberFormat="1" applyFont="1" applyFill="1" applyBorder="1" applyAlignment="1">
      <alignment horizontal="center" vertical="center"/>
    </xf>
    <xf numFmtId="184" fontId="18" fillId="20" borderId="30" xfId="0" applyNumberFormat="1" applyFont="1" applyFill="1" applyBorder="1" applyAlignment="1">
      <alignment horizontal="center" vertical="center"/>
    </xf>
    <xf numFmtId="0" fontId="18" fillId="20" borderId="19" xfId="0" applyFont="1" applyFill="1" applyBorder="1" applyAlignment="1">
      <alignment vertical="center" wrapText="1"/>
    </xf>
    <xf numFmtId="0" fontId="18" fillId="20" borderId="20" xfId="0" applyFont="1" applyFill="1" applyBorder="1" applyAlignment="1">
      <alignment vertical="center" wrapText="1"/>
    </xf>
    <xf numFmtId="175" fontId="18" fillId="20" borderId="20" xfId="0" applyNumberFormat="1" applyFont="1" applyFill="1" applyBorder="1" applyAlignment="1">
      <alignment vertical="center"/>
    </xf>
    <xf numFmtId="0" fontId="18" fillId="20" borderId="30" xfId="0" applyFont="1" applyFill="1" applyBorder="1" applyAlignment="1">
      <alignment vertical="center" wrapText="1"/>
    </xf>
    <xf numFmtId="0" fontId="60" fillId="17" borderId="12" xfId="0" applyFont="1" applyFill="1" applyBorder="1" applyAlignment="1">
      <alignment vertical="center"/>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7" fillId="0" borderId="30" xfId="0" applyFont="1" applyBorder="1" applyAlignment="1">
      <alignment horizontal="left" vertical="center" wrapText="1"/>
    </xf>
    <xf numFmtId="0" fontId="23" fillId="17" borderId="11" xfId="0" applyFont="1" applyFill="1" applyBorder="1" applyAlignment="1">
      <alignment horizontal="left" vertical="center" wrapText="1"/>
    </xf>
    <xf numFmtId="184" fontId="18" fillId="0" borderId="20" xfId="0" applyNumberFormat="1" applyFont="1" applyBorder="1" applyAlignment="1">
      <alignment horizontal="center" vertical="center"/>
    </xf>
    <xf numFmtId="184" fontId="18" fillId="0" borderId="30" xfId="0" applyNumberFormat="1" applyFont="1" applyBorder="1" applyAlignment="1">
      <alignment horizontal="center" vertical="center"/>
    </xf>
    <xf numFmtId="175" fontId="18" fillId="20" borderId="11" xfId="0" applyNumberFormat="1" applyFont="1" applyFill="1" applyBorder="1" applyAlignment="1">
      <alignment horizontal="right" vertical="center" shrinkToFit="1"/>
    </xf>
    <xf numFmtId="198" fontId="18" fillId="20" borderId="11" xfId="0" applyNumberFormat="1" applyFont="1" applyFill="1" applyBorder="1" applyAlignment="1">
      <alignment horizontal="right" vertical="center" shrinkToFit="1"/>
    </xf>
    <xf numFmtId="175" fontId="18" fillId="0" borderId="11" xfId="0" applyNumberFormat="1" applyFont="1" applyBorder="1" applyAlignment="1">
      <alignment horizontal="right" vertical="center" shrinkToFit="1"/>
    </xf>
    <xf numFmtId="0" fontId="18" fillId="20" borderId="19" xfId="0" applyFont="1" applyFill="1" applyBorder="1" applyAlignment="1">
      <alignment horizontal="center" vertical="center"/>
    </xf>
    <xf numFmtId="0" fontId="18" fillId="20" borderId="20" xfId="0" applyFont="1" applyFill="1" applyBorder="1" applyAlignment="1">
      <alignment horizontal="center" vertical="center"/>
    </xf>
    <xf numFmtId="0" fontId="18" fillId="20" borderId="30" xfId="0" applyFont="1" applyFill="1" applyBorder="1" applyAlignment="1">
      <alignment horizontal="center" vertical="center"/>
    </xf>
    <xf numFmtId="184" fontId="18" fillId="20" borderId="1" xfId="0" applyNumberFormat="1" applyFont="1" applyFill="1" applyBorder="1" applyAlignment="1">
      <alignment vertical="center"/>
    </xf>
    <xf numFmtId="184" fontId="18" fillId="20" borderId="73" xfId="0" applyNumberFormat="1" applyFont="1" applyFill="1" applyBorder="1" applyAlignment="1">
      <alignment vertical="center"/>
    </xf>
    <xf numFmtId="184" fontId="18" fillId="20" borderId="21" xfId="0" applyNumberFormat="1" applyFont="1" applyFill="1" applyBorder="1" applyAlignment="1">
      <alignment vertical="center"/>
    </xf>
    <xf numFmtId="184" fontId="18" fillId="20" borderId="11" xfId="0" applyNumberFormat="1" applyFont="1" applyFill="1" applyBorder="1" applyAlignment="1">
      <alignment vertical="center"/>
    </xf>
    <xf numFmtId="0" fontId="60" fillId="0" borderId="11" xfId="0" applyFont="1" applyBorder="1" applyAlignment="1">
      <alignment horizontal="center" vertical="center"/>
    </xf>
    <xf numFmtId="175" fontId="60" fillId="0" borderId="11" xfId="0" applyNumberFormat="1" applyFont="1" applyBorder="1" applyAlignment="1">
      <alignment horizontal="center" vertical="center"/>
    </xf>
    <xf numFmtId="0" fontId="60" fillId="0" borderId="12" xfId="0" applyFont="1" applyBorder="1" applyAlignment="1">
      <alignment horizontal="center" vertical="center"/>
    </xf>
    <xf numFmtId="0" fontId="60" fillId="0" borderId="18" xfId="0" applyFont="1" applyBorder="1" applyAlignment="1">
      <alignment horizontal="center" vertical="center"/>
    </xf>
    <xf numFmtId="175" fontId="60" fillId="0" borderId="0" xfId="0" applyNumberFormat="1" applyFont="1" applyAlignment="1">
      <alignment horizontal="center" vertical="center"/>
    </xf>
    <xf numFmtId="0" fontId="60" fillId="0" borderId="0" xfId="0" applyFont="1" applyAlignment="1">
      <alignment horizontal="center" vertical="center"/>
    </xf>
    <xf numFmtId="0" fontId="18" fillId="0" borderId="6" xfId="0" applyFont="1" applyBorder="1" applyAlignment="1">
      <alignment vertical="center"/>
    </xf>
    <xf numFmtId="175" fontId="18" fillId="0" borderId="6" xfId="0" applyNumberFormat="1" applyFont="1" applyBorder="1" applyAlignment="1">
      <alignment vertical="center"/>
    </xf>
    <xf numFmtId="0" fontId="18" fillId="0" borderId="4" xfId="0" applyFont="1" applyBorder="1" applyAlignment="1">
      <alignment vertical="center"/>
    </xf>
    <xf numFmtId="175" fontId="18" fillId="0" borderId="4" xfId="0" applyNumberFormat="1" applyFont="1" applyBorder="1" applyAlignment="1">
      <alignment vertical="center"/>
    </xf>
    <xf numFmtId="0" fontId="18" fillId="0" borderId="22" xfId="0" applyFont="1" applyBorder="1" applyAlignment="1">
      <alignment vertical="center"/>
    </xf>
    <xf numFmtId="175" fontId="18" fillId="0" borderId="11" xfId="0" applyNumberFormat="1" applyFont="1" applyBorder="1" applyAlignment="1">
      <alignment vertical="center"/>
    </xf>
    <xf numFmtId="0" fontId="18" fillId="0" borderId="74" xfId="0" applyFont="1" applyBorder="1" applyAlignment="1">
      <alignment vertical="center"/>
    </xf>
    <xf numFmtId="0" fontId="18" fillId="0" borderId="75" xfId="0" applyFont="1" applyBorder="1" applyAlignment="1">
      <alignment vertical="center"/>
    </xf>
    <xf numFmtId="0" fontId="18" fillId="0" borderId="25" xfId="0" applyFont="1" applyBorder="1" applyAlignment="1">
      <alignment vertical="center"/>
    </xf>
    <xf numFmtId="0" fontId="18" fillId="0" borderId="26" xfId="0" applyFont="1" applyBorder="1" applyAlignment="1">
      <alignment vertical="center"/>
    </xf>
    <xf numFmtId="0" fontId="18" fillId="0" borderId="34" xfId="0" applyFont="1" applyBorder="1" applyAlignment="1">
      <alignment vertical="center"/>
    </xf>
    <xf numFmtId="0" fontId="18" fillId="0" borderId="76" xfId="0" applyFont="1" applyBorder="1" applyAlignment="1">
      <alignment vertical="center"/>
    </xf>
    <xf numFmtId="0" fontId="18" fillId="0" borderId="27" xfId="0" applyFont="1" applyBorder="1" applyAlignment="1">
      <alignment vertical="center"/>
    </xf>
    <xf numFmtId="0" fontId="18" fillId="0" borderId="33" xfId="0" applyFont="1" applyBorder="1" applyAlignment="1">
      <alignment vertical="center"/>
    </xf>
    <xf numFmtId="0" fontId="60" fillId="0" borderId="0" xfId="0" applyFont="1" applyAlignment="1">
      <alignment vertical="center"/>
    </xf>
    <xf numFmtId="175" fontId="60" fillId="0" borderId="11" xfId="0" applyNumberFormat="1" applyFont="1" applyBorder="1" applyAlignment="1">
      <alignment vertical="center"/>
    </xf>
    <xf numFmtId="175" fontId="18" fillId="0" borderId="0" xfId="0" applyNumberFormat="1" applyFont="1" applyAlignment="1">
      <alignment horizontal="left" vertical="center"/>
    </xf>
    <xf numFmtId="175" fontId="61" fillId="0" borderId="0" xfId="0" applyNumberFormat="1" applyFont="1" applyAlignment="1">
      <alignment horizontal="right" vertical="center"/>
    </xf>
    <xf numFmtId="9" fontId="18" fillId="0" borderId="15" xfId="0" applyNumberFormat="1" applyFont="1" applyBorder="1" applyAlignment="1">
      <alignment vertical="center"/>
    </xf>
    <xf numFmtId="0" fontId="18" fillId="0" borderId="14" xfId="0" applyFont="1" applyBorder="1" applyAlignment="1">
      <alignment horizontal="right" vertical="center"/>
    </xf>
    <xf numFmtId="175" fontId="60" fillId="0" borderId="6" xfId="0" applyNumberFormat="1" applyFont="1" applyBorder="1" applyAlignment="1">
      <alignment horizontal="center" vertical="center"/>
    </xf>
    <xf numFmtId="10" fontId="18" fillId="20" borderId="20" xfId="0" applyNumberFormat="1" applyFont="1" applyFill="1" applyBorder="1" applyAlignment="1">
      <alignment vertical="center"/>
    </xf>
    <xf numFmtId="175" fontId="60" fillId="17" borderId="18" xfId="0" applyNumberFormat="1" applyFont="1" applyFill="1" applyBorder="1" applyAlignment="1">
      <alignment horizontal="right" vertical="center"/>
    </xf>
    <xf numFmtId="199" fontId="18" fillId="0" borderId="11" xfId="0" applyNumberFormat="1" applyFont="1" applyBorder="1" applyAlignment="1">
      <alignment vertical="center"/>
    </xf>
    <xf numFmtId="0" fontId="18" fillId="0" borderId="25" xfId="0" applyFont="1" applyBorder="1" applyAlignment="1">
      <alignment horizontal="left" vertical="center" indent="1"/>
    </xf>
    <xf numFmtId="0" fontId="18" fillId="0" borderId="32" xfId="0" applyFont="1" applyBorder="1" applyAlignment="1">
      <alignment horizontal="left" vertical="center" indent="1"/>
    </xf>
    <xf numFmtId="0" fontId="18" fillId="0" borderId="28" xfId="0" applyFont="1" applyBorder="1" applyAlignment="1">
      <alignment horizontal="left" vertical="center" indent="1"/>
    </xf>
    <xf numFmtId="0" fontId="31" fillId="8" borderId="11" xfId="13" applyFont="1" applyFill="1" applyBorder="1" applyAlignment="1">
      <alignment horizontal="center" vertical="center"/>
    </xf>
    <xf numFmtId="0" fontId="31" fillId="8" borderId="11" xfId="13" applyFont="1" applyFill="1" applyBorder="1" applyAlignment="1">
      <alignment horizontal="center" vertical="center" wrapText="1"/>
    </xf>
    <xf numFmtId="0" fontId="2" fillId="8" borderId="6" xfId="13" applyFont="1" applyFill="1" applyBorder="1" applyAlignment="1">
      <alignment vertical="center"/>
    </xf>
    <xf numFmtId="0" fontId="2" fillId="8" borderId="0" xfId="13" applyFont="1" applyFill="1" applyAlignment="1">
      <alignment vertical="center"/>
    </xf>
    <xf numFmtId="0" fontId="32" fillId="8" borderId="12" xfId="13" applyFont="1" applyFill="1" applyBorder="1" applyAlignment="1">
      <alignment horizontal="center" vertical="center"/>
    </xf>
    <xf numFmtId="0" fontId="32" fillId="8" borderId="13" xfId="13" applyFont="1" applyFill="1" applyBorder="1" applyAlignment="1">
      <alignment horizontal="center" vertical="center"/>
    </xf>
    <xf numFmtId="0" fontId="32" fillId="8" borderId="18" xfId="13" applyFont="1" applyFill="1" applyBorder="1" applyAlignment="1">
      <alignment horizontal="center" vertical="center"/>
    </xf>
    <xf numFmtId="0" fontId="31" fillId="8" borderId="15" xfId="13" applyFont="1" applyFill="1" applyBorder="1" applyAlignment="1">
      <alignment horizontal="center" vertical="center" wrapText="1"/>
    </xf>
    <xf numFmtId="0" fontId="31" fillId="8" borderId="14" xfId="13" applyFont="1" applyFill="1" applyBorder="1" applyAlignment="1">
      <alignment horizontal="center" vertical="center" wrapText="1"/>
    </xf>
    <xf numFmtId="0" fontId="31" fillId="8" borderId="12" xfId="13" applyFont="1" applyFill="1" applyBorder="1" applyAlignment="1">
      <alignment horizontal="center" vertical="center" wrapText="1"/>
    </xf>
    <xf numFmtId="0" fontId="31" fillId="8" borderId="18" xfId="13" applyFont="1" applyFill="1" applyBorder="1" applyAlignment="1">
      <alignment horizontal="center" vertical="center" wrapText="1"/>
    </xf>
    <xf numFmtId="0" fontId="60" fillId="0" borderId="0" xfId="0" applyFont="1" applyAlignment="1">
      <alignment vertical="center" wrapText="1"/>
    </xf>
    <xf numFmtId="49" fontId="8" fillId="0" borderId="35" xfId="0" applyNumberFormat="1" applyFont="1" applyBorder="1" applyAlignment="1">
      <alignment horizontal="left" vertical="center" wrapText="1"/>
    </xf>
    <xf numFmtId="0" fontId="8" fillId="0" borderId="0" xfId="0" applyFont="1" applyAlignment="1">
      <alignment vertical="center" wrapText="1"/>
    </xf>
    <xf numFmtId="175" fontId="8" fillId="0" borderId="28" xfId="0" applyNumberFormat="1" applyFont="1" applyBorder="1" applyAlignment="1">
      <alignment horizontal="center" vertical="center" wrapText="1"/>
    </xf>
    <xf numFmtId="175" fontId="8" fillId="0" borderId="31" xfId="0" applyNumberFormat="1" applyFont="1" applyBorder="1" applyAlignment="1">
      <alignment horizontal="center" vertical="center" wrapText="1"/>
    </xf>
    <xf numFmtId="175" fontId="8" fillId="0" borderId="29" xfId="0" applyNumberFormat="1" applyFont="1" applyBorder="1" applyAlignment="1">
      <alignment horizontal="center" vertical="center" wrapText="1"/>
    </xf>
    <xf numFmtId="175" fontId="8" fillId="0" borderId="22" xfId="0" applyNumberFormat="1" applyFont="1" applyBorder="1" applyAlignment="1">
      <alignment horizontal="center" vertical="center" wrapText="1"/>
    </xf>
    <xf numFmtId="175" fontId="8" fillId="0" borderId="24" xfId="0" applyNumberFormat="1" applyFont="1" applyBorder="1" applyAlignment="1">
      <alignment horizontal="center" vertical="center" wrapText="1"/>
    </xf>
    <xf numFmtId="175" fontId="8" fillId="0" borderId="23" xfId="0" applyNumberFormat="1" applyFont="1" applyBorder="1" applyAlignment="1">
      <alignment horizontal="center" vertical="center" wrapText="1"/>
    </xf>
    <xf numFmtId="0" fontId="20" fillId="0" borderId="40" xfId="0" applyFont="1" applyBorder="1" applyAlignment="1">
      <alignment horizontal="left" vertical="center" wrapText="1"/>
    </xf>
    <xf numFmtId="0" fontId="20" fillId="0" borderId="49" xfId="0" applyFont="1" applyBorder="1" applyAlignment="1">
      <alignment horizontal="left" vertical="center" wrapText="1"/>
    </xf>
    <xf numFmtId="0" fontId="19" fillId="0" borderId="63" xfId="0" applyFont="1" applyBorder="1" applyAlignment="1">
      <alignment horizontal="left" vertical="center" wrapText="1"/>
    </xf>
    <xf numFmtId="0" fontId="19" fillId="0" borderId="64" xfId="0" applyFont="1" applyBorder="1" applyAlignment="1">
      <alignment horizontal="left" vertical="center" wrapText="1"/>
    </xf>
    <xf numFmtId="0" fontId="19" fillId="0" borderId="46" xfId="0" applyFont="1" applyBorder="1" applyAlignment="1">
      <alignment horizontal="left" vertical="center" wrapText="1"/>
    </xf>
    <xf numFmtId="0" fontId="19" fillId="0" borderId="18" xfId="0" applyFont="1" applyBorder="1" applyAlignment="1">
      <alignment horizontal="left" vertical="center" wrapText="1"/>
    </xf>
    <xf numFmtId="0" fontId="8" fillId="0" borderId="0" xfId="17" applyFont="1" applyAlignment="1">
      <alignment horizontal="left" vertical="top"/>
    </xf>
    <xf numFmtId="0" fontId="8" fillId="0" borderId="0" xfId="17" applyFont="1" applyAlignment="1">
      <alignment horizontal="right" vertical="top"/>
    </xf>
    <xf numFmtId="0" fontId="8" fillId="0" borderId="4" xfId="17" applyFont="1" applyBorder="1" applyAlignment="1">
      <alignment horizontal="right" vertical="top"/>
    </xf>
    <xf numFmtId="0" fontId="7" fillId="0" borderId="4" xfId="17" applyBorder="1" applyAlignment="1">
      <alignment horizontal="center" vertical="center"/>
    </xf>
    <xf numFmtId="0" fontId="8" fillId="0" borderId="8" xfId="17" applyFont="1" applyBorder="1" applyAlignment="1">
      <alignment horizontal="left" vertical="center"/>
    </xf>
    <xf numFmtId="0" fontId="8" fillId="0" borderId="6" xfId="17" applyFont="1" applyBorder="1" applyAlignment="1">
      <alignment horizontal="left" vertical="center"/>
    </xf>
    <xf numFmtId="0" fontId="8" fillId="0" borderId="7" xfId="17" applyFont="1" applyBorder="1" applyAlignment="1">
      <alignment horizontal="center" vertical="top"/>
    </xf>
    <xf numFmtId="0" fontId="8" fillId="0" borderId="17" xfId="17" applyFont="1" applyBorder="1" applyAlignment="1">
      <alignment horizontal="center" vertical="top"/>
    </xf>
    <xf numFmtId="0" fontId="8" fillId="0" borderId="16" xfId="17" applyFont="1" applyBorder="1" applyAlignment="1">
      <alignment horizontal="center" vertical="top"/>
    </xf>
    <xf numFmtId="0" fontId="8" fillId="0" borderId="2" xfId="17" applyFont="1" applyBorder="1" applyAlignment="1">
      <alignment horizontal="left" vertical="center" wrapText="1"/>
    </xf>
    <xf numFmtId="0" fontId="8" fillId="0" borderId="0" xfId="17" applyFont="1" applyAlignment="1">
      <alignment horizontal="left" vertical="center" wrapText="1"/>
    </xf>
    <xf numFmtId="0" fontId="8" fillId="0" borderId="5" xfId="17" applyFont="1" applyBorder="1" applyAlignment="1">
      <alignment horizontal="left" vertical="center" wrapText="1"/>
    </xf>
    <xf numFmtId="0" fontId="8" fillId="0" borderId="4" xfId="17" applyFont="1" applyBorder="1" applyAlignment="1">
      <alignment horizontal="left" vertical="center" wrapText="1"/>
    </xf>
    <xf numFmtId="0" fontId="8" fillId="0" borderId="7" xfId="17" applyFont="1" applyBorder="1" applyAlignment="1">
      <alignment horizontal="center" vertical="top" wrapText="1"/>
    </xf>
    <xf numFmtId="0" fontId="8" fillId="0" borderId="17" xfId="17" applyFont="1" applyBorder="1" applyAlignment="1">
      <alignment horizontal="center" vertical="top" wrapText="1"/>
    </xf>
    <xf numFmtId="0" fontId="8" fillId="0" borderId="16" xfId="17" applyFont="1" applyBorder="1" applyAlignment="1">
      <alignment horizontal="center" vertical="top" wrapText="1"/>
    </xf>
    <xf numFmtId="0" fontId="8" fillId="0" borderId="0" xfId="17" applyFont="1" applyAlignment="1">
      <alignment horizontal="right" vertical="center"/>
    </xf>
    <xf numFmtId="0" fontId="8" fillId="0" borderId="7" xfId="17" applyFont="1" applyBorder="1" applyAlignment="1">
      <alignment horizontal="right" vertical="top"/>
    </xf>
    <xf numFmtId="0" fontId="8" fillId="0" borderId="17" xfId="17" applyFont="1" applyBorder="1" applyAlignment="1">
      <alignment horizontal="right" vertical="top"/>
    </xf>
    <xf numFmtId="0" fontId="8" fillId="0" borderId="16" xfId="17" applyFont="1" applyBorder="1" applyAlignment="1">
      <alignment horizontal="right" vertical="top"/>
    </xf>
    <xf numFmtId="0" fontId="8" fillId="0" borderId="6" xfId="17" applyFont="1" applyBorder="1" applyAlignment="1">
      <alignment horizontal="right" vertical="top"/>
    </xf>
    <xf numFmtId="0" fontId="8" fillId="0" borderId="6" xfId="17" applyFont="1" applyBorder="1" applyAlignment="1">
      <alignment horizontal="center" vertical="top" wrapText="1"/>
    </xf>
    <xf numFmtId="0" fontId="8" fillId="0" borderId="0" xfId="17" applyFont="1" applyAlignment="1">
      <alignment horizontal="center" vertical="top" wrapText="1"/>
    </xf>
    <xf numFmtId="0" fontId="8" fillId="0" borderId="4" xfId="17" applyFont="1" applyBorder="1" applyAlignment="1">
      <alignment horizontal="center" vertical="top" wrapText="1"/>
    </xf>
    <xf numFmtId="0" fontId="8" fillId="0" borderId="7" xfId="17" applyFont="1" applyBorder="1" applyAlignment="1">
      <alignment horizontal="center" vertical="center" wrapText="1"/>
    </xf>
    <xf numFmtId="0" fontId="8" fillId="0" borderId="17" xfId="17" applyFont="1" applyBorder="1" applyAlignment="1">
      <alignment horizontal="center" vertical="center" wrapText="1"/>
    </xf>
    <xf numFmtId="0" fontId="8" fillId="0" borderId="16" xfId="17" applyFont="1" applyBorder="1" applyAlignment="1">
      <alignment horizontal="center" vertical="center" wrapText="1"/>
    </xf>
    <xf numFmtId="0" fontId="8" fillId="0" borderId="8" xfId="17" applyFont="1" applyBorder="1" applyAlignment="1">
      <alignment horizontal="left" vertical="center" wrapText="1"/>
    </xf>
    <xf numFmtId="0" fontId="8" fillId="0" borderId="6" xfId="17" applyFont="1" applyBorder="1" applyAlignment="1">
      <alignment horizontal="left" vertical="center" wrapText="1"/>
    </xf>
    <xf numFmtId="0" fontId="8" fillId="0" borderId="0" xfId="17" applyFont="1" applyAlignment="1">
      <alignment horizontal="right" vertical="center" wrapText="1"/>
    </xf>
    <xf numFmtId="0" fontId="8" fillId="0" borderId="0" xfId="17" applyFont="1" applyAlignment="1">
      <alignment vertical="center" wrapText="1"/>
    </xf>
    <xf numFmtId="0" fontId="8" fillId="0" borderId="0" xfId="17" applyFont="1" applyAlignment="1">
      <alignment vertical="top" wrapText="1"/>
    </xf>
    <xf numFmtId="0" fontId="20" fillId="0" borderId="0" xfId="12" applyFont="1" applyAlignment="1">
      <alignment horizontal="center" vertical="center" wrapText="1"/>
    </xf>
    <xf numFmtId="0" fontId="20" fillId="0" borderId="7" xfId="17" applyFont="1" applyBorder="1" applyAlignment="1">
      <alignment horizontal="center" vertical="center" wrapText="1"/>
    </xf>
    <xf numFmtId="0" fontId="20" fillId="0" borderId="17" xfId="17" applyFont="1" applyBorder="1" applyAlignment="1">
      <alignment horizontal="center" vertical="center" wrapText="1"/>
    </xf>
    <xf numFmtId="0" fontId="20" fillId="0" borderId="16" xfId="17" applyFont="1" applyBorder="1" applyAlignment="1">
      <alignment horizontal="center" vertical="center" wrapText="1"/>
    </xf>
    <xf numFmtId="0" fontId="8" fillId="0" borderId="6" xfId="17" applyFont="1" applyBorder="1" applyAlignment="1">
      <alignment horizontal="right" vertical="center"/>
    </xf>
    <xf numFmtId="0" fontId="8" fillId="0" borderId="7" xfId="17" applyFont="1" applyBorder="1" applyAlignment="1">
      <alignment horizontal="left" vertical="center" wrapText="1"/>
    </xf>
    <xf numFmtId="0" fontId="8" fillId="0" borderId="17" xfId="17" applyFont="1" applyBorder="1" applyAlignment="1">
      <alignment horizontal="left" vertical="center" wrapText="1"/>
    </xf>
    <xf numFmtId="0" fontId="8" fillId="0" borderId="16" xfId="17" applyFont="1" applyBorder="1" applyAlignment="1">
      <alignment horizontal="left" vertical="center" wrapText="1"/>
    </xf>
    <xf numFmtId="0" fontId="0" fillId="0" borderId="0" xfId="0" applyAlignment="1">
      <alignment horizontal="left"/>
    </xf>
    <xf numFmtId="0" fontId="20" fillId="0" borderId="2" xfId="0" applyFont="1" applyBorder="1" applyAlignment="1">
      <alignment horizontal="left" vertical="center" wrapText="1"/>
    </xf>
    <xf numFmtId="0" fontId="20" fillId="0" borderId="0" xfId="0" applyFont="1" applyAlignment="1">
      <alignment horizontal="left" vertical="center" wrapText="1"/>
    </xf>
    <xf numFmtId="0" fontId="7" fillId="0" borderId="0" xfId="0" applyFont="1" applyAlignment="1">
      <alignment horizontal="left"/>
    </xf>
    <xf numFmtId="0" fontId="8" fillId="0" borderId="2" xfId="0" applyFont="1" applyBorder="1" applyAlignment="1">
      <alignment horizontal="left" vertical="center" wrapText="1"/>
    </xf>
    <xf numFmtId="0" fontId="8" fillId="0" borderId="0" xfId="0" applyFont="1" applyAlignment="1">
      <alignment horizontal="left" vertical="center" wrapText="1"/>
    </xf>
    <xf numFmtId="0" fontId="8" fillId="0" borderId="12" xfId="17" applyFont="1" applyBorder="1" applyAlignment="1">
      <alignment horizontal="center" vertical="center"/>
    </xf>
    <xf numFmtId="0" fontId="8" fillId="0" borderId="13" xfId="17" applyFont="1" applyBorder="1" applyAlignment="1">
      <alignment horizontal="center" vertical="center"/>
    </xf>
    <xf numFmtId="0" fontId="8" fillId="0" borderId="18" xfId="17" applyFont="1" applyBorder="1" applyAlignment="1">
      <alignment horizontal="center" vertical="center"/>
    </xf>
    <xf numFmtId="0" fontId="7" fillId="0" borderId="2" xfId="17" applyBorder="1" applyAlignment="1">
      <alignment horizontal="left" vertical="center" wrapText="1"/>
    </xf>
    <xf numFmtId="0" fontId="7" fillId="0" borderId="0" xfId="17" applyAlignment="1">
      <alignment horizontal="left" vertical="center" wrapText="1"/>
    </xf>
    <xf numFmtId="0" fontId="7" fillId="0" borderId="0" xfId="17" applyAlignment="1">
      <alignment horizontal="center" vertical="center" wrapText="1"/>
    </xf>
    <xf numFmtId="0" fontId="7" fillId="0" borderId="17" xfId="17" applyBorder="1" applyAlignment="1">
      <alignment horizontal="left" vertical="center" wrapText="1"/>
    </xf>
    <xf numFmtId="0" fontId="8" fillId="0" borderId="12" xfId="17" applyFont="1" applyBorder="1" applyAlignment="1">
      <alignment horizontal="center" vertical="center" wrapText="1"/>
    </xf>
    <xf numFmtId="0" fontId="8" fillId="0" borderId="13" xfId="17" applyFont="1" applyBorder="1" applyAlignment="1">
      <alignment horizontal="center" vertical="center" wrapText="1"/>
    </xf>
    <xf numFmtId="0" fontId="8" fillId="0" borderId="18" xfId="17" applyFont="1" applyBorder="1" applyAlignment="1">
      <alignment horizontal="center" vertical="center" wrapText="1"/>
    </xf>
    <xf numFmtId="49" fontId="8" fillId="0" borderId="12" xfId="17" applyNumberFormat="1" applyFont="1" applyBorder="1" applyAlignment="1">
      <alignment horizontal="center" vertical="center"/>
    </xf>
    <xf numFmtId="49" fontId="8" fillId="0" borderId="13" xfId="17" applyNumberFormat="1" applyFont="1" applyBorder="1" applyAlignment="1">
      <alignment horizontal="center" vertical="center"/>
    </xf>
    <xf numFmtId="49" fontId="8" fillId="0" borderId="18" xfId="17" applyNumberFormat="1" applyFont="1" applyBorder="1" applyAlignment="1">
      <alignment horizontal="center" vertical="center"/>
    </xf>
    <xf numFmtId="0" fontId="24" fillId="0" borderId="0" xfId="17" applyFont="1" applyAlignment="1">
      <alignment horizontal="center" vertical="center" wrapText="1"/>
    </xf>
    <xf numFmtId="0" fontId="23" fillId="0" borderId="0" xfId="17" applyFont="1" applyAlignment="1">
      <alignment horizontal="center" vertical="center"/>
    </xf>
    <xf numFmtId="0" fontId="7" fillId="0" borderId="12" xfId="17" applyBorder="1" applyAlignment="1">
      <alignment horizontal="left" vertical="center"/>
    </xf>
    <xf numFmtId="0" fontId="7" fillId="0" borderId="13" xfId="17" applyBorder="1" applyAlignment="1">
      <alignment horizontal="left" vertical="center"/>
    </xf>
    <xf numFmtId="0" fontId="7" fillId="0" borderId="13" xfId="17" applyBorder="1" applyAlignment="1">
      <alignment horizontal="center" vertical="center"/>
    </xf>
    <xf numFmtId="0" fontId="8" fillId="0" borderId="12" xfId="17" applyFont="1" applyBorder="1" applyAlignment="1">
      <alignment horizontal="left" vertical="center"/>
    </xf>
    <xf numFmtId="0" fontId="8" fillId="0" borderId="13" xfId="17" applyFont="1" applyBorder="1" applyAlignment="1">
      <alignment horizontal="left" vertical="center"/>
    </xf>
    <xf numFmtId="0" fontId="20" fillId="0" borderId="0" xfId="17" applyFont="1" applyAlignment="1">
      <alignment horizontal="left" vertical="center" wrapText="1"/>
    </xf>
    <xf numFmtId="0" fontId="20" fillId="0" borderId="0" xfId="17" applyFont="1" applyAlignment="1">
      <alignment horizontal="center" vertical="center" wrapText="1"/>
    </xf>
    <xf numFmtId="0" fontId="8" fillId="0" borderId="0" xfId="0" applyFont="1" applyAlignment="1">
      <alignment horizontal="center" vertical="center" wrapText="1"/>
    </xf>
    <xf numFmtId="0" fontId="41" fillId="13" borderId="40" xfId="0" applyFont="1" applyFill="1" applyBorder="1" applyAlignment="1">
      <alignment horizontal="center"/>
    </xf>
    <xf numFmtId="0" fontId="41" fillId="13" borderId="60" xfId="0" applyFont="1" applyFill="1" applyBorder="1" applyAlignment="1">
      <alignment horizontal="center"/>
    </xf>
    <xf numFmtId="0" fontId="41" fillId="13" borderId="61" xfId="0" applyFont="1" applyFill="1" applyBorder="1" applyAlignment="1">
      <alignment horizontal="center"/>
    </xf>
    <xf numFmtId="0" fontId="41" fillId="0" borderId="50" xfId="0" applyFont="1" applyBorder="1" applyAlignment="1">
      <alignment horizontal="center"/>
    </xf>
    <xf numFmtId="0" fontId="41" fillId="0" borderId="51" xfId="0" applyFont="1" applyBorder="1" applyAlignment="1">
      <alignment horizontal="center"/>
    </xf>
    <xf numFmtId="0" fontId="41" fillId="0" borderId="53" xfId="0" applyFont="1" applyBorder="1" applyAlignment="1">
      <alignment horizontal="center"/>
    </xf>
    <xf numFmtId="0" fontId="41" fillId="0" borderId="52" xfId="0" applyFont="1" applyBorder="1" applyAlignment="1">
      <alignment horizontal="center"/>
    </xf>
    <xf numFmtId="0" fontId="42" fillId="0" borderId="0" xfId="0" applyFont="1" applyAlignment="1">
      <alignment horizontal="center" wrapText="1"/>
    </xf>
    <xf numFmtId="0" fontId="42" fillId="0" borderId="59" xfId="0" applyFont="1" applyBorder="1" applyAlignment="1">
      <alignment horizontal="center" wrapText="1"/>
    </xf>
    <xf numFmtId="0" fontId="20" fillId="0" borderId="0" xfId="17" applyFont="1" applyAlignment="1">
      <alignment horizontal="right" vertical="center"/>
    </xf>
    <xf numFmtId="0" fontId="20" fillId="0" borderId="8" xfId="17" applyFont="1" applyBorder="1" applyAlignment="1">
      <alignment horizontal="left" vertical="center"/>
    </xf>
    <xf numFmtId="0" fontId="20" fillId="0" borderId="6" xfId="17" applyFont="1" applyBorder="1" applyAlignment="1">
      <alignment horizontal="left" vertical="center"/>
    </xf>
    <xf numFmtId="0" fontId="20" fillId="0" borderId="2" xfId="17" applyFont="1" applyBorder="1" applyAlignment="1">
      <alignment horizontal="left" vertical="center" wrapText="1"/>
    </xf>
    <xf numFmtId="0" fontId="20" fillId="0" borderId="5" xfId="17" applyFont="1" applyBorder="1" applyAlignment="1">
      <alignment horizontal="left" vertical="center" wrapText="1"/>
    </xf>
    <xf numFmtId="0" fontId="20" fillId="0" borderId="4" xfId="17" applyFont="1" applyBorder="1" applyAlignment="1">
      <alignment horizontal="left" vertical="center" wrapText="1"/>
    </xf>
  </cellXfs>
  <cellStyles count="29">
    <cellStyle name="A_Amount" xfId="11" xr:uid="{00000000-0005-0000-0000-000000000000}"/>
    <cellStyle name="Comma" xfId="1" builtinId="3"/>
    <cellStyle name="Comma 13" xfId="21" xr:uid="{00000000-0005-0000-0000-000002000000}"/>
    <cellStyle name="Comma 2" xfId="14" xr:uid="{00000000-0005-0000-0000-000003000000}"/>
    <cellStyle name="Comma 2 2" xfId="16" xr:uid="{00000000-0005-0000-0000-000004000000}"/>
    <cellStyle name="Comma 2 2 2" xfId="18" xr:uid="{00000000-0005-0000-0000-000005000000}"/>
    <cellStyle name="Comma 3" xfId="15" xr:uid="{00000000-0005-0000-0000-000006000000}"/>
    <cellStyle name="Comma 3 2" xfId="19" xr:uid="{00000000-0005-0000-0000-000007000000}"/>
    <cellStyle name="Comma 4" xfId="28" xr:uid="{00000000-0005-0000-0000-000008000000}"/>
    <cellStyle name="Comma0" xfId="2" xr:uid="{00000000-0005-0000-0000-000009000000}"/>
    <cellStyle name="Currency" xfId="3" builtinId="4"/>
    <cellStyle name="Currency 2" xfId="4" xr:uid="{00000000-0005-0000-0000-00000B000000}"/>
    <cellStyle name="Currency 2 2" xfId="23" xr:uid="{00000000-0005-0000-0000-00000C000000}"/>
    <cellStyle name="Hyperlink" xfId="25" builtinId="8"/>
    <cellStyle name="Normal" xfId="0" builtinId="0"/>
    <cellStyle name="Normal 10" xfId="10" xr:uid="{00000000-0005-0000-0000-00000F000000}"/>
    <cellStyle name="Normal 13" xfId="17" xr:uid="{00000000-0005-0000-0000-000010000000}"/>
    <cellStyle name="Normal 18" xfId="20" xr:uid="{00000000-0005-0000-0000-000011000000}"/>
    <cellStyle name="Normal 2" xfId="5" xr:uid="{00000000-0005-0000-0000-000012000000}"/>
    <cellStyle name="Normal 2 2" xfId="12" xr:uid="{00000000-0005-0000-0000-000013000000}"/>
    <cellStyle name="Normal 2 3" xfId="13" xr:uid="{00000000-0005-0000-0000-000014000000}"/>
    <cellStyle name="Normal 3" xfId="26" xr:uid="{00000000-0005-0000-0000-000015000000}"/>
    <cellStyle name="Normal 4" xfId="8" xr:uid="{00000000-0005-0000-0000-000016000000}"/>
    <cellStyle name="Normal 4 2" xfId="24" xr:uid="{00000000-0005-0000-0000-000017000000}"/>
    <cellStyle name="Normal 5" xfId="22" xr:uid="{00000000-0005-0000-0000-000018000000}"/>
    <cellStyle name="OPSKRIF" xfId="6" xr:uid="{00000000-0005-0000-0000-000019000000}"/>
    <cellStyle name="or" xfId="9" xr:uid="{00000000-0005-0000-0000-00001A000000}"/>
    <cellStyle name="Percent" xfId="7" builtinId="5"/>
    <cellStyle name="Percent 2" xfId="27" xr:uid="{00000000-0005-0000-0000-00001C000000}"/>
  </cellStyles>
  <dxfs count="85">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24994659260841701"/>
      </font>
    </dxf>
    <dxf>
      <font>
        <color theme="1"/>
      </font>
    </dxf>
    <dxf>
      <font>
        <color theme="5" tint="-0.24994659260841701"/>
      </font>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CheckBox" checked="Checked" fmlaLink="$C$8"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22</xdr:col>
      <xdr:colOff>171450</xdr:colOff>
      <xdr:row>231</xdr:row>
      <xdr:rowOff>69442</xdr:rowOff>
    </xdr:from>
    <xdr:to>
      <xdr:col>28</xdr:col>
      <xdr:colOff>95249</xdr:colOff>
      <xdr:row>251</xdr:row>
      <xdr:rowOff>12837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1887200" y="36569242"/>
          <a:ext cx="3581399" cy="3181895"/>
        </a:xfrm>
        <a:prstGeom prst="rect">
          <a:avLst/>
        </a:prstGeom>
      </xdr:spPr>
    </xdr:pic>
    <xdr:clientData/>
  </xdr:twoCellAnchor>
  <xdr:twoCellAnchor>
    <xdr:from>
      <xdr:col>7</xdr:col>
      <xdr:colOff>333375</xdr:colOff>
      <xdr:row>1290</xdr:row>
      <xdr:rowOff>0</xdr:rowOff>
    </xdr:from>
    <xdr:to>
      <xdr:col>7</xdr:col>
      <xdr:colOff>333375</xdr:colOff>
      <xdr:row>1302</xdr:row>
      <xdr:rowOff>0</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a:off x="2686050" y="207978375"/>
          <a:ext cx="0" cy="19431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1286</xdr:row>
      <xdr:rowOff>104775</xdr:rowOff>
    </xdr:from>
    <xdr:to>
      <xdr:col>7</xdr:col>
      <xdr:colOff>0</xdr:colOff>
      <xdr:row>1286</xdr:row>
      <xdr:rowOff>104775</xdr:rowOff>
    </xdr:to>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a:xfrm>
          <a:off x="561975" y="207435450"/>
          <a:ext cx="179070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95250</xdr:colOff>
      <xdr:row>1286</xdr:row>
      <xdr:rowOff>123826</xdr:rowOff>
    </xdr:from>
    <xdr:to>
      <xdr:col>13</xdr:col>
      <xdr:colOff>628649</xdr:colOff>
      <xdr:row>1303</xdr:row>
      <xdr:rowOff>114300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3790950" y="207454501"/>
          <a:ext cx="2343149" cy="27431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12700</xdr:colOff>
          <xdr:row>6</xdr:row>
          <xdr:rowOff>133350</xdr:rowOff>
        </xdr:from>
        <xdr:to>
          <xdr:col>3</xdr:col>
          <xdr:colOff>641350</xdr:colOff>
          <xdr:row>8</xdr:row>
          <xdr:rowOff>69850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ZA" sz="800" b="0" i="0" u="none" strike="noStrike" baseline="0">
                  <a:solidFill>
                    <a:srgbClr val="000000"/>
                  </a:solidFill>
                  <a:latin typeface="Segoe UI"/>
                  <a:cs typeface="Segoe UI"/>
                </a:rPr>
                <a:t>Show Pricing in BoQ</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238126</xdr:colOff>
      <xdr:row>0</xdr:row>
      <xdr:rowOff>142876</xdr:rowOff>
    </xdr:from>
    <xdr:to>
      <xdr:col>13</xdr:col>
      <xdr:colOff>3667126</xdr:colOff>
      <xdr:row>12</xdr:row>
      <xdr:rowOff>296397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924926" y="142876"/>
          <a:ext cx="5429250" cy="3134846"/>
        </a:xfrm>
        <a:prstGeom prst="rect">
          <a:avLst/>
        </a:prstGeom>
        <a:ln>
          <a:solidFill>
            <a:schemeClr val="accent1"/>
          </a:solidFill>
        </a:ln>
      </xdr:spPr>
    </xdr:pic>
    <xdr:clientData/>
  </xdr:twoCellAnchor>
  <xdr:twoCellAnchor editAs="oneCell">
    <xdr:from>
      <xdr:col>10</xdr:col>
      <xdr:colOff>238125</xdr:colOff>
      <xdr:row>15</xdr:row>
      <xdr:rowOff>12700</xdr:rowOff>
    </xdr:from>
    <xdr:to>
      <xdr:col>16</xdr:col>
      <xdr:colOff>267688</xdr:colOff>
      <xdr:row>30</xdr:row>
      <xdr:rowOff>92595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8905875" y="3933825"/>
          <a:ext cx="7062188" cy="3699395"/>
        </a:xfrm>
        <a:prstGeom prst="rect">
          <a:avLst/>
        </a:prstGeom>
        <a:ln>
          <a:solidFill>
            <a:schemeClr val="accent1"/>
          </a:solidFill>
        </a:ln>
      </xdr:spPr>
    </xdr:pic>
    <xdr:clientData/>
  </xdr:twoCellAnchor>
  <xdr:twoCellAnchor editAs="oneCell">
    <xdr:from>
      <xdr:col>10</xdr:col>
      <xdr:colOff>234950</xdr:colOff>
      <xdr:row>34</xdr:row>
      <xdr:rowOff>19050</xdr:rowOff>
    </xdr:from>
    <xdr:to>
      <xdr:col>18</xdr:col>
      <xdr:colOff>52050</xdr:colOff>
      <xdr:row>54</xdr:row>
      <xdr:rowOff>10055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8902700" y="8131175"/>
          <a:ext cx="8945225" cy="3801005"/>
        </a:xfrm>
        <a:prstGeom prst="rect">
          <a:avLst/>
        </a:prstGeom>
        <a:ln>
          <a:solidFill>
            <a:schemeClr val="accent1"/>
          </a:solidFill>
        </a:ln>
      </xdr:spPr>
    </xdr:pic>
    <xdr:clientData/>
  </xdr:twoCellAnchor>
  <xdr:twoCellAnchor editAs="oneCell">
    <xdr:from>
      <xdr:col>10</xdr:col>
      <xdr:colOff>581025</xdr:colOff>
      <xdr:row>57</xdr:row>
      <xdr:rowOff>38100</xdr:rowOff>
    </xdr:from>
    <xdr:to>
      <xdr:col>14</xdr:col>
      <xdr:colOff>753321</xdr:colOff>
      <xdr:row>88</xdr:row>
      <xdr:rowOff>29398</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9267825" y="12753975"/>
          <a:ext cx="6058746" cy="5896798"/>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137583</xdr:colOff>
      <xdr:row>9</xdr:row>
      <xdr:rowOff>95253</xdr:rowOff>
    </xdr:from>
    <xdr:to>
      <xdr:col>22</xdr:col>
      <xdr:colOff>433917</xdr:colOff>
      <xdr:row>20</xdr:row>
      <xdr:rowOff>116419</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8318500" y="1375836"/>
          <a:ext cx="3937000" cy="1926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400"/>
            <a:t>Note that this unpriced Bill</a:t>
          </a:r>
          <a:r>
            <a:rPr lang="en-ZA" sz="1400" baseline="0"/>
            <a:t> of Quantities is provided by the Employer in good faith to assist tenderers in preparing their tenders.  </a:t>
          </a:r>
        </a:p>
        <a:p>
          <a:endParaRPr lang="en-ZA" sz="1400" baseline="0"/>
        </a:p>
        <a:p>
          <a:r>
            <a:rPr lang="en-ZA" sz="1400" baseline="0"/>
            <a:t>The Employer and his agents cannot be held liable for any errors, missing information or inconsistencies contained in this electronic bill of quantities.</a:t>
          </a:r>
          <a:endParaRPr lang="en-ZA" sz="14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8"/>
  <dimension ref="A1:W1343"/>
  <sheetViews>
    <sheetView workbookViewId="0">
      <selection activeCell="W12" sqref="W12"/>
    </sheetView>
  </sheetViews>
  <sheetFormatPr defaultColWidth="9.1796875" defaultRowHeight="12.5" x14ac:dyDescent="0.25"/>
  <cols>
    <col min="1" max="2" width="0.81640625" style="506" customWidth="1"/>
    <col min="3" max="12" width="6.7265625" style="507" customWidth="1"/>
    <col min="13" max="19" width="13.7265625" style="508" customWidth="1"/>
    <col min="20" max="20" width="9.1796875" style="507"/>
    <col min="21" max="22" width="0.81640625" style="507" customWidth="1"/>
    <col min="23" max="16384" width="9.1796875" style="507"/>
  </cols>
  <sheetData>
    <row r="1" spans="1:23" ht="5.15" customHeight="1" x14ac:dyDescent="0.25"/>
    <row r="2" spans="1:23" ht="10" hidden="1" customHeight="1" x14ac:dyDescent="0.25">
      <c r="C2" s="509">
        <v>1200</v>
      </c>
      <c r="D2" s="509">
        <v>1300</v>
      </c>
      <c r="E2" s="509">
        <v>1400</v>
      </c>
      <c r="F2" s="509">
        <v>1500</v>
      </c>
      <c r="G2" s="509">
        <v>1600</v>
      </c>
      <c r="H2" s="509">
        <v>1700</v>
      </c>
      <c r="I2" s="509">
        <v>2100</v>
      </c>
      <c r="J2" s="509">
        <v>2200</v>
      </c>
      <c r="K2" s="509">
        <v>2300</v>
      </c>
      <c r="L2" s="509">
        <v>2400</v>
      </c>
      <c r="M2" s="509">
        <v>3100</v>
      </c>
      <c r="N2" s="509">
        <v>3200</v>
      </c>
      <c r="O2" s="509">
        <v>3300</v>
      </c>
      <c r="P2" s="509">
        <v>3400</v>
      </c>
      <c r="Q2" s="509">
        <v>3500</v>
      </c>
      <c r="R2" s="509">
        <v>3600</v>
      </c>
      <c r="S2" s="509">
        <v>3800</v>
      </c>
      <c r="T2" s="510"/>
    </row>
    <row r="3" spans="1:23" ht="10" hidden="1" customHeight="1" x14ac:dyDescent="0.25">
      <c r="C3" s="509">
        <v>4100</v>
      </c>
      <c r="D3" s="509">
        <v>4200</v>
      </c>
      <c r="E3" s="509">
        <v>4300</v>
      </c>
      <c r="F3" s="509">
        <v>4400</v>
      </c>
      <c r="G3" s="509">
        <v>4500</v>
      </c>
      <c r="H3" s="509">
        <v>4600</v>
      </c>
      <c r="I3" s="509">
        <v>4700</v>
      </c>
      <c r="J3" s="509">
        <v>4800</v>
      </c>
      <c r="K3" s="509">
        <v>4900</v>
      </c>
      <c r="L3" s="509">
        <v>5100</v>
      </c>
      <c r="M3" s="509">
        <v>5200</v>
      </c>
      <c r="N3" s="509">
        <v>5300</v>
      </c>
      <c r="O3" s="509">
        <v>5400</v>
      </c>
      <c r="P3" s="509">
        <v>5500</v>
      </c>
      <c r="Q3" s="509">
        <v>5600</v>
      </c>
      <c r="R3" s="509">
        <v>5700</v>
      </c>
      <c r="S3" s="509">
        <v>5800</v>
      </c>
      <c r="T3" s="509">
        <v>5900</v>
      </c>
    </row>
    <row r="4" spans="1:23" ht="10" hidden="1" customHeight="1" x14ac:dyDescent="0.25">
      <c r="C4" s="509">
        <v>6100</v>
      </c>
      <c r="D4" s="509">
        <v>6200</v>
      </c>
      <c r="E4" s="509">
        <v>6300</v>
      </c>
      <c r="F4" s="509">
        <v>6400</v>
      </c>
      <c r="G4" s="509">
        <v>6500</v>
      </c>
      <c r="H4" s="509">
        <v>6600</v>
      </c>
      <c r="I4" s="509">
        <v>6700</v>
      </c>
      <c r="J4" s="509">
        <v>6800</v>
      </c>
      <c r="K4" s="509">
        <v>7100</v>
      </c>
      <c r="L4" s="509">
        <v>7200</v>
      </c>
      <c r="M4" s="509">
        <v>7300</v>
      </c>
      <c r="N4" s="509">
        <v>7400</v>
      </c>
      <c r="O4" s="509">
        <v>7500</v>
      </c>
      <c r="P4" s="509">
        <v>8100</v>
      </c>
      <c r="Q4" s="509">
        <v>8200</v>
      </c>
      <c r="R4" s="509">
        <v>8300</v>
      </c>
      <c r="S4" s="509">
        <v>8400</v>
      </c>
      <c r="T4" s="509"/>
    </row>
    <row r="5" spans="1:23" ht="12.75" customHeight="1" x14ac:dyDescent="0.25">
      <c r="C5" s="511" t="str">
        <f>ContractDescription</f>
        <v>THE CONSTRUCTION OF EARTHWORKS, LAYERWORKS, SURFACING, CULVERTS AND CWAKA RIVER BRIDGE FROM KM 11.600 TO KM 14.000 ON MAIN ROAD P494 IN THE KING CETSHWAYO DISTRICT UNDER EMPANGENI REGION</v>
      </c>
      <c r="Q5" s="512"/>
    </row>
    <row r="6" spans="1:23" ht="12.75" customHeight="1" x14ac:dyDescent="0.25">
      <c r="C6" s="507" t="s">
        <v>1148</v>
      </c>
      <c r="E6" s="507" t="s">
        <v>1149</v>
      </c>
      <c r="M6" s="513" t="s">
        <v>1150</v>
      </c>
      <c r="N6" s="513" t="s">
        <v>1151</v>
      </c>
      <c r="O6" s="513" t="s">
        <v>1085</v>
      </c>
      <c r="P6" s="513" t="s">
        <v>1093</v>
      </c>
      <c r="Q6" s="513" t="s">
        <v>1152</v>
      </c>
      <c r="R6" s="513" t="s">
        <v>1153</v>
      </c>
      <c r="S6" s="513" t="s">
        <v>1154</v>
      </c>
      <c r="T6" s="514" t="s">
        <v>907</v>
      </c>
    </row>
    <row r="7" spans="1:23" ht="5.15" customHeight="1" x14ac:dyDescent="0.25"/>
    <row r="8" spans="1:23" ht="5.15" customHeight="1" x14ac:dyDescent="0.25"/>
    <row r="9" spans="1:23" ht="13" x14ac:dyDescent="0.3">
      <c r="A9" s="506" t="s">
        <v>1155</v>
      </c>
      <c r="B9" s="506" t="str">
        <f>C9</f>
        <v>1200: General requirements and provisions</v>
      </c>
      <c r="C9" s="515" t="s">
        <v>1155</v>
      </c>
    </row>
    <row r="10" spans="1:23" ht="5.15" customHeight="1" x14ac:dyDescent="0.25"/>
    <row r="11" spans="1:23" x14ac:dyDescent="0.25">
      <c r="C11" s="507" t="s">
        <v>1156</v>
      </c>
      <c r="E11" s="507" t="s">
        <v>1157</v>
      </c>
      <c r="M11" s="507"/>
      <c r="N11" s="507"/>
      <c r="O11" s="507"/>
      <c r="P11" s="507"/>
      <c r="Q11" s="507"/>
      <c r="R11" s="507"/>
      <c r="S11" s="507"/>
    </row>
    <row r="12" spans="1:23" x14ac:dyDescent="0.25">
      <c r="F12" s="507" t="s">
        <v>1158</v>
      </c>
      <c r="O12" s="508">
        <v>2.5</v>
      </c>
      <c r="R12" s="508">
        <v>1000000</v>
      </c>
      <c r="S12" s="508">
        <f>O12*R12</f>
        <v>2500000</v>
      </c>
      <c r="T12" s="507" t="s">
        <v>1159</v>
      </c>
      <c r="W12" s="516">
        <v>0.37043178441402308</v>
      </c>
    </row>
    <row r="13" spans="1:23" ht="13" x14ac:dyDescent="0.3">
      <c r="F13" s="507" t="s">
        <v>1160</v>
      </c>
      <c r="N13" s="516"/>
      <c r="O13" s="508">
        <f>S12</f>
        <v>2500000</v>
      </c>
      <c r="P13" s="508">
        <f>S15</f>
        <v>400000</v>
      </c>
      <c r="S13" s="517">
        <f>O13-P13</f>
        <v>2100000</v>
      </c>
      <c r="T13" s="518" t="s">
        <v>1159</v>
      </c>
    </row>
    <row r="14" spans="1:23" x14ac:dyDescent="0.25">
      <c r="N14" s="516"/>
    </row>
    <row r="15" spans="1:23" ht="13" x14ac:dyDescent="0.3">
      <c r="F15" s="507" t="s">
        <v>1161</v>
      </c>
      <c r="N15" s="516" t="s">
        <v>1162</v>
      </c>
      <c r="S15" s="508">
        <v>400000</v>
      </c>
    </row>
    <row r="16" spans="1:23" ht="13" x14ac:dyDescent="0.3">
      <c r="G16" s="507" t="s">
        <v>1163</v>
      </c>
      <c r="M16" s="507"/>
      <c r="N16" s="516">
        <v>0.5</v>
      </c>
      <c r="O16" s="508">
        <f>_RoadLength*1000</f>
        <v>2400.0000000000005</v>
      </c>
      <c r="P16" s="508">
        <v>0.6</v>
      </c>
      <c r="Q16" s="508">
        <v>1.25</v>
      </c>
      <c r="S16" s="517">
        <f>N16*O16*P16*Q16</f>
        <v>900.00000000000011</v>
      </c>
      <c r="T16" s="507" t="s">
        <v>799</v>
      </c>
    </row>
    <row r="17" spans="3:20" ht="13" x14ac:dyDescent="0.3">
      <c r="G17" s="507" t="s">
        <v>1164</v>
      </c>
      <c r="N17" s="516">
        <v>0.5</v>
      </c>
      <c r="O17" s="508">
        <f>S16</f>
        <v>900.00000000000011</v>
      </c>
      <c r="S17" s="517">
        <f>N17*O17</f>
        <v>450.00000000000006</v>
      </c>
      <c r="T17" s="507" t="s">
        <v>799</v>
      </c>
    </row>
    <row r="23" spans="3:20" ht="13" x14ac:dyDescent="0.3">
      <c r="C23" s="507" t="s">
        <v>1165</v>
      </c>
      <c r="E23" s="507" t="s">
        <v>1166</v>
      </c>
      <c r="O23" s="508">
        <f>_RoadLength</f>
        <v>2.4000000000000004</v>
      </c>
      <c r="P23" s="508">
        <v>200</v>
      </c>
      <c r="Q23" s="508">
        <v>7500</v>
      </c>
      <c r="S23" s="517">
        <f>O23/P23*1000*Q23</f>
        <v>90000.000000000015</v>
      </c>
      <c r="T23" s="518" t="s">
        <v>1159</v>
      </c>
    </row>
    <row r="24" spans="3:20" x14ac:dyDescent="0.25">
      <c r="F24" s="507" t="s">
        <v>1167</v>
      </c>
    </row>
    <row r="25" spans="3:20" x14ac:dyDescent="0.25">
      <c r="F25" s="507" t="s">
        <v>1168</v>
      </c>
    </row>
    <row r="28" spans="3:20" x14ac:dyDescent="0.25">
      <c r="C28" s="507" t="s">
        <v>1169</v>
      </c>
      <c r="E28" s="507" t="s">
        <v>1170</v>
      </c>
      <c r="M28" s="508">
        <v>9</v>
      </c>
      <c r="N28" s="508">
        <v>22</v>
      </c>
      <c r="O28" s="508">
        <v>1.5</v>
      </c>
      <c r="P28" s="508">
        <v>39.82</v>
      </c>
      <c r="R28" s="508">
        <f>_ContractPeriod</f>
        <v>22</v>
      </c>
      <c r="S28" s="508">
        <f>M28*N28*O28*P28*R28</f>
        <v>260183.88</v>
      </c>
    </row>
    <row r="29" spans="3:20" ht="13" x14ac:dyDescent="0.3">
      <c r="F29" s="507" t="s">
        <v>1171</v>
      </c>
      <c r="S29" s="517">
        <f>ROUNDUP(S28/10000,0)*10000</f>
        <v>270000</v>
      </c>
      <c r="T29" s="507" t="s">
        <v>1159</v>
      </c>
    </row>
    <row r="30" spans="3:20" x14ac:dyDescent="0.25">
      <c r="F30" s="507" t="s">
        <v>1172</v>
      </c>
    </row>
    <row r="31" spans="3:20" x14ac:dyDescent="0.25">
      <c r="F31" s="507" t="s">
        <v>1173</v>
      </c>
    </row>
    <row r="32" spans="3:20" x14ac:dyDescent="0.25">
      <c r="F32" s="507" t="s">
        <v>1174</v>
      </c>
    </row>
    <row r="33" spans="3:20" x14ac:dyDescent="0.25">
      <c r="F33" s="507" t="s">
        <v>1175</v>
      </c>
    </row>
    <row r="34" spans="3:20" x14ac:dyDescent="0.25">
      <c r="F34" s="507" t="s">
        <v>1176</v>
      </c>
    </row>
    <row r="36" spans="3:20" x14ac:dyDescent="0.25">
      <c r="C36" s="507" t="s">
        <v>1177</v>
      </c>
      <c r="E36" s="507" t="s">
        <v>1178</v>
      </c>
    </row>
    <row r="37" spans="3:20" ht="13" x14ac:dyDescent="0.3">
      <c r="F37" s="507" t="s">
        <v>1179</v>
      </c>
      <c r="N37" s="508">
        <f>_ContractPeriod+10</f>
        <v>32</v>
      </c>
      <c r="O37" s="508">
        <v>30</v>
      </c>
      <c r="P37" s="508">
        <v>250</v>
      </c>
      <c r="S37" s="517">
        <f>N37*O37*P37</f>
        <v>240000</v>
      </c>
      <c r="T37" s="518" t="s">
        <v>1159</v>
      </c>
    </row>
    <row r="38" spans="3:20" x14ac:dyDescent="0.25">
      <c r="F38" s="507" t="s">
        <v>1180</v>
      </c>
    </row>
    <row r="42" spans="3:20" x14ac:dyDescent="0.25">
      <c r="C42" s="507" t="s">
        <v>1181</v>
      </c>
      <c r="E42" s="507" t="s">
        <v>1182</v>
      </c>
    </row>
    <row r="43" spans="3:20" x14ac:dyDescent="0.25">
      <c r="F43" t="s">
        <v>1183</v>
      </c>
      <c r="G43"/>
      <c r="H43" t="s">
        <v>1184</v>
      </c>
      <c r="M43" s="507"/>
      <c r="N43" s="507"/>
      <c r="O43" s="507"/>
      <c r="P43" s="507"/>
      <c r="Q43" s="507"/>
      <c r="R43" s="507"/>
      <c r="S43" s="508">
        <v>15000</v>
      </c>
    </row>
    <row r="44" spans="3:20" x14ac:dyDescent="0.25">
      <c r="F44" t="s">
        <v>1185</v>
      </c>
      <c r="G44"/>
      <c r="H44" s="94" t="s">
        <v>1186</v>
      </c>
      <c r="M44" s="507"/>
      <c r="N44" s="507"/>
      <c r="O44" s="507"/>
      <c r="P44" s="507"/>
      <c r="Q44" s="507"/>
      <c r="R44" s="507"/>
      <c r="S44" s="508">
        <v>85000</v>
      </c>
    </row>
    <row r="45" spans="3:20" ht="13" x14ac:dyDescent="0.3">
      <c r="M45" s="507"/>
      <c r="N45" s="507"/>
      <c r="O45" s="507"/>
      <c r="P45" s="507"/>
      <c r="Q45" s="507"/>
      <c r="R45" s="507"/>
      <c r="S45" s="517">
        <f>SUM(S43:S44)</f>
        <v>100000</v>
      </c>
      <c r="T45" s="518" t="s">
        <v>1159</v>
      </c>
    </row>
    <row r="46" spans="3:20" x14ac:dyDescent="0.25">
      <c r="M46" s="507"/>
      <c r="N46" s="507"/>
      <c r="O46" s="507"/>
      <c r="P46" s="507"/>
      <c r="Q46" s="507"/>
      <c r="R46" s="507"/>
    </row>
    <row r="48" spans="3:20" x14ac:dyDescent="0.25">
      <c r="N48" s="507"/>
    </row>
    <row r="49" spans="3:20" x14ac:dyDescent="0.25">
      <c r="C49" s="507" t="s">
        <v>1187</v>
      </c>
      <c r="E49" s="507" t="s">
        <v>1188</v>
      </c>
    </row>
    <row r="50" spans="3:20" ht="13" x14ac:dyDescent="0.3">
      <c r="E50" s="519"/>
      <c r="F50" s="507" t="s">
        <v>1189</v>
      </c>
      <c r="S50" s="517">
        <v>10000</v>
      </c>
      <c r="T50" s="518" t="s">
        <v>1159</v>
      </c>
    </row>
    <row r="51" spans="3:20" x14ac:dyDescent="0.25">
      <c r="N51" s="519"/>
      <c r="S51" s="520"/>
    </row>
    <row r="52" spans="3:20" x14ac:dyDescent="0.25">
      <c r="N52" s="507"/>
    </row>
    <row r="53" spans="3:20" x14ac:dyDescent="0.25">
      <c r="N53" s="507"/>
    </row>
    <row r="55" spans="3:20" x14ac:dyDescent="0.25">
      <c r="C55" s="507" t="s">
        <v>1190</v>
      </c>
      <c r="E55" s="507" t="s">
        <v>1191</v>
      </c>
      <c r="S55" s="507"/>
    </row>
    <row r="56" spans="3:20" ht="13" x14ac:dyDescent="0.3">
      <c r="F56" s="507" t="s">
        <v>1192</v>
      </c>
      <c r="N56" s="508">
        <f>-1</f>
        <v>-1</v>
      </c>
      <c r="P56" s="507"/>
      <c r="Q56" s="508">
        <f>_ContractPeriod</f>
        <v>22</v>
      </c>
      <c r="R56" s="508">
        <v>200000</v>
      </c>
      <c r="S56" s="512">
        <f>N56*Q56*R56</f>
        <v>-4400000</v>
      </c>
      <c r="T56" s="518" t="s">
        <v>1159</v>
      </c>
    </row>
    <row r="57" spans="3:20" x14ac:dyDescent="0.25">
      <c r="S57" s="512" t="s">
        <v>1193</v>
      </c>
    </row>
    <row r="61" spans="3:20" x14ac:dyDescent="0.25">
      <c r="C61" s="507" t="s">
        <v>1194</v>
      </c>
      <c r="D61" s="507" t="s">
        <v>1195</v>
      </c>
    </row>
    <row r="62" spans="3:20" x14ac:dyDescent="0.25">
      <c r="D62" s="507" t="s">
        <v>1196</v>
      </c>
    </row>
    <row r="63" spans="3:20" x14ac:dyDescent="0.25">
      <c r="D63" s="507" t="s">
        <v>1197</v>
      </c>
    </row>
    <row r="65" spans="3:4" x14ac:dyDescent="0.25">
      <c r="C65" s="507" t="s">
        <v>1198</v>
      </c>
      <c r="D65" s="507" t="s">
        <v>1199</v>
      </c>
    </row>
    <row r="66" spans="3:4" x14ac:dyDescent="0.25">
      <c r="D66" s="507" t="s">
        <v>1200</v>
      </c>
    </row>
    <row r="67" spans="3:4" x14ac:dyDescent="0.25">
      <c r="D67" s="507" t="s">
        <v>1201</v>
      </c>
    </row>
    <row r="69" spans="3:4" x14ac:dyDescent="0.25">
      <c r="C69" s="507" t="s">
        <v>1202</v>
      </c>
      <c r="D69" s="507" t="s">
        <v>1203</v>
      </c>
    </row>
    <row r="70" spans="3:4" x14ac:dyDescent="0.25">
      <c r="D70" s="507" t="s">
        <v>1204</v>
      </c>
    </row>
    <row r="71" spans="3:4" x14ac:dyDescent="0.25">
      <c r="D71" s="507" t="s">
        <v>1205</v>
      </c>
    </row>
    <row r="81" spans="1:3" ht="13" x14ac:dyDescent="0.3">
      <c r="A81" s="506" t="s">
        <v>1206</v>
      </c>
      <c r="B81" s="506" t="str">
        <f>C81</f>
        <v>1300: Contractor's establishment on site and general obligations</v>
      </c>
      <c r="C81" s="515" t="s">
        <v>1206</v>
      </c>
    </row>
    <row r="106" spans="1:20" ht="13" x14ac:dyDescent="0.3">
      <c r="A106" s="506" t="s">
        <v>1207</v>
      </c>
      <c r="B106" s="506" t="str">
        <f>C106</f>
        <v>1400: Housing, offices and laboratories for the engineer's site personnel</v>
      </c>
      <c r="C106" s="515" t="s">
        <v>1207</v>
      </c>
    </row>
    <row r="109" spans="1:20" x14ac:dyDescent="0.25">
      <c r="C109" s="521" t="s">
        <v>1208</v>
      </c>
      <c r="D109" s="521"/>
      <c r="E109" s="521" t="s">
        <v>1209</v>
      </c>
      <c r="F109" s="521"/>
      <c r="G109" s="521"/>
      <c r="H109" s="521"/>
      <c r="I109" s="521"/>
      <c r="J109" s="521"/>
      <c r="K109" s="521"/>
      <c r="L109" s="521"/>
      <c r="M109" s="522"/>
      <c r="N109" s="522"/>
      <c r="O109" s="522"/>
      <c r="P109" s="522"/>
      <c r="Q109" s="522"/>
      <c r="R109" s="522"/>
      <c r="S109" s="522"/>
      <c r="T109" s="521"/>
    </row>
    <row r="110" spans="1:20" x14ac:dyDescent="0.25">
      <c r="C110" s="521"/>
      <c r="D110" s="521"/>
      <c r="E110" s="521" t="s">
        <v>1210</v>
      </c>
      <c r="F110" s="521"/>
      <c r="G110" s="521"/>
      <c r="H110" s="521"/>
      <c r="I110" s="521"/>
      <c r="J110" s="521"/>
      <c r="K110" s="521"/>
      <c r="L110" s="521"/>
      <c r="M110" s="522"/>
      <c r="N110" s="522"/>
      <c r="O110" s="522"/>
      <c r="P110" s="522">
        <v>3</v>
      </c>
      <c r="Q110" s="522">
        <v>6000</v>
      </c>
      <c r="R110" s="522">
        <v>18</v>
      </c>
      <c r="S110" s="522">
        <f>P110*Q110*R110</f>
        <v>324000</v>
      </c>
      <c r="T110" s="521" t="s">
        <v>1211</v>
      </c>
    </row>
    <row r="129" spans="1:20" ht="13" x14ac:dyDescent="0.3">
      <c r="A129" s="506" t="s">
        <v>1212</v>
      </c>
      <c r="B129" s="506" t="str">
        <f>C129</f>
        <v>1500: Accommodation of traffic</v>
      </c>
      <c r="C129" s="515" t="s">
        <v>1212</v>
      </c>
    </row>
    <row r="132" spans="1:20" x14ac:dyDescent="0.25">
      <c r="C132" s="507" t="s">
        <v>1213</v>
      </c>
    </row>
    <row r="133" spans="1:20" x14ac:dyDescent="0.25">
      <c r="D133" s="507" t="s">
        <v>1214</v>
      </c>
    </row>
    <row r="134" spans="1:20" x14ac:dyDescent="0.25">
      <c r="E134" s="507" t="s">
        <v>1215</v>
      </c>
    </row>
    <row r="135" spans="1:20" x14ac:dyDescent="0.25">
      <c r="E135" s="507" t="s">
        <v>1216</v>
      </c>
      <c r="M135" s="516">
        <v>0.35</v>
      </c>
      <c r="N135" s="508">
        <v>1000</v>
      </c>
      <c r="O135" s="508">
        <f>_RoadLength</f>
        <v>2.4000000000000004</v>
      </c>
      <c r="P135" s="508">
        <v>6</v>
      </c>
      <c r="Q135" s="508">
        <v>0.25</v>
      </c>
      <c r="S135" s="508">
        <f>M135*N135*O135*P135*Q135</f>
        <v>1260.0000000000002</v>
      </c>
      <c r="T135" s="507" t="s">
        <v>799</v>
      </c>
    </row>
    <row r="136" spans="1:20" ht="13" x14ac:dyDescent="0.3">
      <c r="E136" s="507" t="s">
        <v>1217</v>
      </c>
      <c r="R136" s="523" t="s">
        <v>1218</v>
      </c>
      <c r="S136" s="517">
        <f>ROUNDUP(S135/100,0)*100</f>
        <v>1300</v>
      </c>
      <c r="T136" s="518" t="s">
        <v>799</v>
      </c>
    </row>
    <row r="138" spans="1:20" x14ac:dyDescent="0.25">
      <c r="D138" s="507" t="s">
        <v>1219</v>
      </c>
    </row>
    <row r="139" spans="1:20" x14ac:dyDescent="0.25">
      <c r="E139" s="507" t="s">
        <v>1220</v>
      </c>
    </row>
    <row r="140" spans="1:20" x14ac:dyDescent="0.25">
      <c r="E140" s="507" t="s">
        <v>1216</v>
      </c>
      <c r="M140" s="516">
        <v>0.05</v>
      </c>
      <c r="N140" s="508">
        <v>1000</v>
      </c>
      <c r="O140" s="508">
        <f>_RoadLength</f>
        <v>2.4000000000000004</v>
      </c>
      <c r="P140" s="508">
        <v>6</v>
      </c>
      <c r="Q140" s="508">
        <v>0.25</v>
      </c>
      <c r="S140" s="508">
        <f>M140*N140*O140*P140*Q140</f>
        <v>180.00000000000003</v>
      </c>
      <c r="T140" s="507" t="s">
        <v>799</v>
      </c>
    </row>
    <row r="141" spans="1:20" ht="13" x14ac:dyDescent="0.3">
      <c r="E141" s="507" t="s">
        <v>1217</v>
      </c>
      <c r="R141" s="523" t="s">
        <v>1218</v>
      </c>
      <c r="S141" s="517">
        <f>ROUNDUP(S140/100,0)*100</f>
        <v>200</v>
      </c>
      <c r="T141" s="518" t="s">
        <v>799</v>
      </c>
    </row>
    <row r="144" spans="1:20" x14ac:dyDescent="0.25">
      <c r="C144" s="507" t="s">
        <v>1221</v>
      </c>
      <c r="E144" s="507" t="s">
        <v>149</v>
      </c>
    </row>
    <row r="145" spans="3:20" ht="13" x14ac:dyDescent="0.3">
      <c r="E145" s="507" t="s">
        <v>1222</v>
      </c>
      <c r="O145" s="508">
        <v>22</v>
      </c>
      <c r="P145" s="508">
        <f>_ContractPeriod-2</f>
        <v>20</v>
      </c>
      <c r="R145" s="508">
        <v>4</v>
      </c>
      <c r="S145" s="517">
        <f>O145*P145*R145</f>
        <v>1760</v>
      </c>
      <c r="T145" s="518" t="s">
        <v>1223</v>
      </c>
    </row>
    <row r="146" spans="3:20" ht="13" x14ac:dyDescent="0.3">
      <c r="E146" s="524" t="s">
        <v>1224</v>
      </c>
    </row>
    <row r="148" spans="3:20" x14ac:dyDescent="0.25">
      <c r="C148" s="507">
        <v>15.05</v>
      </c>
      <c r="E148" s="507" t="s">
        <v>1225</v>
      </c>
    </row>
    <row r="149" spans="3:20" x14ac:dyDescent="0.25">
      <c r="E149" s="507" t="s">
        <v>1226</v>
      </c>
    </row>
    <row r="150" spans="3:20" ht="13" x14ac:dyDescent="0.3">
      <c r="F150" s="507" t="s">
        <v>1227</v>
      </c>
      <c r="N150" s="508">
        <v>1000</v>
      </c>
      <c r="O150" s="508">
        <f>_RoadLength</f>
        <v>2.4000000000000004</v>
      </c>
      <c r="P150" s="508">
        <v>6</v>
      </c>
      <c r="Q150" s="508">
        <v>0.15</v>
      </c>
      <c r="R150" s="508">
        <v>1</v>
      </c>
      <c r="S150" s="517">
        <f>N150*O150*P150*Q150*R150</f>
        <v>2160.0000000000005</v>
      </c>
      <c r="T150" s="518" t="s">
        <v>799</v>
      </c>
    </row>
    <row r="152" spans="3:20" x14ac:dyDescent="0.25">
      <c r="C152" s="507" t="s">
        <v>1228</v>
      </c>
      <c r="D152" s="507" t="s">
        <v>1229</v>
      </c>
    </row>
    <row r="153" spans="3:20" ht="13" x14ac:dyDescent="0.3">
      <c r="E153" s="507" t="s">
        <v>1230</v>
      </c>
      <c r="N153" s="508">
        <f>10000/1000</f>
        <v>10</v>
      </c>
      <c r="O153" s="508">
        <v>30</v>
      </c>
      <c r="P153" s="508">
        <f>_ContractPeriod</f>
        <v>22</v>
      </c>
      <c r="S153" s="517">
        <f>N153*O153*P153</f>
        <v>6600</v>
      </c>
      <c r="T153" s="518" t="s">
        <v>25</v>
      </c>
    </row>
    <row r="156" spans="3:20" x14ac:dyDescent="0.25">
      <c r="C156" s="507" t="s">
        <v>1231</v>
      </c>
      <c r="D156" s="507" t="s">
        <v>1232</v>
      </c>
    </row>
    <row r="157" spans="3:20" x14ac:dyDescent="0.25">
      <c r="D157" s="507" t="s">
        <v>1233</v>
      </c>
    </row>
    <row r="158" spans="3:20" ht="13" x14ac:dyDescent="0.3">
      <c r="E158" s="507" t="s">
        <v>1234</v>
      </c>
      <c r="O158" s="508">
        <f>_RoadLength</f>
        <v>2.4000000000000004</v>
      </c>
      <c r="R158" s="508">
        <f>_ContractPeriod</f>
        <v>22</v>
      </c>
      <c r="S158" s="517">
        <f>O158*R158</f>
        <v>52.800000000000011</v>
      </c>
      <c r="T158" s="518" t="s">
        <v>1235</v>
      </c>
    </row>
    <row r="160" spans="3:20" x14ac:dyDescent="0.25">
      <c r="C160" s="507">
        <v>15.12</v>
      </c>
      <c r="E160" s="507" t="s">
        <v>1236</v>
      </c>
    </row>
    <row r="162" spans="3:20" x14ac:dyDescent="0.25">
      <c r="E162" s="507" t="s">
        <v>1237</v>
      </c>
      <c r="I162" s="507" t="s">
        <v>1238</v>
      </c>
      <c r="O162" s="508">
        <v>1</v>
      </c>
      <c r="P162" s="508">
        <v>250</v>
      </c>
      <c r="Q162" s="508">
        <v>9.76</v>
      </c>
      <c r="S162" s="508">
        <f>O162/P162*1000*Q162</f>
        <v>39.04</v>
      </c>
      <c r="T162" s="507" t="s">
        <v>6</v>
      </c>
    </row>
    <row r="163" spans="3:20" ht="13" x14ac:dyDescent="0.3">
      <c r="R163" s="523" t="s">
        <v>1218</v>
      </c>
      <c r="S163" s="517">
        <f>ROUNDUP(S162/10,0)*10</f>
        <v>40</v>
      </c>
      <c r="T163" s="518" t="s">
        <v>6</v>
      </c>
    </row>
    <row r="165" spans="3:20" x14ac:dyDescent="0.25">
      <c r="E165" s="507" t="s">
        <v>1239</v>
      </c>
      <c r="I165" s="507" t="s">
        <v>1240</v>
      </c>
      <c r="O165" s="508">
        <v>1</v>
      </c>
      <c r="P165" s="508">
        <v>650</v>
      </c>
      <c r="Q165" s="508">
        <v>9.76</v>
      </c>
      <c r="R165" s="508">
        <v>2</v>
      </c>
      <c r="S165" s="508">
        <f>O165/P165*1000*Q165*R165</f>
        <v>30.030769230769231</v>
      </c>
      <c r="T165" s="507" t="s">
        <v>6</v>
      </c>
    </row>
    <row r="166" spans="3:20" ht="13" x14ac:dyDescent="0.3">
      <c r="R166" s="523" t="s">
        <v>1218</v>
      </c>
      <c r="S166" s="517">
        <f>ROUNDUP(S165/10,0)*10</f>
        <v>40</v>
      </c>
      <c r="T166" s="518" t="s">
        <v>6</v>
      </c>
    </row>
    <row r="171" spans="3:20" x14ac:dyDescent="0.25">
      <c r="C171" s="507" t="s">
        <v>1241</v>
      </c>
      <c r="E171" s="507" t="s">
        <v>1242</v>
      </c>
    </row>
    <row r="172" spans="3:20" x14ac:dyDescent="0.25">
      <c r="E172" s="507" t="s">
        <v>1243</v>
      </c>
      <c r="O172" s="508">
        <f>S135</f>
        <v>1260.0000000000002</v>
      </c>
      <c r="P172" s="508">
        <f>S140</f>
        <v>180.00000000000003</v>
      </c>
      <c r="Q172" s="508">
        <f>6</f>
        <v>6</v>
      </c>
      <c r="S172" s="508">
        <f>(O172+P172)*Q172</f>
        <v>8640.0000000000018</v>
      </c>
    </row>
    <row r="173" spans="3:20" ht="13" x14ac:dyDescent="0.3">
      <c r="E173" s="507" t="s">
        <v>1244</v>
      </c>
      <c r="R173" s="523" t="s">
        <v>1218</v>
      </c>
      <c r="S173" s="517">
        <f>ROUNDUP(S172/1000,0)*1000</f>
        <v>9000</v>
      </c>
      <c r="T173" s="518" t="s">
        <v>1245</v>
      </c>
    </row>
    <row r="190" spans="1:3" ht="13" x14ac:dyDescent="0.3">
      <c r="A190" s="506" t="s">
        <v>1246</v>
      </c>
      <c r="B190" s="506" t="str">
        <f>C190</f>
        <v>1600: Overhaul</v>
      </c>
      <c r="C190" s="515" t="s">
        <v>1246</v>
      </c>
    </row>
    <row r="211" spans="1:20" ht="13" x14ac:dyDescent="0.3">
      <c r="A211" s="506" t="s">
        <v>1247</v>
      </c>
      <c r="B211" s="506" t="str">
        <f>C211</f>
        <v>1700: Clearing and grubbing</v>
      </c>
      <c r="C211" s="515" t="s">
        <v>1247</v>
      </c>
    </row>
    <row r="213" spans="1:20" x14ac:dyDescent="0.25">
      <c r="C213" s="507" t="s">
        <v>1248</v>
      </c>
      <c r="E213" s="507" t="s">
        <v>1249</v>
      </c>
      <c r="M213" s="508">
        <v>1000</v>
      </c>
      <c r="N213" s="525">
        <v>1E-4</v>
      </c>
      <c r="O213" s="508">
        <f>_RoadLength</f>
        <v>2.4000000000000004</v>
      </c>
      <c r="P213" s="508">
        <v>30</v>
      </c>
      <c r="S213" s="508">
        <f>M213*N213*O213*P213</f>
        <v>7.2000000000000011</v>
      </c>
      <c r="T213" s="507" t="s">
        <v>1250</v>
      </c>
    </row>
    <row r="214" spans="1:20" x14ac:dyDescent="0.25">
      <c r="N214" s="525"/>
      <c r="O214" s="508" t="s">
        <v>1251</v>
      </c>
      <c r="S214" s="526">
        <v>1</v>
      </c>
      <c r="T214" s="507" t="s">
        <v>1250</v>
      </c>
    </row>
    <row r="215" spans="1:20" x14ac:dyDescent="0.25">
      <c r="S215" s="508">
        <f>S213+S214</f>
        <v>8.2000000000000011</v>
      </c>
      <c r="T215" s="507" t="s">
        <v>1250</v>
      </c>
    </row>
    <row r="216" spans="1:20" ht="13" x14ac:dyDescent="0.3">
      <c r="R216" s="523" t="s">
        <v>1218</v>
      </c>
      <c r="S216" s="517">
        <f>ROUNDUP(S215/1,0)</f>
        <v>9</v>
      </c>
      <c r="T216" s="518" t="s">
        <v>1250</v>
      </c>
    </row>
    <row r="233" spans="1:20" ht="13" x14ac:dyDescent="0.3">
      <c r="A233" s="506" t="s">
        <v>1252</v>
      </c>
      <c r="B233" s="506" t="str">
        <f>C233</f>
        <v>2100: Drains</v>
      </c>
      <c r="C233" s="515" t="s">
        <v>1252</v>
      </c>
    </row>
    <row r="235" spans="1:20" x14ac:dyDescent="0.25">
      <c r="C235" s="507" t="s">
        <v>1253</v>
      </c>
      <c r="E235" s="507" t="s">
        <v>1254</v>
      </c>
    </row>
    <row r="236" spans="1:20" x14ac:dyDescent="0.25">
      <c r="E236" s="507" t="s">
        <v>1255</v>
      </c>
    </row>
    <row r="237" spans="1:20" ht="13" x14ac:dyDescent="0.3">
      <c r="R237" s="517" t="s">
        <v>1218</v>
      </c>
      <c r="S237" s="517">
        <v>150</v>
      </c>
      <c r="T237" s="518" t="s">
        <v>799</v>
      </c>
    </row>
    <row r="240" spans="1:20" x14ac:dyDescent="0.25">
      <c r="C240" s="507" t="s">
        <v>1256</v>
      </c>
      <c r="E240" s="507" t="s">
        <v>1257</v>
      </c>
    </row>
    <row r="241" spans="3:20" x14ac:dyDescent="0.25">
      <c r="E241" s="507" t="s">
        <v>1258</v>
      </c>
    </row>
    <row r="242" spans="3:20" x14ac:dyDescent="0.25">
      <c r="E242" s="507" t="s">
        <v>1259</v>
      </c>
    </row>
    <row r="243" spans="3:20" x14ac:dyDescent="0.25">
      <c r="E243" s="507" t="s">
        <v>1260</v>
      </c>
    </row>
    <row r="244" spans="3:20" x14ac:dyDescent="0.25">
      <c r="E244">
        <v>11500</v>
      </c>
      <c r="F244">
        <v>11980</v>
      </c>
      <c r="G244">
        <f>F244-E244</f>
        <v>480</v>
      </c>
      <c r="H244" t="s">
        <v>1138</v>
      </c>
      <c r="I244" t="s">
        <v>1261</v>
      </c>
    </row>
    <row r="245" spans="3:20" x14ac:dyDescent="0.25">
      <c r="E245">
        <v>11500</v>
      </c>
      <c r="F245">
        <v>11980</v>
      </c>
      <c r="G245">
        <f>F245-E245</f>
        <v>480</v>
      </c>
      <c r="H245" t="s">
        <v>1139</v>
      </c>
      <c r="I245" t="s">
        <v>1261</v>
      </c>
      <c r="O245" s="508">
        <f>G244+G245</f>
        <v>960</v>
      </c>
      <c r="P245" s="508">
        <v>0.4</v>
      </c>
      <c r="Q245" s="508">
        <v>1</v>
      </c>
      <c r="S245" s="508">
        <f>O245*P245*Q245</f>
        <v>384</v>
      </c>
      <c r="T245" s="507" t="s">
        <v>799</v>
      </c>
    </row>
    <row r="246" spans="3:20" ht="13" x14ac:dyDescent="0.3">
      <c r="R246" s="517" t="s">
        <v>1218</v>
      </c>
      <c r="S246" s="517">
        <f>ROUNDUP(S245/10,0)*10</f>
        <v>390</v>
      </c>
      <c r="T246" s="518" t="s">
        <v>799</v>
      </c>
    </row>
    <row r="251" spans="3:20" x14ac:dyDescent="0.25">
      <c r="C251" s="507" t="s">
        <v>1262</v>
      </c>
      <c r="E251" s="507" t="s">
        <v>1263</v>
      </c>
    </row>
    <row r="252" spans="3:20" x14ac:dyDescent="0.25">
      <c r="E252" s="507" t="s">
        <v>1264</v>
      </c>
      <c r="O252" s="508">
        <f>O245</f>
        <v>960</v>
      </c>
      <c r="P252" s="508">
        <v>0.4</v>
      </c>
      <c r="Q252" s="508">
        <v>0.25</v>
      </c>
      <c r="S252" s="508">
        <f>O252*P252*Q252</f>
        <v>96</v>
      </c>
      <c r="T252" s="507" t="s">
        <v>799</v>
      </c>
    </row>
    <row r="253" spans="3:20" ht="13" x14ac:dyDescent="0.3">
      <c r="R253" s="517" t="s">
        <v>1218</v>
      </c>
      <c r="S253" s="517">
        <f>ROUNDUP(S252/10,0)*10</f>
        <v>100</v>
      </c>
      <c r="T253" s="518" t="s">
        <v>799</v>
      </c>
    </row>
    <row r="256" spans="3:20" x14ac:dyDescent="0.25">
      <c r="C256" s="507" t="s">
        <v>1265</v>
      </c>
      <c r="E256" s="507" t="s">
        <v>1266</v>
      </c>
    </row>
    <row r="257" spans="3:20" x14ac:dyDescent="0.25">
      <c r="E257" s="507" t="s">
        <v>1264</v>
      </c>
      <c r="O257" s="508">
        <f>O245</f>
        <v>960</v>
      </c>
      <c r="P257" s="508">
        <v>0.4</v>
      </c>
      <c r="Q257" s="508">
        <v>0.25</v>
      </c>
      <c r="S257" s="508">
        <f>O257*P257*Q257</f>
        <v>96</v>
      </c>
      <c r="T257" s="507" t="s">
        <v>799</v>
      </c>
    </row>
    <row r="258" spans="3:20" ht="13" x14ac:dyDescent="0.3">
      <c r="R258" s="517" t="s">
        <v>1218</v>
      </c>
      <c r="S258" s="517">
        <f>ROUNDUP(S257/10,0)*10</f>
        <v>100</v>
      </c>
      <c r="T258" s="518" t="s">
        <v>799</v>
      </c>
    </row>
    <row r="261" spans="3:20" x14ac:dyDescent="0.25">
      <c r="C261" s="507" t="s">
        <v>1267</v>
      </c>
      <c r="E261" s="507" t="s">
        <v>1268</v>
      </c>
    </row>
    <row r="262" spans="3:20" x14ac:dyDescent="0.25">
      <c r="E262" s="507" t="s">
        <v>1269</v>
      </c>
      <c r="O262" s="508">
        <f>O245</f>
        <v>960</v>
      </c>
      <c r="P262" s="508">
        <v>0.4</v>
      </c>
      <c r="Q262" s="508">
        <v>0.8</v>
      </c>
      <c r="S262" s="508">
        <f>O262*P262*Q262</f>
        <v>307.20000000000005</v>
      </c>
      <c r="T262" s="507" t="s">
        <v>799</v>
      </c>
    </row>
    <row r="263" spans="3:20" ht="13" x14ac:dyDescent="0.3">
      <c r="R263" s="517" t="s">
        <v>1218</v>
      </c>
      <c r="S263" s="517">
        <f>ROUNDUP(S262/10,0)*10</f>
        <v>310</v>
      </c>
      <c r="T263" s="518" t="s">
        <v>799</v>
      </c>
    </row>
    <row r="266" spans="3:20" ht="13" x14ac:dyDescent="0.3">
      <c r="C266" s="507" t="s">
        <v>1270</v>
      </c>
      <c r="E266" s="507" t="s">
        <v>1271</v>
      </c>
      <c r="O266" s="508">
        <f>O245</f>
        <v>960</v>
      </c>
      <c r="S266" s="517">
        <f>O266</f>
        <v>960</v>
      </c>
      <c r="T266" s="518" t="s">
        <v>6</v>
      </c>
    </row>
    <row r="270" spans="3:20" x14ac:dyDescent="0.25">
      <c r="C270" s="507" t="s">
        <v>1272</v>
      </c>
      <c r="E270" s="507" t="s">
        <v>1273</v>
      </c>
    </row>
    <row r="271" spans="3:20" x14ac:dyDescent="0.25">
      <c r="E271" s="507" t="s">
        <v>1274</v>
      </c>
      <c r="O271" s="508">
        <f>O245</f>
        <v>960</v>
      </c>
      <c r="P271" s="508">
        <v>0.4</v>
      </c>
      <c r="Q271" s="508">
        <f>Q257</f>
        <v>0.25</v>
      </c>
      <c r="S271" s="508">
        <f>(P271*2+Q271*2+0.2)*O271</f>
        <v>1440</v>
      </c>
      <c r="T271" s="507" t="s">
        <v>555</v>
      </c>
    </row>
    <row r="272" spans="3:20" ht="13" x14ac:dyDescent="0.3">
      <c r="S272" s="517">
        <f>ROUNDUP(S271/50,0)*50</f>
        <v>1450</v>
      </c>
      <c r="T272" s="518" t="s">
        <v>799</v>
      </c>
    </row>
    <row r="275" spans="3:20" x14ac:dyDescent="0.25">
      <c r="C275" s="507" t="s">
        <v>1275</v>
      </c>
      <c r="E275" s="507" t="s">
        <v>1276</v>
      </c>
    </row>
    <row r="276" spans="3:20" x14ac:dyDescent="0.25">
      <c r="E276" s="507" t="s">
        <v>1277</v>
      </c>
      <c r="O276" s="508" t="e">
        <f>#REF!</f>
        <v>#REF!</v>
      </c>
      <c r="P276" s="508">
        <v>200</v>
      </c>
      <c r="R276" s="508">
        <v>2</v>
      </c>
      <c r="S276" s="508" t="e">
        <f>ROUNDUP(O276/P276*R276,0)</f>
        <v>#REF!</v>
      </c>
      <c r="T276" s="507" t="s">
        <v>34</v>
      </c>
    </row>
    <row r="277" spans="3:20" x14ac:dyDescent="0.25">
      <c r="C277" s="507" t="s">
        <v>1278</v>
      </c>
      <c r="E277" s="507" t="s">
        <v>1279</v>
      </c>
    </row>
    <row r="278" spans="3:20" x14ac:dyDescent="0.25">
      <c r="E278" s="507" t="s">
        <v>1280</v>
      </c>
      <c r="S278" s="508" t="e">
        <f>S276</f>
        <v>#REF!</v>
      </c>
      <c r="T278" s="507" t="s">
        <v>34</v>
      </c>
    </row>
    <row r="279" spans="3:20" x14ac:dyDescent="0.25">
      <c r="C279" s="507">
        <v>21.13</v>
      </c>
      <c r="E279" s="507" t="s">
        <v>1281</v>
      </c>
    </row>
    <row r="280" spans="3:20" x14ac:dyDescent="0.25">
      <c r="E280" s="507" t="s">
        <v>1280</v>
      </c>
      <c r="S280" s="508" t="e">
        <f>S276</f>
        <v>#REF!</v>
      </c>
      <c r="T280" s="507" t="s">
        <v>34</v>
      </c>
    </row>
    <row r="282" spans="3:20" x14ac:dyDescent="0.25">
      <c r="C282" s="507">
        <v>21.15</v>
      </c>
      <c r="E282" s="507" t="s">
        <v>1282</v>
      </c>
      <c r="H282" s="507" t="s">
        <v>1283</v>
      </c>
      <c r="S282" s="508">
        <v>250</v>
      </c>
      <c r="T282" s="507" t="s">
        <v>1284</v>
      </c>
    </row>
    <row r="283" spans="3:20" x14ac:dyDescent="0.25">
      <c r="E283" s="507" t="s">
        <v>1285</v>
      </c>
    </row>
    <row r="284" spans="3:20" x14ac:dyDescent="0.25">
      <c r="E284" s="507" t="s">
        <v>1286</v>
      </c>
    </row>
    <row r="286" spans="3:20" x14ac:dyDescent="0.25">
      <c r="C286" s="507" t="s">
        <v>1287</v>
      </c>
      <c r="E286" s="507" t="s">
        <v>1288</v>
      </c>
    </row>
    <row r="287" spans="3:20" x14ac:dyDescent="0.25">
      <c r="F287" s="507" t="s">
        <v>1289</v>
      </c>
      <c r="Q287" s="508">
        <v>10</v>
      </c>
      <c r="R287" s="508">
        <v>2</v>
      </c>
      <c r="S287" s="508">
        <f>Q287*R287</f>
        <v>20</v>
      </c>
      <c r="T287" s="507" t="s">
        <v>799</v>
      </c>
    </row>
    <row r="288" spans="3:20" x14ac:dyDescent="0.25">
      <c r="C288" s="507" t="s">
        <v>1290</v>
      </c>
      <c r="E288" s="507" t="s">
        <v>1291</v>
      </c>
    </row>
    <row r="289" spans="1:20" x14ac:dyDescent="0.25">
      <c r="F289" s="507" t="s">
        <v>1289</v>
      </c>
      <c r="Q289" s="508">
        <v>10</v>
      </c>
      <c r="R289" s="508">
        <v>2</v>
      </c>
      <c r="S289" s="508">
        <f>Q289*R289</f>
        <v>20</v>
      </c>
      <c r="T289" s="507" t="s">
        <v>799</v>
      </c>
    </row>
    <row r="292" spans="1:20" ht="13" x14ac:dyDescent="0.3">
      <c r="A292" s="506" t="s">
        <v>1292</v>
      </c>
      <c r="B292" s="506" t="str">
        <f>C292</f>
        <v>2200: Prefabricated culverts</v>
      </c>
      <c r="C292" s="515" t="s">
        <v>1292</v>
      </c>
    </row>
    <row r="295" spans="1:20" x14ac:dyDescent="0.25">
      <c r="C295" s="507" t="s">
        <v>1293</v>
      </c>
    </row>
    <row r="296" spans="1:20" x14ac:dyDescent="0.25">
      <c r="C296" s="507" t="s">
        <v>1294</v>
      </c>
      <c r="Q296" s="508" t="s">
        <v>1295</v>
      </c>
    </row>
    <row r="297" spans="1:20" ht="13" x14ac:dyDescent="0.3">
      <c r="D297" s="507" t="s">
        <v>1296</v>
      </c>
      <c r="H297" s="507" t="s">
        <v>1297</v>
      </c>
      <c r="S297" s="508">
        <v>249</v>
      </c>
      <c r="T297" s="507" t="s">
        <v>799</v>
      </c>
    </row>
    <row r="298" spans="1:20" x14ac:dyDescent="0.25">
      <c r="G298" s="507" t="s">
        <v>1298</v>
      </c>
      <c r="Q298" s="526">
        <f>S297</f>
        <v>249</v>
      </c>
      <c r="R298" s="527">
        <v>-0.33</v>
      </c>
      <c r="S298" s="526">
        <f>Q298*R298</f>
        <v>-82.17</v>
      </c>
      <c r="T298" s="528" t="s">
        <v>799</v>
      </c>
    </row>
    <row r="299" spans="1:20" x14ac:dyDescent="0.25">
      <c r="S299" s="508">
        <f>SUM(S296:S298)</f>
        <v>166.82999999999998</v>
      </c>
      <c r="T299" s="507" t="s">
        <v>799</v>
      </c>
    </row>
    <row r="300" spans="1:20" ht="13" x14ac:dyDescent="0.3">
      <c r="R300" s="517" t="s">
        <v>1218</v>
      </c>
      <c r="S300" s="529">
        <f>ROUNDUP(S299/10,0)*10</f>
        <v>170</v>
      </c>
      <c r="T300" s="518" t="s">
        <v>799</v>
      </c>
    </row>
    <row r="301" spans="1:20" ht="13" x14ac:dyDescent="0.3">
      <c r="R301" s="517"/>
      <c r="S301" s="529"/>
      <c r="T301" s="518"/>
    </row>
    <row r="302" spans="1:20" x14ac:dyDescent="0.25">
      <c r="D302" s="507" t="s">
        <v>1299</v>
      </c>
      <c r="H302" s="507" t="s">
        <v>1300</v>
      </c>
      <c r="Q302" s="526">
        <f>S298</f>
        <v>-82.17</v>
      </c>
      <c r="R302" s="526">
        <v>-1</v>
      </c>
      <c r="S302" s="530">
        <f>Q302*R302</f>
        <v>82.17</v>
      </c>
      <c r="T302" s="528" t="s">
        <v>799</v>
      </c>
    </row>
    <row r="303" spans="1:20" ht="13" x14ac:dyDescent="0.3">
      <c r="R303" s="517" t="s">
        <v>1218</v>
      </c>
      <c r="S303" s="529">
        <f>ROUNDUP(S302/10,0)*10</f>
        <v>90</v>
      </c>
      <c r="T303" s="518" t="s">
        <v>799</v>
      </c>
    </row>
    <row r="304" spans="1:20" ht="13" x14ac:dyDescent="0.3">
      <c r="R304" s="517"/>
      <c r="S304" s="529"/>
      <c r="T304" s="518"/>
    </row>
    <row r="305" spans="3:20" ht="13" x14ac:dyDescent="0.3">
      <c r="R305" s="517"/>
      <c r="S305" s="529"/>
      <c r="T305" s="518"/>
    </row>
    <row r="306" spans="3:20" ht="13" x14ac:dyDescent="0.3">
      <c r="C306" s="507" t="s">
        <v>1293</v>
      </c>
      <c r="R306" s="517"/>
      <c r="S306" s="529"/>
      <c r="T306" s="518"/>
    </row>
    <row r="307" spans="3:20" ht="13" x14ac:dyDescent="0.3">
      <c r="C307" s="507" t="s">
        <v>1301</v>
      </c>
      <c r="R307" s="517"/>
      <c r="S307" s="529"/>
      <c r="T307" s="518"/>
    </row>
    <row r="308" spans="3:20" ht="13" x14ac:dyDescent="0.3">
      <c r="H308" s="507" t="s">
        <v>1302</v>
      </c>
      <c r="Q308" s="508">
        <f>S297</f>
        <v>249</v>
      </c>
      <c r="R308" s="531">
        <v>0.45</v>
      </c>
      <c r="S308" s="529">
        <f>ROUND(Q308*R308,0)</f>
        <v>112</v>
      </c>
      <c r="T308" s="518" t="s">
        <v>799</v>
      </c>
    </row>
    <row r="309" spans="3:20" ht="13" x14ac:dyDescent="0.3">
      <c r="R309" s="517"/>
      <c r="S309" s="529"/>
      <c r="T309" s="518"/>
    </row>
    <row r="310" spans="3:20" ht="13" x14ac:dyDescent="0.3">
      <c r="R310" s="517"/>
      <c r="S310" s="529"/>
      <c r="T310" s="518"/>
    </row>
    <row r="311" spans="3:20" ht="13" x14ac:dyDescent="0.3">
      <c r="C311" s="507" t="s">
        <v>1303</v>
      </c>
      <c r="R311" s="517"/>
      <c r="S311" s="529"/>
      <c r="T311" s="518"/>
    </row>
    <row r="312" spans="3:20" ht="13" x14ac:dyDescent="0.3">
      <c r="C312" s="507" t="s">
        <v>1304</v>
      </c>
      <c r="R312" s="517"/>
      <c r="S312" s="529"/>
      <c r="T312" s="518"/>
    </row>
    <row r="313" spans="3:20" x14ac:dyDescent="0.25">
      <c r="D313" s="507" t="s">
        <v>1305</v>
      </c>
    </row>
    <row r="314" spans="3:20" ht="13" x14ac:dyDescent="0.3">
      <c r="E314" s="507" t="s">
        <v>1306</v>
      </c>
      <c r="I314" s="507" t="s">
        <v>1297</v>
      </c>
      <c r="S314" s="517">
        <v>35</v>
      </c>
      <c r="T314" s="507" t="s">
        <v>6</v>
      </c>
    </row>
    <row r="316" spans="3:20" ht="13" x14ac:dyDescent="0.3">
      <c r="E316" s="507" t="s">
        <v>1307</v>
      </c>
      <c r="S316" s="517">
        <v>35</v>
      </c>
      <c r="T316" s="507" t="s">
        <v>6</v>
      </c>
    </row>
    <row r="318" spans="3:20" ht="13" x14ac:dyDescent="0.3">
      <c r="E318" s="507" t="s">
        <v>1308</v>
      </c>
      <c r="S318" s="517">
        <v>100</v>
      </c>
      <c r="T318" s="507" t="s">
        <v>6</v>
      </c>
    </row>
    <row r="320" spans="3:20" x14ac:dyDescent="0.25">
      <c r="C320" s="511">
        <v>22.05</v>
      </c>
      <c r="D320" s="507" t="s">
        <v>1309</v>
      </c>
    </row>
    <row r="321" spans="3:20" ht="13" x14ac:dyDescent="0.3">
      <c r="C321" s="507" t="s">
        <v>1310</v>
      </c>
      <c r="L321" s="507" t="s">
        <v>1297</v>
      </c>
      <c r="S321" s="517">
        <v>72</v>
      </c>
      <c r="T321" s="507" t="s">
        <v>6</v>
      </c>
    </row>
    <row r="324" spans="3:20" x14ac:dyDescent="0.25">
      <c r="C324" s="507" t="s">
        <v>1311</v>
      </c>
    </row>
    <row r="325" spans="3:20" x14ac:dyDescent="0.25">
      <c r="C325" s="507" t="s">
        <v>1312</v>
      </c>
    </row>
    <row r="326" spans="3:20" ht="13" x14ac:dyDescent="0.3">
      <c r="D326" s="507" t="s">
        <v>1313</v>
      </c>
      <c r="H326" s="507" t="s">
        <v>1314</v>
      </c>
      <c r="S326" s="517">
        <v>10</v>
      </c>
      <c r="T326" s="507" t="s">
        <v>799</v>
      </c>
    </row>
    <row r="327" spans="3:20" x14ac:dyDescent="0.25">
      <c r="M327" s="507"/>
      <c r="N327" s="507"/>
      <c r="O327" s="507"/>
      <c r="P327" s="507"/>
      <c r="Q327" s="507"/>
      <c r="R327" s="507"/>
      <c r="S327" s="507"/>
    </row>
    <row r="329" spans="3:20" x14ac:dyDescent="0.25">
      <c r="C329" s="507" t="s">
        <v>1315</v>
      </c>
    </row>
    <row r="330" spans="3:20" x14ac:dyDescent="0.25">
      <c r="D330" s="507" t="s">
        <v>1313</v>
      </c>
      <c r="H330" s="507" t="s">
        <v>1314</v>
      </c>
      <c r="S330" s="508">
        <v>10</v>
      </c>
      <c r="T330" s="507" t="s">
        <v>799</v>
      </c>
    </row>
    <row r="333" spans="3:20" x14ac:dyDescent="0.25">
      <c r="C333" s="507" t="s">
        <v>1316</v>
      </c>
    </row>
    <row r="334" spans="3:20" ht="13" x14ac:dyDescent="0.3">
      <c r="D334" s="507" t="s">
        <v>1313</v>
      </c>
      <c r="H334" s="507" t="s">
        <v>1297</v>
      </c>
      <c r="S334" s="508">
        <v>20</v>
      </c>
      <c r="T334" s="507" t="s">
        <v>799</v>
      </c>
    </row>
    <row r="337" spans="3:20" x14ac:dyDescent="0.25">
      <c r="C337" s="507" t="s">
        <v>1317</v>
      </c>
    </row>
    <row r="338" spans="3:20" ht="13" x14ac:dyDescent="0.3">
      <c r="D338" s="507" t="s">
        <v>1318</v>
      </c>
      <c r="I338" s="507" t="s">
        <v>1297</v>
      </c>
      <c r="S338" s="508">
        <v>67</v>
      </c>
      <c r="T338" s="507" t="s">
        <v>555</v>
      </c>
    </row>
    <row r="340" spans="3:20" ht="13" x14ac:dyDescent="0.3">
      <c r="D340" s="507" t="s">
        <v>1319</v>
      </c>
      <c r="I340" s="507" t="s">
        <v>1297</v>
      </c>
      <c r="S340" s="508">
        <v>37</v>
      </c>
      <c r="T340" s="507" t="s">
        <v>555</v>
      </c>
    </row>
    <row r="342" spans="3:20" ht="13" x14ac:dyDescent="0.3">
      <c r="C342" s="507" t="s">
        <v>1320</v>
      </c>
      <c r="P342" s="508">
        <f>S326</f>
        <v>10</v>
      </c>
      <c r="Q342" s="508">
        <f>S330</f>
        <v>10</v>
      </c>
      <c r="R342" s="508">
        <f>S334</f>
        <v>20</v>
      </c>
      <c r="S342" s="517">
        <f>SUM(P342:R342)</f>
        <v>40</v>
      </c>
      <c r="T342" s="518" t="s">
        <v>799</v>
      </c>
    </row>
    <row r="346" spans="3:20" x14ac:dyDescent="0.25">
      <c r="C346" s="507" t="s">
        <v>1321</v>
      </c>
    </row>
    <row r="347" spans="3:20" ht="13" x14ac:dyDescent="0.3">
      <c r="C347" s="507" t="s">
        <v>1322</v>
      </c>
      <c r="I347" s="507" t="s">
        <v>1297</v>
      </c>
      <c r="S347" s="517">
        <v>210</v>
      </c>
      <c r="T347" s="507" t="s">
        <v>24</v>
      </c>
    </row>
    <row r="350" spans="3:20" x14ac:dyDescent="0.25">
      <c r="C350" s="507" t="s">
        <v>1323</v>
      </c>
    </row>
    <row r="351" spans="3:20" ht="13" x14ac:dyDescent="0.3">
      <c r="C351" s="507" t="s">
        <v>1324</v>
      </c>
      <c r="I351" s="507" t="s">
        <v>1297</v>
      </c>
      <c r="S351" s="517">
        <v>45</v>
      </c>
      <c r="T351" s="507" t="s">
        <v>555</v>
      </c>
    </row>
    <row r="355" spans="1:20" ht="13" x14ac:dyDescent="0.3">
      <c r="A355" s="506" t="s">
        <v>1325</v>
      </c>
      <c r="B355" s="506" t="str">
        <f>C355</f>
        <v>2300: Concrete kerbing, concrete channelling, chutes and downpipes, and
concrete linings for open drains</v>
      </c>
      <c r="C355" s="515" t="s">
        <v>1325</v>
      </c>
    </row>
    <row r="358" spans="1:20" x14ac:dyDescent="0.25">
      <c r="C358" s="507" t="s">
        <v>1326</v>
      </c>
    </row>
    <row r="359" spans="1:20" x14ac:dyDescent="0.25">
      <c r="C359" s="507" t="s">
        <v>1327</v>
      </c>
    </row>
    <row r="361" spans="1:20" ht="13" x14ac:dyDescent="0.3">
      <c r="D361" s="507" t="s">
        <v>1328</v>
      </c>
      <c r="S361" s="517">
        <v>200</v>
      </c>
      <c r="T361" s="507" t="s">
        <v>6</v>
      </c>
    </row>
    <row r="363" spans="1:20" ht="13" x14ac:dyDescent="0.3">
      <c r="C363" s="507" t="s">
        <v>1329</v>
      </c>
      <c r="S363" s="517">
        <v>25</v>
      </c>
      <c r="T363" s="507" t="s">
        <v>6</v>
      </c>
    </row>
    <row r="366" spans="1:20" x14ac:dyDescent="0.25">
      <c r="C366" s="507" t="s">
        <v>1330</v>
      </c>
      <c r="E366" s="532"/>
    </row>
    <row r="367" spans="1:20" x14ac:dyDescent="0.25">
      <c r="C367" s="507" t="s">
        <v>1331</v>
      </c>
    </row>
    <row r="368" spans="1:20" x14ac:dyDescent="0.25">
      <c r="C368" s="507" t="s">
        <v>1332</v>
      </c>
    </row>
    <row r="370" spans="3:20" ht="13" x14ac:dyDescent="0.3">
      <c r="D370" s="507" t="s">
        <v>1333</v>
      </c>
      <c r="S370" s="517">
        <v>1920</v>
      </c>
      <c r="T370" s="507" t="s">
        <v>6</v>
      </c>
    </row>
    <row r="374" spans="3:20" x14ac:dyDescent="0.25">
      <c r="C374" s="507" t="s">
        <v>1334</v>
      </c>
    </row>
    <row r="375" spans="3:20" x14ac:dyDescent="0.25">
      <c r="C375" s="514" t="s">
        <v>1335</v>
      </c>
    </row>
    <row r="376" spans="3:20" x14ac:dyDescent="0.25">
      <c r="D376" s="507" t="s">
        <v>1336</v>
      </c>
    </row>
    <row r="377" spans="3:20" x14ac:dyDescent="0.25">
      <c r="D377" s="507" t="s">
        <v>1337</v>
      </c>
      <c r="R377" s="508">
        <v>5</v>
      </c>
    </row>
    <row r="378" spans="3:20" x14ac:dyDescent="0.25">
      <c r="D378" s="507" t="s">
        <v>1338</v>
      </c>
      <c r="Q378" s="508">
        <v>2</v>
      </c>
      <c r="R378" s="508">
        <v>2</v>
      </c>
      <c r="S378" s="508">
        <f>Q378*R378</f>
        <v>4</v>
      </c>
    </row>
    <row r="379" spans="3:20" x14ac:dyDescent="0.25">
      <c r="D379" s="507" t="s">
        <v>1339</v>
      </c>
      <c r="Q379" s="508">
        <f>R377</f>
        <v>5</v>
      </c>
      <c r="R379" s="508">
        <f>S378</f>
        <v>4</v>
      </c>
      <c r="S379" s="508">
        <f>Q379*R379</f>
        <v>20</v>
      </c>
    </row>
    <row r="380" spans="3:20" x14ac:dyDescent="0.25">
      <c r="D380" s="507" t="s">
        <v>1340</v>
      </c>
      <c r="Q380" s="507"/>
      <c r="R380" s="507"/>
      <c r="S380" s="507"/>
    </row>
    <row r="381" spans="3:20" ht="13" x14ac:dyDescent="0.3">
      <c r="D381" s="507" t="s">
        <v>1341</v>
      </c>
      <c r="Q381" s="508">
        <f>S379</f>
        <v>20</v>
      </c>
      <c r="R381" s="516">
        <v>0.4</v>
      </c>
      <c r="S381" s="517">
        <f>Q381*R381</f>
        <v>8</v>
      </c>
      <c r="T381" s="518" t="s">
        <v>979</v>
      </c>
    </row>
    <row r="384" spans="3:20" x14ac:dyDescent="0.25">
      <c r="C384" s="514" t="s">
        <v>1342</v>
      </c>
    </row>
    <row r="385" spans="3:20" x14ac:dyDescent="0.25">
      <c r="D385" s="507" t="s">
        <v>1343</v>
      </c>
    </row>
    <row r="386" spans="3:20" x14ac:dyDescent="0.25">
      <c r="D386" s="507" t="s">
        <v>1344</v>
      </c>
      <c r="S386" s="508">
        <f>S379</f>
        <v>20</v>
      </c>
    </row>
    <row r="387" spans="3:20" x14ac:dyDescent="0.25">
      <c r="D387" s="507" t="s">
        <v>1340</v>
      </c>
      <c r="S387" s="507"/>
    </row>
    <row r="388" spans="3:20" ht="13" x14ac:dyDescent="0.3">
      <c r="D388" s="507" t="s">
        <v>1341</v>
      </c>
      <c r="Q388" s="508">
        <f>S386</f>
        <v>20</v>
      </c>
      <c r="R388" s="516">
        <v>0.4</v>
      </c>
      <c r="S388" s="517">
        <f>Q388*R388</f>
        <v>8</v>
      </c>
      <c r="T388" s="518" t="s">
        <v>979</v>
      </c>
    </row>
    <row r="389" spans="3:20" ht="13" x14ac:dyDescent="0.3">
      <c r="S389" s="517"/>
      <c r="T389" s="518"/>
    </row>
    <row r="391" spans="3:20" x14ac:dyDescent="0.25">
      <c r="C391" s="514" t="s">
        <v>1345</v>
      </c>
    </row>
    <row r="392" spans="3:20" x14ac:dyDescent="0.25">
      <c r="C392" s="514" t="s">
        <v>1346</v>
      </c>
    </row>
    <row r="393" spans="3:20" x14ac:dyDescent="0.25">
      <c r="D393" s="507" t="s">
        <v>1347</v>
      </c>
    </row>
    <row r="394" spans="3:20" x14ac:dyDescent="0.25">
      <c r="D394" s="507" t="s">
        <v>1344</v>
      </c>
      <c r="S394" s="508">
        <f>S379</f>
        <v>20</v>
      </c>
    </row>
    <row r="395" spans="3:20" x14ac:dyDescent="0.25">
      <c r="D395" s="507" t="s">
        <v>1340</v>
      </c>
      <c r="S395" s="507"/>
    </row>
    <row r="396" spans="3:20" ht="13" x14ac:dyDescent="0.3">
      <c r="D396" s="507" t="s">
        <v>1341</v>
      </c>
      <c r="Q396" s="508">
        <f>S394</f>
        <v>20</v>
      </c>
      <c r="R396" s="516">
        <v>0.2</v>
      </c>
      <c r="S396" s="517">
        <f>Q396*R396</f>
        <v>4</v>
      </c>
      <c r="T396" s="518" t="s">
        <v>979</v>
      </c>
    </row>
    <row r="399" spans="3:20" x14ac:dyDescent="0.25">
      <c r="C399" s="514" t="s">
        <v>1348</v>
      </c>
    </row>
    <row r="400" spans="3:20" x14ac:dyDescent="0.25">
      <c r="C400" s="507" t="s">
        <v>1349</v>
      </c>
    </row>
    <row r="401" spans="3:20" x14ac:dyDescent="0.25">
      <c r="D401" s="507" t="s">
        <v>1350</v>
      </c>
    </row>
    <row r="402" spans="3:20" x14ac:dyDescent="0.25">
      <c r="D402" s="507" t="s">
        <v>1351</v>
      </c>
    </row>
    <row r="403" spans="3:20" x14ac:dyDescent="0.25">
      <c r="D403" s="507" t="s">
        <v>1352</v>
      </c>
    </row>
    <row r="404" spans="3:20" ht="13" x14ac:dyDescent="0.3">
      <c r="D404" s="507" t="s">
        <v>1353</v>
      </c>
      <c r="S404" s="508">
        <v>1920</v>
      </c>
      <c r="T404" s="507" t="s">
        <v>1354</v>
      </c>
    </row>
    <row r="405" spans="3:20" x14ac:dyDescent="0.25">
      <c r="D405" s="507" t="s">
        <v>1355</v>
      </c>
      <c r="S405" s="508">
        <v>60</v>
      </c>
      <c r="T405" s="507" t="s">
        <v>1354</v>
      </c>
    </row>
    <row r="406" spans="3:20" x14ac:dyDescent="0.25">
      <c r="D406" s="507" t="s">
        <v>1356</v>
      </c>
      <c r="Q406" s="508">
        <f>S404</f>
        <v>1920</v>
      </c>
      <c r="R406" s="508">
        <f>S405</f>
        <v>60</v>
      </c>
      <c r="S406" s="508">
        <f>ROUNDUP(Q406/R406,0)</f>
        <v>32</v>
      </c>
      <c r="T406" s="507" t="s">
        <v>979</v>
      </c>
    </row>
    <row r="407" spans="3:20" ht="13" x14ac:dyDescent="0.3">
      <c r="D407" s="507" t="s">
        <v>1357</v>
      </c>
      <c r="Q407" s="508">
        <f>S406</f>
        <v>32</v>
      </c>
      <c r="R407" s="516">
        <v>0.5</v>
      </c>
      <c r="S407" s="517">
        <f>Q407*R407</f>
        <v>16</v>
      </c>
      <c r="T407" s="518" t="s">
        <v>979</v>
      </c>
    </row>
    <row r="410" spans="3:20" x14ac:dyDescent="0.25">
      <c r="C410" s="514" t="s">
        <v>1358</v>
      </c>
    </row>
    <row r="411" spans="3:20" x14ac:dyDescent="0.25">
      <c r="C411" s="514" t="s">
        <v>1359</v>
      </c>
    </row>
    <row r="412" spans="3:20" ht="13" x14ac:dyDescent="0.3">
      <c r="D412" s="507" t="s">
        <v>1360</v>
      </c>
      <c r="M412" s="507"/>
      <c r="N412" s="507"/>
      <c r="O412" s="507"/>
      <c r="P412" s="507"/>
      <c r="Q412" s="507"/>
      <c r="R412" s="518" t="s">
        <v>1218</v>
      </c>
      <c r="S412" s="517">
        <v>6</v>
      </c>
      <c r="T412" s="518" t="s">
        <v>979</v>
      </c>
    </row>
    <row r="413" spans="3:20" x14ac:dyDescent="0.25">
      <c r="M413" s="507"/>
      <c r="N413" s="507"/>
      <c r="O413" s="507"/>
      <c r="P413" s="507"/>
      <c r="Q413" s="507"/>
      <c r="R413" s="507"/>
      <c r="S413" s="507"/>
    </row>
    <row r="416" spans="3:20" x14ac:dyDescent="0.25">
      <c r="C416" s="514" t="s">
        <v>1361</v>
      </c>
    </row>
    <row r="417" spans="3:20" x14ac:dyDescent="0.25">
      <c r="C417" s="507" t="s">
        <v>1362</v>
      </c>
    </row>
    <row r="418" spans="3:20" x14ac:dyDescent="0.25">
      <c r="D418" s="507" t="s">
        <v>1363</v>
      </c>
      <c r="S418" s="508">
        <f>S406</f>
        <v>32</v>
      </c>
      <c r="T418" s="507" t="s">
        <v>979</v>
      </c>
    </row>
    <row r="419" spans="3:20" ht="13" x14ac:dyDescent="0.3">
      <c r="D419" s="507" t="s">
        <v>1357</v>
      </c>
      <c r="Q419" s="508">
        <f>S418</f>
        <v>32</v>
      </c>
      <c r="R419" s="516">
        <v>0.5</v>
      </c>
      <c r="S419" s="517">
        <f>Q419*R419</f>
        <v>16</v>
      </c>
      <c r="T419" s="518" t="s">
        <v>979</v>
      </c>
    </row>
    <row r="422" spans="3:20" x14ac:dyDescent="0.25">
      <c r="C422" s="514" t="s">
        <v>1364</v>
      </c>
    </row>
    <row r="423" spans="3:20" x14ac:dyDescent="0.25">
      <c r="C423" s="507" t="s">
        <v>1365</v>
      </c>
    </row>
    <row r="424" spans="3:20" ht="13" x14ac:dyDescent="0.3">
      <c r="D424" s="507" t="s">
        <v>1366</v>
      </c>
      <c r="S424" s="517">
        <f>S406</f>
        <v>32</v>
      </c>
      <c r="T424" s="518" t="s">
        <v>979</v>
      </c>
    </row>
    <row r="426" spans="3:20" x14ac:dyDescent="0.25">
      <c r="C426" s="514" t="s">
        <v>1367</v>
      </c>
    </row>
    <row r="427" spans="3:20" x14ac:dyDescent="0.25">
      <c r="D427" s="507" t="s">
        <v>1368</v>
      </c>
      <c r="S427" s="508">
        <f>S406</f>
        <v>32</v>
      </c>
      <c r="T427" s="507" t="s">
        <v>34</v>
      </c>
    </row>
    <row r="428" spans="3:20" x14ac:dyDescent="0.25">
      <c r="D428" s="507" t="s">
        <v>1369</v>
      </c>
      <c r="R428" s="508">
        <v>0.65</v>
      </c>
      <c r="T428" s="507" t="s">
        <v>799</v>
      </c>
    </row>
    <row r="429" spans="3:20" x14ac:dyDescent="0.25">
      <c r="D429" s="507" t="s">
        <v>1370</v>
      </c>
      <c r="Q429" s="508">
        <f>R428</f>
        <v>0.65</v>
      </c>
      <c r="R429" s="508">
        <f>S427</f>
        <v>32</v>
      </c>
      <c r="S429" s="508">
        <f>Q429*R429</f>
        <v>20.8</v>
      </c>
      <c r="T429" s="507" t="s">
        <v>799</v>
      </c>
    </row>
    <row r="430" spans="3:20" x14ac:dyDescent="0.25">
      <c r="D430" s="507" t="s">
        <v>1371</v>
      </c>
      <c r="S430" s="508">
        <f>S424</f>
        <v>32</v>
      </c>
    </row>
    <row r="431" spans="3:20" x14ac:dyDescent="0.25">
      <c r="D431" s="507" t="s">
        <v>1372</v>
      </c>
      <c r="R431" s="508">
        <v>0.8</v>
      </c>
      <c r="T431" s="507" t="s">
        <v>799</v>
      </c>
    </row>
    <row r="432" spans="3:20" x14ac:dyDescent="0.25">
      <c r="D432" s="507" t="s">
        <v>1373</v>
      </c>
      <c r="Q432" s="508">
        <f>R431</f>
        <v>0.8</v>
      </c>
      <c r="R432" s="508">
        <f>S430</f>
        <v>32</v>
      </c>
      <c r="S432" s="508">
        <f>Q432*R432</f>
        <v>25.6</v>
      </c>
      <c r="T432" s="507" t="s">
        <v>799</v>
      </c>
    </row>
    <row r="433" spans="3:20" x14ac:dyDescent="0.25">
      <c r="D433" s="507" t="s">
        <v>1374</v>
      </c>
      <c r="S433" s="508">
        <f>S429+S432</f>
        <v>46.400000000000006</v>
      </c>
      <c r="T433" s="507" t="s">
        <v>799</v>
      </c>
    </row>
    <row r="434" spans="3:20" ht="13" x14ac:dyDescent="0.3">
      <c r="R434" s="523" t="s">
        <v>1218</v>
      </c>
      <c r="S434" s="517">
        <f>ROUNDUP(S433/5,0)*5</f>
        <v>50</v>
      </c>
      <c r="T434" s="518" t="s">
        <v>799</v>
      </c>
    </row>
    <row r="437" spans="3:20" x14ac:dyDescent="0.25">
      <c r="C437" s="514" t="s">
        <v>1375</v>
      </c>
    </row>
    <row r="438" spans="3:20" x14ac:dyDescent="0.25">
      <c r="C438" s="507" t="s">
        <v>1376</v>
      </c>
    </row>
    <row r="439" spans="3:20" x14ac:dyDescent="0.25">
      <c r="D439" s="507" t="s">
        <v>1377</v>
      </c>
    </row>
    <row r="440" spans="3:20" x14ac:dyDescent="0.25">
      <c r="D440" s="507" t="s">
        <v>1378</v>
      </c>
      <c r="S440" s="508">
        <v>4</v>
      </c>
      <c r="T440" s="507" t="s">
        <v>6</v>
      </c>
    </row>
    <row r="441" spans="3:20" x14ac:dyDescent="0.25">
      <c r="D441" s="507" t="s">
        <v>1379</v>
      </c>
      <c r="S441" s="508">
        <f>S407+S412+S419</f>
        <v>38</v>
      </c>
      <c r="T441" s="507" t="s">
        <v>34</v>
      </c>
    </row>
    <row r="442" spans="3:20" x14ac:dyDescent="0.25">
      <c r="D442" s="507" t="s">
        <v>1380</v>
      </c>
      <c r="O442" s="508">
        <f>S440</f>
        <v>4</v>
      </c>
      <c r="R442" s="508">
        <f>S441</f>
        <v>38</v>
      </c>
      <c r="S442" s="508">
        <f>O442*R442</f>
        <v>152</v>
      </c>
      <c r="T442" s="507" t="s">
        <v>6</v>
      </c>
    </row>
    <row r="443" spans="3:20" ht="13" x14ac:dyDescent="0.3">
      <c r="R443" s="523" t="s">
        <v>1218</v>
      </c>
      <c r="S443" s="517">
        <f>ROUNDUP(S442/10,0)*10</f>
        <v>160</v>
      </c>
      <c r="T443" s="518" t="s">
        <v>6</v>
      </c>
    </row>
    <row r="445" spans="3:20" s="507" customFormat="1" x14ac:dyDescent="0.25">
      <c r="M445" s="508"/>
      <c r="N445" s="508"/>
      <c r="O445" s="508"/>
      <c r="P445" s="508"/>
      <c r="Q445" s="508"/>
      <c r="R445" s="508"/>
      <c r="S445" s="508"/>
    </row>
    <row r="446" spans="3:20" s="507" customFormat="1" x14ac:dyDescent="0.25">
      <c r="C446" s="507" t="s">
        <v>1381</v>
      </c>
      <c r="M446" s="508"/>
      <c r="N446" s="508"/>
      <c r="O446" s="508"/>
      <c r="P446" s="508"/>
      <c r="Q446" s="508"/>
      <c r="R446" s="508"/>
      <c r="S446" s="508"/>
    </row>
    <row r="447" spans="3:20" s="507" customFormat="1" x14ac:dyDescent="0.25">
      <c r="C447" s="507" t="s">
        <v>1382</v>
      </c>
      <c r="M447" s="508"/>
      <c r="N447" s="508"/>
      <c r="O447" s="508"/>
      <c r="P447" s="508"/>
      <c r="Q447" s="508"/>
      <c r="R447" s="508"/>
      <c r="S447" s="508"/>
    </row>
    <row r="448" spans="3:20" s="507" customFormat="1" ht="13" x14ac:dyDescent="0.3">
      <c r="D448" s="507" t="s">
        <v>1383</v>
      </c>
      <c r="M448" s="508"/>
      <c r="N448" s="508"/>
      <c r="O448" s="508"/>
      <c r="P448" s="508"/>
      <c r="Q448" s="508"/>
      <c r="R448" s="508"/>
      <c r="S448" s="508">
        <v>2480</v>
      </c>
      <c r="T448" s="507" t="s">
        <v>1354</v>
      </c>
    </row>
    <row r="449" spans="3:20" s="507" customFormat="1" x14ac:dyDescent="0.25">
      <c r="D449" s="507" t="s">
        <v>1384</v>
      </c>
      <c r="M449" s="508"/>
      <c r="N449" s="508"/>
      <c r="O449" s="508"/>
      <c r="P449" s="508"/>
      <c r="Q449" s="508"/>
      <c r="R449" s="508"/>
      <c r="S449" s="508">
        <v>2.4</v>
      </c>
      <c r="T449" s="507" t="s">
        <v>1354</v>
      </c>
    </row>
    <row r="450" spans="3:20" s="507" customFormat="1" x14ac:dyDescent="0.25">
      <c r="D450" s="507" t="s">
        <v>1385</v>
      </c>
      <c r="M450" s="508"/>
      <c r="N450" s="508"/>
      <c r="O450" s="508">
        <f>S448</f>
        <v>2480</v>
      </c>
      <c r="P450" s="508">
        <f>S449</f>
        <v>2.4</v>
      </c>
      <c r="Q450" s="508"/>
      <c r="R450" s="508"/>
      <c r="S450" s="508">
        <f>O450*P450</f>
        <v>5952</v>
      </c>
      <c r="T450" s="507" t="s">
        <v>555</v>
      </c>
    </row>
    <row r="451" spans="3:20" s="507" customFormat="1" x14ac:dyDescent="0.25">
      <c r="E451" s="507" t="s">
        <v>1386</v>
      </c>
      <c r="M451" s="508"/>
      <c r="N451" s="508"/>
      <c r="O451" s="508"/>
      <c r="P451" s="508"/>
      <c r="Q451" s="508">
        <f>S450</f>
        <v>5952</v>
      </c>
      <c r="R451" s="516">
        <v>0.6</v>
      </c>
      <c r="S451" s="508">
        <f>Q451*R451</f>
        <v>3571.2</v>
      </c>
      <c r="T451" s="507" t="s">
        <v>555</v>
      </c>
    </row>
    <row r="452" spans="3:20" s="507" customFormat="1" ht="13" x14ac:dyDescent="0.3">
      <c r="M452" s="508"/>
      <c r="N452" s="508"/>
      <c r="O452" s="508"/>
      <c r="P452" s="508"/>
      <c r="Q452" s="508"/>
      <c r="R452" s="523" t="s">
        <v>1218</v>
      </c>
      <c r="S452" s="517">
        <f>ROUNDUP(S451/100,0)*100</f>
        <v>3600</v>
      </c>
      <c r="T452" s="518" t="s">
        <v>6</v>
      </c>
    </row>
    <row r="453" spans="3:20" s="507" customFormat="1" x14ac:dyDescent="0.25">
      <c r="M453" s="508"/>
      <c r="N453" s="508"/>
      <c r="O453" s="508"/>
      <c r="P453" s="508"/>
      <c r="Q453" s="508"/>
      <c r="R453" s="508"/>
      <c r="S453" s="508"/>
    </row>
    <row r="454" spans="3:20" s="507" customFormat="1" x14ac:dyDescent="0.25">
      <c r="C454" s="507" t="s">
        <v>1387</v>
      </c>
      <c r="M454" s="508"/>
      <c r="N454" s="508"/>
      <c r="O454" s="508"/>
      <c r="P454" s="508"/>
      <c r="Q454" s="508"/>
      <c r="R454" s="508"/>
      <c r="S454" s="508"/>
      <c r="T454" s="508"/>
    </row>
    <row r="455" spans="3:20" s="507" customFormat="1" x14ac:dyDescent="0.25">
      <c r="D455" s="507" t="s">
        <v>1388</v>
      </c>
      <c r="M455" s="508"/>
      <c r="N455" s="508"/>
      <c r="O455" s="508"/>
      <c r="P455" s="508"/>
      <c r="Q455" s="508"/>
      <c r="R455" s="508"/>
      <c r="S455" s="508">
        <f>S450</f>
        <v>5952</v>
      </c>
      <c r="T455" s="508" t="s">
        <v>555</v>
      </c>
    </row>
    <row r="456" spans="3:20" s="507" customFormat="1" x14ac:dyDescent="0.25">
      <c r="E456" s="507" t="s">
        <v>1386</v>
      </c>
      <c r="M456" s="508"/>
      <c r="N456" s="508"/>
      <c r="O456" s="508"/>
      <c r="P456" s="508"/>
      <c r="Q456" s="508">
        <f>S455</f>
        <v>5952</v>
      </c>
      <c r="R456" s="516">
        <v>0.4</v>
      </c>
      <c r="S456" s="508">
        <f>Q456*R456</f>
        <v>2380.8000000000002</v>
      </c>
      <c r="T456" s="507" t="s">
        <v>555</v>
      </c>
    </row>
    <row r="457" spans="3:20" s="507" customFormat="1" ht="13" x14ac:dyDescent="0.3">
      <c r="M457" s="508"/>
      <c r="N457" s="508"/>
      <c r="O457" s="508"/>
      <c r="P457" s="508"/>
      <c r="Q457" s="508"/>
      <c r="R457" s="523" t="s">
        <v>1218</v>
      </c>
      <c r="S457" s="517">
        <f>ROUNDUP(S456/100,0)*100</f>
        <v>2400</v>
      </c>
      <c r="T457" s="518" t="s">
        <v>6</v>
      </c>
    </row>
    <row r="458" spans="3:20" s="507" customFormat="1" x14ac:dyDescent="0.25">
      <c r="M458" s="508"/>
      <c r="N458" s="508"/>
      <c r="O458" s="508"/>
      <c r="P458" s="508"/>
      <c r="Q458" s="508"/>
      <c r="R458" s="508"/>
      <c r="S458" s="508"/>
    </row>
    <row r="460" spans="3:20" x14ac:dyDescent="0.25">
      <c r="C460" s="507" t="s">
        <v>1389</v>
      </c>
    </row>
    <row r="461" spans="3:20" x14ac:dyDescent="0.25">
      <c r="C461" s="507" t="s">
        <v>1390</v>
      </c>
    </row>
    <row r="462" spans="3:20" x14ac:dyDescent="0.25">
      <c r="D462" s="507" t="s">
        <v>1391</v>
      </c>
    </row>
    <row r="463" spans="3:20" ht="13" x14ac:dyDescent="0.3">
      <c r="E463" s="507" t="s">
        <v>1392</v>
      </c>
    </row>
    <row r="464" spans="3:20" x14ac:dyDescent="0.25">
      <c r="E464" s="507" t="s">
        <v>1393</v>
      </c>
      <c r="O464" s="508">
        <v>1520</v>
      </c>
      <c r="P464" s="508">
        <v>0.75</v>
      </c>
      <c r="Q464" s="533">
        <v>0.1</v>
      </c>
      <c r="S464" s="508">
        <f>O464*P464*Q464</f>
        <v>114</v>
      </c>
      <c r="T464" s="507" t="s">
        <v>799</v>
      </c>
    </row>
    <row r="465" spans="3:21" x14ac:dyDescent="0.25">
      <c r="E465" s="507" t="s">
        <v>1394</v>
      </c>
      <c r="O465" s="526">
        <v>960</v>
      </c>
      <c r="P465" s="508">
        <v>1.5</v>
      </c>
      <c r="Q465" s="533">
        <v>0.1</v>
      </c>
      <c r="S465" s="526">
        <f>O465*P465*Q465</f>
        <v>144</v>
      </c>
      <c r="T465" s="528" t="s">
        <v>799</v>
      </c>
    </row>
    <row r="466" spans="3:21" x14ac:dyDescent="0.25">
      <c r="O466" s="508">
        <f>SUM(O464:O465)</f>
        <v>2480</v>
      </c>
      <c r="P466" s="508" t="s">
        <v>1354</v>
      </c>
      <c r="S466" s="508">
        <f>SUM(S464:S465)</f>
        <v>258</v>
      </c>
      <c r="T466" s="507" t="s">
        <v>799</v>
      </c>
    </row>
    <row r="467" spans="3:21" ht="13" x14ac:dyDescent="0.3">
      <c r="R467" s="523" t="s">
        <v>1218</v>
      </c>
      <c r="S467" s="517">
        <f>ROUNDUP(S466/10,0)*10</f>
        <v>260</v>
      </c>
      <c r="T467" s="518" t="s">
        <v>799</v>
      </c>
    </row>
    <row r="469" spans="3:21" x14ac:dyDescent="0.25">
      <c r="D469" s="507" t="s">
        <v>1395</v>
      </c>
    </row>
    <row r="470" spans="3:21" ht="13" x14ac:dyDescent="0.3">
      <c r="E470" s="507" t="s">
        <v>1392</v>
      </c>
    </row>
    <row r="471" spans="3:21" x14ac:dyDescent="0.25">
      <c r="E471" s="507" t="s">
        <v>1396</v>
      </c>
      <c r="O471" s="508">
        <v>1840</v>
      </c>
      <c r="P471" s="508">
        <v>1.5</v>
      </c>
      <c r="Q471" s="508">
        <v>0.1</v>
      </c>
      <c r="S471" s="508">
        <f>O471*P471*Q471</f>
        <v>276</v>
      </c>
      <c r="T471" s="507" t="s">
        <v>799</v>
      </c>
    </row>
    <row r="472" spans="3:21" ht="13" x14ac:dyDescent="0.3">
      <c r="R472" s="523" t="s">
        <v>1218</v>
      </c>
      <c r="S472" s="517">
        <f>ROUNDUP(S471/10,0)*10</f>
        <v>280</v>
      </c>
      <c r="T472" s="518" t="s">
        <v>799</v>
      </c>
    </row>
    <row r="473" spans="3:21" x14ac:dyDescent="0.25">
      <c r="T473" s="508"/>
      <c r="U473" s="508"/>
    </row>
    <row r="474" spans="3:21" x14ac:dyDescent="0.25">
      <c r="T474" s="508"/>
      <c r="U474" s="508"/>
    </row>
    <row r="475" spans="3:21" x14ac:dyDescent="0.25">
      <c r="C475" s="507" t="s">
        <v>1389</v>
      </c>
      <c r="T475" s="508"/>
      <c r="U475" s="508"/>
    </row>
    <row r="476" spans="3:21" x14ac:dyDescent="0.25">
      <c r="C476" s="507" t="s">
        <v>1397</v>
      </c>
    </row>
    <row r="477" spans="3:21" x14ac:dyDescent="0.25">
      <c r="D477" s="507" t="s">
        <v>1398</v>
      </c>
      <c r="T477" s="508"/>
    </row>
    <row r="478" spans="3:21" ht="13" x14ac:dyDescent="0.3">
      <c r="E478" s="507" t="s">
        <v>1392</v>
      </c>
    </row>
    <row r="479" spans="3:21" x14ac:dyDescent="0.25">
      <c r="E479" s="507" t="s">
        <v>1393</v>
      </c>
      <c r="O479" s="508">
        <f>$O$464</f>
        <v>1520</v>
      </c>
      <c r="P479" s="508">
        <v>0.75</v>
      </c>
      <c r="Q479" s="533"/>
      <c r="S479" s="508">
        <f>O479*P479</f>
        <v>1140</v>
      </c>
      <c r="T479" s="507" t="s">
        <v>555</v>
      </c>
    </row>
    <row r="480" spans="3:21" x14ac:dyDescent="0.25">
      <c r="E480" s="507" t="s">
        <v>1394</v>
      </c>
      <c r="O480" s="526">
        <f>$O$465</f>
        <v>960</v>
      </c>
      <c r="P480" s="508">
        <v>1.5</v>
      </c>
      <c r="Q480" s="533"/>
      <c r="S480" s="526">
        <f>O480*P480</f>
        <v>1440</v>
      </c>
      <c r="T480" s="528" t="s">
        <v>555</v>
      </c>
    </row>
    <row r="481" spans="3:20" x14ac:dyDescent="0.25">
      <c r="O481" s="508">
        <f>SUM(O479:O480)</f>
        <v>2480</v>
      </c>
      <c r="P481" s="508" t="s">
        <v>1354</v>
      </c>
      <c r="S481" s="508">
        <f>SUM(S479:S480)</f>
        <v>2580</v>
      </c>
      <c r="T481" s="507" t="s">
        <v>555</v>
      </c>
    </row>
    <row r="482" spans="3:20" ht="13" x14ac:dyDescent="0.3">
      <c r="R482" s="523" t="s">
        <v>1218</v>
      </c>
      <c r="S482" s="517">
        <f>ROUNDUP(S481/100,0)*100</f>
        <v>2600</v>
      </c>
      <c r="T482" s="518" t="s">
        <v>555</v>
      </c>
    </row>
    <row r="483" spans="3:20" x14ac:dyDescent="0.25">
      <c r="T483" s="508"/>
    </row>
    <row r="484" spans="3:20" x14ac:dyDescent="0.25">
      <c r="D484" s="507" t="s">
        <v>1399</v>
      </c>
      <c r="T484" s="508"/>
    </row>
    <row r="485" spans="3:20" ht="13" x14ac:dyDescent="0.3">
      <c r="E485" s="507" t="s">
        <v>1392</v>
      </c>
    </row>
    <row r="486" spans="3:20" x14ac:dyDescent="0.25">
      <c r="E486" s="507" t="s">
        <v>1396</v>
      </c>
      <c r="O486" s="508">
        <f>$O$471</f>
        <v>1840</v>
      </c>
      <c r="P486" s="508">
        <v>1.5</v>
      </c>
      <c r="S486" s="508">
        <f>O486*P486</f>
        <v>2760</v>
      </c>
      <c r="T486" s="507" t="s">
        <v>555</v>
      </c>
    </row>
    <row r="487" spans="3:20" ht="13" x14ac:dyDescent="0.3">
      <c r="R487" s="523" t="s">
        <v>1218</v>
      </c>
      <c r="S487" s="517">
        <f>ROUNDUP(S486/100,0)*100</f>
        <v>2800</v>
      </c>
      <c r="T487" s="518" t="s">
        <v>555</v>
      </c>
    </row>
    <row r="488" spans="3:20" x14ac:dyDescent="0.25">
      <c r="T488" s="508"/>
    </row>
    <row r="489" spans="3:20" x14ac:dyDescent="0.25">
      <c r="T489" s="508"/>
    </row>
    <row r="490" spans="3:20" x14ac:dyDescent="0.25">
      <c r="T490" s="508"/>
    </row>
    <row r="492" spans="3:20" x14ac:dyDescent="0.25">
      <c r="T492" s="508"/>
    </row>
    <row r="493" spans="3:20" x14ac:dyDescent="0.25">
      <c r="C493" s="507" t="s">
        <v>1400</v>
      </c>
      <c r="T493" s="508"/>
    </row>
    <row r="494" spans="3:20" x14ac:dyDescent="0.25">
      <c r="C494" s="507" t="s">
        <v>1401</v>
      </c>
      <c r="T494" s="508"/>
    </row>
    <row r="495" spans="3:20" ht="13" x14ac:dyDescent="0.3">
      <c r="E495" s="507" t="s">
        <v>1392</v>
      </c>
    </row>
    <row r="496" spans="3:20" x14ac:dyDescent="0.25">
      <c r="E496" s="507" t="s">
        <v>1393</v>
      </c>
      <c r="O496" s="508">
        <f>$O$464</f>
        <v>1520</v>
      </c>
      <c r="Q496" s="533">
        <v>0.1</v>
      </c>
      <c r="R496" s="508">
        <v>2</v>
      </c>
      <c r="S496" s="508">
        <f>O496*Q496*R496</f>
        <v>304</v>
      </c>
      <c r="T496" s="507" t="s">
        <v>555</v>
      </c>
    </row>
    <row r="497" spans="3:22" x14ac:dyDescent="0.25">
      <c r="E497" s="507" t="s">
        <v>1394</v>
      </c>
      <c r="O497" s="526">
        <f>$O$465</f>
        <v>960</v>
      </c>
      <c r="Q497" s="533">
        <v>0.1</v>
      </c>
      <c r="R497" s="508">
        <v>2</v>
      </c>
      <c r="S497" s="526">
        <f>O497*Q497*R497</f>
        <v>192</v>
      </c>
      <c r="T497" s="528" t="s">
        <v>555</v>
      </c>
    </row>
    <row r="498" spans="3:22" x14ac:dyDescent="0.25">
      <c r="O498" s="508">
        <f>SUM(O496:O497)</f>
        <v>2480</v>
      </c>
      <c r="P498" s="508" t="s">
        <v>1354</v>
      </c>
      <c r="S498" s="508">
        <f>SUM(S496:S497)</f>
        <v>496</v>
      </c>
      <c r="T498" s="507" t="s">
        <v>555</v>
      </c>
    </row>
    <row r="499" spans="3:22" x14ac:dyDescent="0.25">
      <c r="E499" s="507" t="s">
        <v>1396</v>
      </c>
      <c r="O499" s="508">
        <f>$O$471</f>
        <v>1840</v>
      </c>
      <c r="Q499" s="533">
        <v>0.1</v>
      </c>
      <c r="R499" s="508">
        <v>2</v>
      </c>
      <c r="S499" s="526">
        <f>O499*Q499*R499</f>
        <v>368</v>
      </c>
      <c r="T499" s="528" t="s">
        <v>555</v>
      </c>
      <c r="U499" s="508"/>
      <c r="V499" s="508"/>
    </row>
    <row r="500" spans="3:22" x14ac:dyDescent="0.25">
      <c r="S500" s="508">
        <f>SUM(S498:S499)</f>
        <v>864</v>
      </c>
      <c r="T500" s="508" t="s">
        <v>555</v>
      </c>
    </row>
    <row r="501" spans="3:22" ht="13" x14ac:dyDescent="0.3">
      <c r="R501" s="523" t="s">
        <v>1218</v>
      </c>
      <c r="S501" s="517">
        <f>ROUNDUP(S500/100,0)*100</f>
        <v>900</v>
      </c>
      <c r="T501" s="518" t="s">
        <v>555</v>
      </c>
    </row>
    <row r="504" spans="3:22" x14ac:dyDescent="0.25">
      <c r="C504" s="507" t="s">
        <v>1402</v>
      </c>
      <c r="M504" s="507"/>
      <c r="N504" s="507"/>
      <c r="O504" s="507"/>
      <c r="P504" s="507"/>
      <c r="Q504" s="507"/>
      <c r="R504" s="507"/>
      <c r="S504" s="507"/>
    </row>
    <row r="505" spans="3:22" ht="13" x14ac:dyDescent="0.3">
      <c r="E505" s="507" t="s">
        <v>1392</v>
      </c>
    </row>
    <row r="506" spans="3:22" x14ac:dyDescent="0.25">
      <c r="E506" s="507" t="s">
        <v>1393</v>
      </c>
      <c r="L506" s="507" t="s">
        <v>1403</v>
      </c>
      <c r="N506" s="508">
        <v>4</v>
      </c>
      <c r="O506" s="508">
        <f>$O$464</f>
        <v>1520</v>
      </c>
      <c r="P506" s="508">
        <v>0.75</v>
      </c>
      <c r="Q506" s="533">
        <v>0.1</v>
      </c>
      <c r="S506" s="508">
        <f>O506/N506*P506*Q506</f>
        <v>28.5</v>
      </c>
      <c r="T506" s="507" t="s">
        <v>555</v>
      </c>
    </row>
    <row r="507" spans="3:22" x14ac:dyDescent="0.25">
      <c r="E507" s="507" t="s">
        <v>1394</v>
      </c>
      <c r="L507" s="507" t="s">
        <v>1403</v>
      </c>
      <c r="N507" s="508">
        <v>4</v>
      </c>
      <c r="O507" s="526">
        <f>$O$465</f>
        <v>960</v>
      </c>
      <c r="P507" s="508">
        <v>1.5</v>
      </c>
      <c r="Q507" s="533">
        <v>0.1</v>
      </c>
      <c r="S507" s="526">
        <f>O507/N507*P507*Q507</f>
        <v>36</v>
      </c>
      <c r="T507" s="528" t="s">
        <v>555</v>
      </c>
    </row>
    <row r="508" spans="3:22" x14ac:dyDescent="0.25">
      <c r="O508" s="508">
        <f>SUM(O506:O507)</f>
        <v>2480</v>
      </c>
      <c r="P508" s="508" t="s">
        <v>1354</v>
      </c>
      <c r="S508" s="508">
        <f>SUM(S506:S507)</f>
        <v>64.5</v>
      </c>
      <c r="T508" s="507" t="s">
        <v>555</v>
      </c>
    </row>
    <row r="509" spans="3:22" x14ac:dyDescent="0.25">
      <c r="E509" s="507" t="s">
        <v>1396</v>
      </c>
      <c r="L509" s="507" t="s">
        <v>1403</v>
      </c>
      <c r="N509" s="508">
        <v>4</v>
      </c>
      <c r="O509" s="508">
        <f>$O$471</f>
        <v>1840</v>
      </c>
      <c r="P509" s="508">
        <v>1.5</v>
      </c>
      <c r="Q509" s="533">
        <v>0.1</v>
      </c>
      <c r="S509" s="526">
        <f>O509/N509*P509*Q509</f>
        <v>69</v>
      </c>
      <c r="T509" s="528" t="s">
        <v>555</v>
      </c>
      <c r="U509" s="508"/>
      <c r="V509" s="508"/>
    </row>
    <row r="510" spans="3:22" x14ac:dyDescent="0.25">
      <c r="S510" s="534">
        <f>SUM(S508:S509)</f>
        <v>133.5</v>
      </c>
      <c r="T510" s="508" t="s">
        <v>555</v>
      </c>
    </row>
    <row r="511" spans="3:22" ht="13" x14ac:dyDescent="0.3">
      <c r="R511" s="523" t="s">
        <v>1218</v>
      </c>
      <c r="S511" s="517">
        <f>ROUNDUP(S510/100,0)*100</f>
        <v>200</v>
      </c>
      <c r="T511" s="518" t="s">
        <v>555</v>
      </c>
    </row>
    <row r="512" spans="3:22" x14ac:dyDescent="0.25">
      <c r="M512" s="507"/>
      <c r="N512" s="507"/>
      <c r="O512" s="507"/>
      <c r="P512" s="507"/>
      <c r="Q512" s="507"/>
      <c r="R512" s="507"/>
      <c r="S512" s="507"/>
    </row>
    <row r="513" spans="3:22" x14ac:dyDescent="0.25">
      <c r="M513" s="507"/>
      <c r="N513" s="507"/>
      <c r="O513" s="507"/>
      <c r="P513" s="507"/>
      <c r="Q513" s="507"/>
      <c r="R513" s="507"/>
      <c r="S513" s="507"/>
    </row>
    <row r="514" spans="3:22" x14ac:dyDescent="0.25">
      <c r="M514" s="507"/>
      <c r="N514" s="507"/>
      <c r="O514" s="507"/>
      <c r="P514" s="507"/>
      <c r="Q514" s="507"/>
      <c r="R514" s="507"/>
      <c r="S514" s="507"/>
    </row>
    <row r="516" spans="3:22" x14ac:dyDescent="0.25">
      <c r="C516" s="507" t="s">
        <v>1404</v>
      </c>
    </row>
    <row r="517" spans="3:22" x14ac:dyDescent="0.25">
      <c r="C517" s="507" t="s">
        <v>1405</v>
      </c>
      <c r="T517" s="508"/>
    </row>
    <row r="518" spans="3:22" ht="13" x14ac:dyDescent="0.3">
      <c r="E518" s="507" t="s">
        <v>1392</v>
      </c>
    </row>
    <row r="519" spans="3:22" x14ac:dyDescent="0.25">
      <c r="E519" s="507" t="s">
        <v>1393</v>
      </c>
      <c r="L519" s="507" t="s">
        <v>1403</v>
      </c>
      <c r="N519" s="508">
        <v>4</v>
      </c>
      <c r="O519" s="508">
        <f>$O$464</f>
        <v>1520</v>
      </c>
      <c r="P519" s="508">
        <v>0.75</v>
      </c>
      <c r="Q519" s="533"/>
      <c r="S519" s="508">
        <f>O519/N519*P519</f>
        <v>285</v>
      </c>
      <c r="T519" s="507" t="s">
        <v>6</v>
      </c>
    </row>
    <row r="520" spans="3:22" x14ac:dyDescent="0.25">
      <c r="E520" s="507" t="s">
        <v>1394</v>
      </c>
      <c r="L520" s="507" t="s">
        <v>1403</v>
      </c>
      <c r="N520" s="508">
        <v>4</v>
      </c>
      <c r="O520" s="526">
        <f>$O$465</f>
        <v>960</v>
      </c>
      <c r="P520" s="508">
        <v>1.5</v>
      </c>
      <c r="Q520" s="533"/>
      <c r="S520" s="526">
        <f>O520/N520*P520</f>
        <v>360</v>
      </c>
      <c r="T520" s="528" t="s">
        <v>6</v>
      </c>
    </row>
    <row r="521" spans="3:22" x14ac:dyDescent="0.25">
      <c r="O521" s="508">
        <f>SUM(O519:O520)</f>
        <v>2480</v>
      </c>
      <c r="P521" s="508" t="s">
        <v>1354</v>
      </c>
      <c r="S521" s="508">
        <f>SUM(S519:S520)</f>
        <v>645</v>
      </c>
      <c r="T521" s="507" t="s">
        <v>6</v>
      </c>
    </row>
    <row r="522" spans="3:22" x14ac:dyDescent="0.25">
      <c r="E522" s="507" t="s">
        <v>1396</v>
      </c>
      <c r="L522" s="507" t="s">
        <v>1403</v>
      </c>
      <c r="N522" s="508">
        <v>4</v>
      </c>
      <c r="O522" s="508">
        <f>$O$471</f>
        <v>1840</v>
      </c>
      <c r="P522" s="508">
        <v>1.5</v>
      </c>
      <c r="Q522" s="533"/>
      <c r="S522" s="526">
        <f>O522/N522*P522</f>
        <v>690</v>
      </c>
      <c r="T522" s="528" t="s">
        <v>6</v>
      </c>
      <c r="U522" s="508"/>
      <c r="V522" s="508"/>
    </row>
    <row r="523" spans="3:22" x14ac:dyDescent="0.25">
      <c r="S523" s="534">
        <f>SUM(S521:S522)</f>
        <v>1335</v>
      </c>
      <c r="T523" s="508" t="s">
        <v>6</v>
      </c>
    </row>
    <row r="524" spans="3:22" ht="13" x14ac:dyDescent="0.3">
      <c r="R524" s="523" t="s">
        <v>1218</v>
      </c>
      <c r="S524" s="517">
        <f>ROUNDUP(S523/100,0)*100</f>
        <v>1400</v>
      </c>
      <c r="T524" s="518" t="s">
        <v>6</v>
      </c>
    </row>
    <row r="525" spans="3:22" x14ac:dyDescent="0.25">
      <c r="T525" s="508"/>
    </row>
    <row r="526" spans="3:22" x14ac:dyDescent="0.25">
      <c r="C526" s="507" t="s">
        <v>1406</v>
      </c>
    </row>
    <row r="527" spans="3:22" ht="13" x14ac:dyDescent="0.3">
      <c r="E527" s="507" t="s">
        <v>1392</v>
      </c>
    </row>
    <row r="528" spans="3:22" x14ac:dyDescent="0.25">
      <c r="E528" s="507" t="s">
        <v>1393</v>
      </c>
      <c r="L528" s="507" t="s">
        <v>1407</v>
      </c>
      <c r="N528" s="508">
        <v>12</v>
      </c>
      <c r="O528" s="508">
        <f>$O$464</f>
        <v>1520</v>
      </c>
      <c r="P528" s="508">
        <v>0.75</v>
      </c>
      <c r="Q528" s="533"/>
      <c r="S528" s="508">
        <f>O528/N528*P528</f>
        <v>95</v>
      </c>
      <c r="T528" s="507" t="s">
        <v>6</v>
      </c>
    </row>
    <row r="529" spans="3:22" x14ac:dyDescent="0.25">
      <c r="E529" s="507" t="s">
        <v>1394</v>
      </c>
      <c r="L529" s="507" t="s">
        <v>1407</v>
      </c>
      <c r="N529" s="508">
        <v>12</v>
      </c>
      <c r="O529" s="526">
        <f>$O$465</f>
        <v>960</v>
      </c>
      <c r="P529" s="508">
        <v>1.5</v>
      </c>
      <c r="Q529" s="533"/>
      <c r="S529" s="526">
        <f>O529/N529*P529</f>
        <v>120</v>
      </c>
      <c r="T529" s="528" t="s">
        <v>6</v>
      </c>
    </row>
    <row r="530" spans="3:22" x14ac:dyDescent="0.25">
      <c r="O530" s="508">
        <f>SUM(O528:O529)</f>
        <v>2480</v>
      </c>
      <c r="P530" s="508" t="s">
        <v>1354</v>
      </c>
      <c r="S530" s="508">
        <f>SUM(S528:S529)</f>
        <v>215</v>
      </c>
      <c r="T530" s="507" t="s">
        <v>6</v>
      </c>
    </row>
    <row r="531" spans="3:22" x14ac:dyDescent="0.25">
      <c r="E531" s="507" t="s">
        <v>1396</v>
      </c>
      <c r="L531" s="507" t="s">
        <v>1407</v>
      </c>
      <c r="N531" s="508">
        <v>12</v>
      </c>
      <c r="O531" s="508">
        <f>$O$471</f>
        <v>1840</v>
      </c>
      <c r="P531" s="508">
        <v>1.5</v>
      </c>
      <c r="Q531" s="533"/>
      <c r="S531" s="526">
        <f>O531/N531*P531</f>
        <v>230</v>
      </c>
      <c r="T531" s="528" t="s">
        <v>6</v>
      </c>
      <c r="U531" s="508"/>
      <c r="V531" s="508"/>
    </row>
    <row r="532" spans="3:22" x14ac:dyDescent="0.25">
      <c r="S532" s="534">
        <f>SUM(S530:S531)</f>
        <v>445</v>
      </c>
      <c r="T532" s="508" t="s">
        <v>6</v>
      </c>
    </row>
    <row r="533" spans="3:22" ht="13" x14ac:dyDescent="0.3">
      <c r="R533" s="523" t="s">
        <v>1218</v>
      </c>
      <c r="S533" s="517">
        <f>ROUNDUP(S532/100,0)*100</f>
        <v>500</v>
      </c>
      <c r="T533" s="518" t="s">
        <v>6</v>
      </c>
    </row>
    <row r="536" spans="3:22" x14ac:dyDescent="0.25">
      <c r="C536" s="507" t="s">
        <v>1408</v>
      </c>
    </row>
    <row r="537" spans="3:22" x14ac:dyDescent="0.25">
      <c r="E537" s="507" t="s">
        <v>1409</v>
      </c>
    </row>
    <row r="538" spans="3:22" ht="13" x14ac:dyDescent="0.3">
      <c r="E538" s="507" t="s">
        <v>1410</v>
      </c>
      <c r="S538" s="508">
        <f>S481</f>
        <v>2580</v>
      </c>
      <c r="T538" s="507" t="s">
        <v>555</v>
      </c>
    </row>
    <row r="539" spans="3:22" ht="13" x14ac:dyDescent="0.3">
      <c r="E539" s="507" t="s">
        <v>1411</v>
      </c>
      <c r="S539" s="526">
        <f>S486</f>
        <v>2760</v>
      </c>
      <c r="T539" s="528" t="s">
        <v>555</v>
      </c>
    </row>
    <row r="540" spans="3:22" x14ac:dyDescent="0.25">
      <c r="E540" s="507" t="s">
        <v>1412</v>
      </c>
      <c r="S540" s="508">
        <f>SUM(S538:S539)</f>
        <v>5340</v>
      </c>
      <c r="T540" s="507" t="s">
        <v>555</v>
      </c>
    </row>
    <row r="541" spans="3:22" x14ac:dyDescent="0.25">
      <c r="E541" s="507" t="s">
        <v>1413</v>
      </c>
      <c r="P541" s="508">
        <f>S540</f>
        <v>5340</v>
      </c>
      <c r="Q541" s="508">
        <v>1.93</v>
      </c>
      <c r="S541" s="508">
        <f>P541*Q541</f>
        <v>10306.199999999999</v>
      </c>
      <c r="T541" s="507" t="s">
        <v>24</v>
      </c>
    </row>
    <row r="542" spans="3:22" ht="13" x14ac:dyDescent="0.3">
      <c r="R542" s="523" t="s">
        <v>1218</v>
      </c>
      <c r="S542" s="517">
        <f>ROUNDUP(S541/100,0)*100</f>
        <v>10400</v>
      </c>
      <c r="T542" s="518" t="s">
        <v>24</v>
      </c>
    </row>
    <row r="548" spans="1:20" x14ac:dyDescent="0.25">
      <c r="C548" s="507" t="s">
        <v>1414</v>
      </c>
    </row>
    <row r="549" spans="1:20" x14ac:dyDescent="0.25">
      <c r="E549" s="507" t="s">
        <v>1415</v>
      </c>
      <c r="S549" s="508">
        <f>S540</f>
        <v>5340</v>
      </c>
      <c r="T549" s="507" t="s">
        <v>555</v>
      </c>
    </row>
    <row r="550" spans="1:20" ht="13" x14ac:dyDescent="0.3">
      <c r="R550" s="523" t="s">
        <v>1218</v>
      </c>
      <c r="S550" s="517">
        <f>ROUNDUP(S549/100,0)*100</f>
        <v>5400</v>
      </c>
      <c r="T550" s="518" t="s">
        <v>555</v>
      </c>
    </row>
    <row r="557" spans="1:20" ht="13" x14ac:dyDescent="0.3">
      <c r="A557" s="506" t="s">
        <v>1416</v>
      </c>
      <c r="B557" s="506" t="str">
        <f>C557</f>
        <v>2400: Asphalt and concrete berms</v>
      </c>
      <c r="C557" s="515" t="s">
        <v>1416</v>
      </c>
    </row>
    <row r="560" spans="1:20" ht="13" x14ac:dyDescent="0.3">
      <c r="A560" s="506" t="s">
        <v>1417</v>
      </c>
      <c r="B560" s="506" t="str">
        <f>C560</f>
        <v>3100: Borrow materials</v>
      </c>
      <c r="C560" s="515" t="s">
        <v>1417</v>
      </c>
    </row>
    <row r="563" spans="1:20" ht="13" x14ac:dyDescent="0.3">
      <c r="A563" s="506" t="s">
        <v>1418</v>
      </c>
      <c r="B563" s="506" t="str">
        <f>C563</f>
        <v>3200: Selection, stockpiling and breaking-down the material from borrow pits and cuttings,
and existing pavement layers, and placing and compacting the gravel layers</v>
      </c>
      <c r="C563" s="515" t="s">
        <v>1418</v>
      </c>
    </row>
    <row r="566" spans="1:20" x14ac:dyDescent="0.25">
      <c r="C566" s="507" t="s">
        <v>1419</v>
      </c>
    </row>
    <row r="567" spans="1:20" x14ac:dyDescent="0.25">
      <c r="C567" s="507" t="s">
        <v>1420</v>
      </c>
    </row>
    <row r="568" spans="1:20" x14ac:dyDescent="0.25">
      <c r="D568" s="507" t="s">
        <v>1421</v>
      </c>
    </row>
    <row r="569" spans="1:20" ht="13" x14ac:dyDescent="0.3">
      <c r="E569" s="507" t="s">
        <v>1422</v>
      </c>
      <c r="S569" s="508">
        <v>18468</v>
      </c>
      <c r="T569" s="507" t="s">
        <v>799</v>
      </c>
    </row>
    <row r="570" spans="1:20" x14ac:dyDescent="0.25">
      <c r="E570" s="507" t="s">
        <v>1423</v>
      </c>
    </row>
    <row r="571" spans="1:20" x14ac:dyDescent="0.25">
      <c r="F571" s="507" t="s">
        <v>1424</v>
      </c>
      <c r="S571" s="508">
        <v>5918</v>
      </c>
      <c r="T571" s="507" t="s">
        <v>799</v>
      </c>
    </row>
    <row r="572" spans="1:20" x14ac:dyDescent="0.25">
      <c r="F572" s="507" t="s">
        <v>1425</v>
      </c>
      <c r="O572" s="508">
        <v>2400</v>
      </c>
      <c r="P572" s="508">
        <v>10.5</v>
      </c>
      <c r="Q572" s="508">
        <v>0.15</v>
      </c>
      <c r="S572" s="508">
        <f>ROUND(O572*P572*Q572,0)</f>
        <v>3780</v>
      </c>
      <c r="T572" s="507" t="s">
        <v>799</v>
      </c>
    </row>
    <row r="573" spans="1:20" x14ac:dyDescent="0.25">
      <c r="F573" s="507" t="s">
        <v>1426</v>
      </c>
      <c r="O573" s="508">
        <v>2400</v>
      </c>
      <c r="P573" s="508">
        <v>1</v>
      </c>
      <c r="Q573" s="508">
        <v>0.6</v>
      </c>
      <c r="R573" s="526">
        <v>2</v>
      </c>
      <c r="S573" s="526">
        <f>ROUND(O573*P573*Q573*R573,0)</f>
        <v>2880</v>
      </c>
      <c r="T573" s="528" t="s">
        <v>799</v>
      </c>
    </row>
    <row r="574" spans="1:20" x14ac:dyDescent="0.25">
      <c r="S574" s="508">
        <f>SUM(S571:S573)</f>
        <v>12578</v>
      </c>
      <c r="T574" s="507" t="s">
        <v>799</v>
      </c>
    </row>
    <row r="575" spans="1:20" ht="13" x14ac:dyDescent="0.3">
      <c r="F575" s="507" t="s">
        <v>1427</v>
      </c>
      <c r="R575" s="523" t="s">
        <v>1218</v>
      </c>
      <c r="S575" s="517">
        <f>ROUNDUP(S574/500,0)*500</f>
        <v>13000</v>
      </c>
      <c r="T575" s="518" t="s">
        <v>799</v>
      </c>
    </row>
    <row r="576" spans="1:20" ht="13" x14ac:dyDescent="0.3">
      <c r="F576" s="519" t="s">
        <v>1428</v>
      </c>
    </row>
    <row r="578" spans="3:20" x14ac:dyDescent="0.25">
      <c r="C578" s="507" t="s">
        <v>1419</v>
      </c>
    </row>
    <row r="579" spans="3:20" x14ac:dyDescent="0.25">
      <c r="C579" s="507" t="s">
        <v>1420</v>
      </c>
    </row>
    <row r="580" spans="3:20" x14ac:dyDescent="0.25">
      <c r="D580" s="507" t="s">
        <v>1429</v>
      </c>
    </row>
    <row r="581" spans="3:20" ht="13" x14ac:dyDescent="0.3">
      <c r="E581" s="507" t="s">
        <v>1430</v>
      </c>
    </row>
    <row r="582" spans="3:20" ht="13" x14ac:dyDescent="0.3">
      <c r="E582" s="507" t="s">
        <v>1431</v>
      </c>
      <c r="S582" s="508">
        <v>40709</v>
      </c>
      <c r="T582" s="507" t="s">
        <v>799</v>
      </c>
    </row>
    <row r="583" spans="3:20" x14ac:dyDescent="0.25">
      <c r="E583" s="507" t="s">
        <v>1432</v>
      </c>
    </row>
    <row r="584" spans="3:20" x14ac:dyDescent="0.25">
      <c r="F584" s="507" t="s">
        <v>1433</v>
      </c>
      <c r="O584" s="508">
        <v>2400</v>
      </c>
      <c r="P584" s="508">
        <v>10.15</v>
      </c>
      <c r="Q584" s="508">
        <v>0.15</v>
      </c>
      <c r="S584" s="508">
        <f>ROUND(O584*P584*Q584,0)</f>
        <v>3654</v>
      </c>
      <c r="T584" s="507" t="s">
        <v>799</v>
      </c>
    </row>
    <row r="585" spans="3:20" x14ac:dyDescent="0.25">
      <c r="F585" s="507" t="s">
        <v>1434</v>
      </c>
      <c r="O585" s="508">
        <v>1840</v>
      </c>
      <c r="P585" s="508">
        <v>1.3</v>
      </c>
      <c r="Q585" s="508">
        <v>0.15</v>
      </c>
      <c r="R585" s="526">
        <v>1</v>
      </c>
      <c r="S585" s="526">
        <f>ROUND(O585*P585*Q585*R585,0)</f>
        <v>359</v>
      </c>
      <c r="T585" s="528" t="s">
        <v>799</v>
      </c>
    </row>
    <row r="586" spans="3:20" x14ac:dyDescent="0.25">
      <c r="S586" s="508">
        <f>SUM(S584:S585)</f>
        <v>4013</v>
      </c>
      <c r="T586" s="507" t="s">
        <v>799</v>
      </c>
    </row>
    <row r="587" spans="3:20" ht="13" x14ac:dyDescent="0.3">
      <c r="F587" s="507" t="s">
        <v>1435</v>
      </c>
      <c r="R587" s="523" t="s">
        <v>1218</v>
      </c>
      <c r="S587" s="517">
        <f>ROUNDUP(S586/500,0)*500</f>
        <v>4500</v>
      </c>
      <c r="T587" s="518" t="s">
        <v>799</v>
      </c>
    </row>
    <row r="590" spans="3:20" x14ac:dyDescent="0.25">
      <c r="C590" s="507" t="s">
        <v>1419</v>
      </c>
    </row>
    <row r="591" spans="3:20" x14ac:dyDescent="0.25">
      <c r="C591" s="507" t="s">
        <v>1436</v>
      </c>
    </row>
    <row r="592" spans="3:20" x14ac:dyDescent="0.25">
      <c r="D592" s="507" t="s">
        <v>1437</v>
      </c>
    </row>
    <row r="593" spans="1:20" ht="13" x14ac:dyDescent="0.3">
      <c r="E593" s="507" t="s">
        <v>1430</v>
      </c>
    </row>
    <row r="594" spans="1:20" ht="13" x14ac:dyDescent="0.3">
      <c r="E594" s="507" t="s">
        <v>1431</v>
      </c>
      <c r="S594" s="508">
        <v>40709</v>
      </c>
      <c r="T594" s="507" t="s">
        <v>799</v>
      </c>
    </row>
    <row r="595" spans="1:20" x14ac:dyDescent="0.25">
      <c r="E595" s="507" t="s">
        <v>1438</v>
      </c>
    </row>
    <row r="596" spans="1:20" x14ac:dyDescent="0.25">
      <c r="F596" s="507" t="s">
        <v>1439</v>
      </c>
      <c r="O596" s="508">
        <v>2400</v>
      </c>
      <c r="P596" s="508">
        <v>9</v>
      </c>
      <c r="Q596" s="508">
        <v>0.15</v>
      </c>
      <c r="S596" s="508">
        <f>ROUND(O596*P596*Q596,0)</f>
        <v>3240</v>
      </c>
      <c r="T596" s="507" t="s">
        <v>799</v>
      </c>
    </row>
    <row r="597" spans="1:20" x14ac:dyDescent="0.25">
      <c r="F597" s="507" t="s">
        <v>1440</v>
      </c>
      <c r="O597" s="508">
        <v>2400</v>
      </c>
      <c r="P597" s="508">
        <v>9.5</v>
      </c>
      <c r="Q597" s="508">
        <v>0.15</v>
      </c>
      <c r="R597" s="526"/>
      <c r="S597" s="526">
        <f>ROUND(O597*P597*Q597,0)</f>
        <v>3420</v>
      </c>
      <c r="T597" s="528" t="s">
        <v>799</v>
      </c>
    </row>
    <row r="598" spans="1:20" x14ac:dyDescent="0.25">
      <c r="S598" s="508">
        <f>SUM(S596:S597)</f>
        <v>6660</v>
      </c>
      <c r="T598" s="507" t="s">
        <v>799</v>
      </c>
    </row>
    <row r="599" spans="1:20" ht="13" x14ac:dyDescent="0.3">
      <c r="F599" s="507" t="s">
        <v>1441</v>
      </c>
      <c r="R599" s="523"/>
      <c r="S599" s="517"/>
      <c r="T599" s="518"/>
    </row>
    <row r="600" spans="1:20" x14ac:dyDescent="0.25">
      <c r="F600" s="507" t="s">
        <v>1442</v>
      </c>
      <c r="Q600" s="531">
        <v>0.5</v>
      </c>
      <c r="R600" s="508">
        <f>S598</f>
        <v>6660</v>
      </c>
      <c r="S600" s="508">
        <f>Q600*R600</f>
        <v>3330</v>
      </c>
      <c r="T600" s="507" t="s">
        <v>799</v>
      </c>
    </row>
    <row r="601" spans="1:20" ht="13" x14ac:dyDescent="0.3">
      <c r="R601" s="523" t="s">
        <v>1218</v>
      </c>
      <c r="S601" s="517">
        <f>ROUNDUP(S600/500,0)*500</f>
        <v>3500</v>
      </c>
      <c r="T601" s="518" t="s">
        <v>799</v>
      </c>
    </row>
    <row r="608" spans="1:20" ht="13" x14ac:dyDescent="0.3">
      <c r="A608" s="506" t="s">
        <v>1443</v>
      </c>
      <c r="B608" s="506" t="str">
        <f>C608</f>
        <v>3300: Mass Earthworks</v>
      </c>
      <c r="C608" s="515" t="s">
        <v>1443</v>
      </c>
    </row>
    <row r="611" spans="3:23" x14ac:dyDescent="0.25">
      <c r="C611" s="507" t="s">
        <v>1444</v>
      </c>
      <c r="D611" s="507" t="s">
        <v>1445</v>
      </c>
    </row>
    <row r="612" spans="3:23" x14ac:dyDescent="0.25">
      <c r="D612" s="507" t="s">
        <v>1446</v>
      </c>
      <c r="M612" s="507"/>
      <c r="N612" s="507"/>
      <c r="O612" s="507"/>
      <c r="P612" s="507"/>
      <c r="Q612" s="507"/>
      <c r="R612" s="507"/>
      <c r="S612" s="507"/>
    </row>
    <row r="613" spans="3:23" x14ac:dyDescent="0.25">
      <c r="D613" s="507" t="s">
        <v>1447</v>
      </c>
      <c r="M613" s="507"/>
      <c r="N613" s="507"/>
      <c r="O613" s="507"/>
      <c r="P613" s="507"/>
      <c r="Q613" s="507"/>
      <c r="R613" s="507"/>
      <c r="S613" s="507"/>
    </row>
    <row r="614" spans="3:23" ht="13" x14ac:dyDescent="0.3">
      <c r="E614" s="507" t="s">
        <v>1448</v>
      </c>
      <c r="M614" s="507"/>
      <c r="N614" s="507"/>
      <c r="O614" s="507"/>
      <c r="P614" s="507"/>
      <c r="Q614" s="507"/>
      <c r="R614" s="507"/>
      <c r="S614" s="535">
        <v>50574</v>
      </c>
      <c r="T614" s="507" t="s">
        <v>799</v>
      </c>
    </row>
    <row r="615" spans="3:23" ht="13" x14ac:dyDescent="0.3">
      <c r="E615" s="507" t="s">
        <v>1449</v>
      </c>
      <c r="I615" s="507" t="s">
        <v>1450</v>
      </c>
      <c r="M615" s="507"/>
      <c r="N615" s="507"/>
      <c r="O615" s="507"/>
      <c r="P615" s="507"/>
      <c r="Q615" s="507"/>
      <c r="R615" s="528"/>
      <c r="S615" s="530">
        <v>40709</v>
      </c>
      <c r="T615" s="528" t="s">
        <v>799</v>
      </c>
    </row>
    <row r="616" spans="3:23" x14ac:dyDescent="0.25">
      <c r="M616" s="507"/>
      <c r="N616" s="507"/>
      <c r="O616" s="507"/>
      <c r="P616" s="507"/>
      <c r="Q616" s="507"/>
      <c r="R616" s="507"/>
      <c r="S616" s="535">
        <f>S614-S615</f>
        <v>9865</v>
      </c>
      <c r="T616" s="507" t="s">
        <v>799</v>
      </c>
    </row>
    <row r="617" spans="3:23" ht="13" x14ac:dyDescent="0.3">
      <c r="M617" s="507"/>
      <c r="N617" s="507"/>
      <c r="O617" s="507"/>
      <c r="P617" s="507"/>
      <c r="Q617" s="507"/>
      <c r="R617" s="518" t="s">
        <v>1218</v>
      </c>
      <c r="S617" s="529">
        <f>ROUNDUP(S616/1000,0)*1000</f>
        <v>10000</v>
      </c>
      <c r="T617" s="518" t="s">
        <v>799</v>
      </c>
    </row>
    <row r="618" spans="3:23" ht="13" x14ac:dyDescent="0.3">
      <c r="M618" s="507"/>
      <c r="N618" s="507"/>
      <c r="O618" s="507"/>
      <c r="P618" s="507"/>
      <c r="Q618" s="507"/>
      <c r="R618" s="518"/>
      <c r="S618" s="529"/>
      <c r="T618" s="518"/>
    </row>
    <row r="619" spans="3:23" ht="13" x14ac:dyDescent="0.3">
      <c r="C619" s="507" t="s">
        <v>1444</v>
      </c>
      <c r="D619" s="507" t="s">
        <v>1445</v>
      </c>
      <c r="M619" s="507"/>
      <c r="N619" s="507"/>
      <c r="O619" s="507"/>
      <c r="P619" s="507"/>
      <c r="Q619" s="507"/>
      <c r="R619" s="518"/>
      <c r="S619" s="529"/>
      <c r="T619" s="518"/>
    </row>
    <row r="620" spans="3:23" x14ac:dyDescent="0.25">
      <c r="D620" s="507" t="s">
        <v>1451</v>
      </c>
      <c r="M620" s="507"/>
      <c r="N620" s="507"/>
      <c r="O620" s="507"/>
      <c r="P620" s="507"/>
      <c r="Q620" s="507"/>
      <c r="R620" s="507"/>
      <c r="S620" s="507"/>
    </row>
    <row r="621" spans="3:23" ht="13" x14ac:dyDescent="0.3">
      <c r="E621" s="507" t="s">
        <v>1450</v>
      </c>
      <c r="M621" s="507"/>
      <c r="N621" s="507"/>
      <c r="O621" s="507"/>
      <c r="P621" s="507"/>
      <c r="Q621" s="507"/>
      <c r="R621" s="507"/>
      <c r="S621" s="535">
        <v>40709</v>
      </c>
      <c r="T621" s="507" t="s">
        <v>799</v>
      </c>
    </row>
    <row r="622" spans="3:23" x14ac:dyDescent="0.25">
      <c r="M622" s="507" t="s">
        <v>1452</v>
      </c>
      <c r="N622" s="507"/>
      <c r="O622" s="507"/>
      <c r="P622" s="507"/>
      <c r="Q622" s="507"/>
      <c r="R622" s="507"/>
      <c r="S622" s="530">
        <f>S629</f>
        <v>5940</v>
      </c>
      <c r="T622" s="528" t="s">
        <v>799</v>
      </c>
    </row>
    <row r="623" spans="3:23" x14ac:dyDescent="0.25">
      <c r="M623" s="507"/>
      <c r="N623" s="507"/>
      <c r="O623" s="507"/>
      <c r="P623" s="507"/>
      <c r="Q623" s="507"/>
      <c r="R623" s="507"/>
      <c r="S623" s="535">
        <f>S621-S622</f>
        <v>34769</v>
      </c>
      <c r="T623" s="507" t="s">
        <v>799</v>
      </c>
    </row>
    <row r="624" spans="3:23" ht="13" x14ac:dyDescent="0.3">
      <c r="M624" s="507"/>
      <c r="N624" s="507"/>
      <c r="O624" s="507"/>
      <c r="R624" s="518" t="s">
        <v>1218</v>
      </c>
      <c r="S624" s="529">
        <f>ROUNDUP(S623/1000,0)*1000</f>
        <v>35000</v>
      </c>
      <c r="T624" s="518" t="s">
        <v>799</v>
      </c>
      <c r="W624" s="757" t="s">
        <v>1955</v>
      </c>
    </row>
    <row r="625" spans="3:23" x14ac:dyDescent="0.25">
      <c r="M625" s="507"/>
      <c r="N625" s="507"/>
      <c r="O625" s="507"/>
      <c r="P625" s="507"/>
      <c r="Q625" s="507"/>
      <c r="R625" s="507"/>
      <c r="S625" s="507"/>
    </row>
    <row r="626" spans="3:23" x14ac:dyDescent="0.25">
      <c r="C626" s="507" t="s">
        <v>1444</v>
      </c>
      <c r="D626" s="507" t="s">
        <v>1445</v>
      </c>
    </row>
    <row r="627" spans="3:23" x14ac:dyDescent="0.25">
      <c r="D627" s="507" t="s">
        <v>1453</v>
      </c>
      <c r="T627" s="508"/>
    </row>
    <row r="628" spans="3:23" x14ac:dyDescent="0.25">
      <c r="E628" s="507" t="s">
        <v>1454</v>
      </c>
      <c r="N628" s="508" t="s">
        <v>1455</v>
      </c>
      <c r="O628" s="507"/>
      <c r="P628" s="507">
        <f>8.5+2*1</f>
        <v>10.5</v>
      </c>
      <c r="Q628" s="507">
        <v>3</v>
      </c>
      <c r="R628" s="507"/>
      <c r="S628" s="507">
        <f>P628+2*Q628</f>
        <v>16.5</v>
      </c>
      <c r="T628" s="507" t="s">
        <v>6</v>
      </c>
    </row>
    <row r="629" spans="3:23" x14ac:dyDescent="0.25">
      <c r="O629" s="508">
        <v>100</v>
      </c>
      <c r="P629" s="508">
        <f>S628</f>
        <v>16.5</v>
      </c>
      <c r="Q629" s="508">
        <v>0.6</v>
      </c>
      <c r="R629" s="508">
        <v>6</v>
      </c>
      <c r="S629" s="508">
        <f>ROUND(O629*P629*Q629*R629,0)</f>
        <v>5940</v>
      </c>
      <c r="T629" s="507" t="s">
        <v>799</v>
      </c>
    </row>
    <row r="630" spans="3:23" ht="13" x14ac:dyDescent="0.3">
      <c r="R630" s="518" t="s">
        <v>1218</v>
      </c>
      <c r="S630" s="529">
        <f>ROUNDUP(S629/1000,0)*1000</f>
        <v>6000</v>
      </c>
      <c r="T630" s="518" t="s">
        <v>799</v>
      </c>
      <c r="W630" s="757" t="s">
        <v>1954</v>
      </c>
    </row>
    <row r="631" spans="3:23" x14ac:dyDescent="0.25">
      <c r="C631" s="507" t="s">
        <v>1456</v>
      </c>
      <c r="D631" s="507" t="s">
        <v>1457</v>
      </c>
    </row>
    <row r="632" spans="3:23" x14ac:dyDescent="0.25">
      <c r="D632" s="507" t="s">
        <v>1458</v>
      </c>
    </row>
    <row r="633" spans="3:23" x14ac:dyDescent="0.25">
      <c r="E633" s="507" t="s">
        <v>1459</v>
      </c>
      <c r="R633" s="507"/>
      <c r="S633" s="535">
        <v>40709</v>
      </c>
      <c r="T633" s="507" t="s">
        <v>799</v>
      </c>
    </row>
    <row r="634" spans="3:23" ht="13" x14ac:dyDescent="0.3">
      <c r="R634" s="518" t="s">
        <v>1218</v>
      </c>
      <c r="S634" s="529">
        <f>ROUNDUP(S633/1000,0)*1000</f>
        <v>41000</v>
      </c>
      <c r="T634" s="518" t="s">
        <v>799</v>
      </c>
    </row>
    <row r="635" spans="3:23" ht="13" x14ac:dyDescent="0.3">
      <c r="R635" s="518"/>
      <c r="S635" s="529"/>
      <c r="T635" s="518"/>
    </row>
    <row r="637" spans="3:23" x14ac:dyDescent="0.25">
      <c r="C637" s="507" t="s">
        <v>1460</v>
      </c>
      <c r="D637" s="507" t="s">
        <v>1461</v>
      </c>
    </row>
    <row r="638" spans="3:23" x14ac:dyDescent="0.25">
      <c r="D638" s="507" t="s">
        <v>1462</v>
      </c>
      <c r="I638" s="536"/>
    </row>
    <row r="639" spans="3:23" ht="13" x14ac:dyDescent="0.3">
      <c r="E639" s="507" t="s">
        <v>1463</v>
      </c>
      <c r="S639" s="535">
        <v>7655</v>
      </c>
      <c r="T639" s="507" t="s">
        <v>799</v>
      </c>
    </row>
    <row r="640" spans="3:23" ht="13" x14ac:dyDescent="0.3">
      <c r="R640" s="518" t="s">
        <v>1218</v>
      </c>
      <c r="S640" s="529">
        <f>ROUNDUP(S639/1000,0)*1000</f>
        <v>8000</v>
      </c>
      <c r="T640" s="518" t="s">
        <v>799</v>
      </c>
    </row>
    <row r="641" spans="3:20" x14ac:dyDescent="0.25">
      <c r="T641" s="508"/>
    </row>
    <row r="642" spans="3:20" x14ac:dyDescent="0.25">
      <c r="Q642" s="507"/>
      <c r="R642" s="507"/>
      <c r="S642" s="507"/>
    </row>
    <row r="643" spans="3:20" x14ac:dyDescent="0.25">
      <c r="Q643" s="507"/>
      <c r="R643" s="507"/>
      <c r="S643" s="507"/>
    </row>
    <row r="645" spans="3:20" x14ac:dyDescent="0.25">
      <c r="C645" s="507" t="s">
        <v>1464</v>
      </c>
      <c r="D645" s="507" t="s">
        <v>1465</v>
      </c>
    </row>
    <row r="646" spans="3:20" ht="13" x14ac:dyDescent="0.3">
      <c r="E646" s="507" t="s">
        <v>1466</v>
      </c>
      <c r="S646" s="535">
        <v>8293</v>
      </c>
      <c r="T646" s="507" t="s">
        <v>799</v>
      </c>
    </row>
    <row r="647" spans="3:20" ht="13" x14ac:dyDescent="0.3">
      <c r="R647" s="518" t="s">
        <v>1218</v>
      </c>
      <c r="S647" s="529">
        <f>ROUNDUP(S646/1000,0)*1000</f>
        <v>9000</v>
      </c>
      <c r="T647" s="518" t="s">
        <v>799</v>
      </c>
    </row>
    <row r="651" spans="3:20" x14ac:dyDescent="0.25">
      <c r="C651" s="537" t="s">
        <v>1467</v>
      </c>
      <c r="D651" s="507" t="s">
        <v>1468</v>
      </c>
    </row>
    <row r="652" spans="3:20" x14ac:dyDescent="0.25">
      <c r="C652" s="537"/>
      <c r="D652" s="507" t="s">
        <v>1469</v>
      </c>
    </row>
    <row r="653" spans="3:20" x14ac:dyDescent="0.25">
      <c r="E653" s="507" t="s">
        <v>1470</v>
      </c>
      <c r="N653" s="508">
        <v>1000</v>
      </c>
      <c r="O653" s="508">
        <f>_RoadLength</f>
        <v>2.4000000000000004</v>
      </c>
      <c r="P653" s="508">
        <f>8.5+2*1</f>
        <v>10.5</v>
      </c>
      <c r="Q653" s="508">
        <v>0.3</v>
      </c>
      <c r="S653" s="538">
        <f>N653*O653*P653*Q653</f>
        <v>7560.0000000000009</v>
      </c>
      <c r="T653" s="507" t="s">
        <v>799</v>
      </c>
    </row>
    <row r="654" spans="3:20" x14ac:dyDescent="0.25">
      <c r="E654" s="507" t="s">
        <v>1471</v>
      </c>
      <c r="S654" s="539">
        <f>S653*5%</f>
        <v>378.00000000000006</v>
      </c>
      <c r="T654" s="507" t="s">
        <v>799</v>
      </c>
    </row>
    <row r="655" spans="3:20" x14ac:dyDescent="0.25">
      <c r="E655" s="507" t="s">
        <v>1472</v>
      </c>
      <c r="S655" s="538">
        <f>SUM(S653:S654)</f>
        <v>7938.0000000000009</v>
      </c>
      <c r="T655" s="507" t="s">
        <v>799</v>
      </c>
    </row>
    <row r="656" spans="3:20" ht="13" x14ac:dyDescent="0.3">
      <c r="R656" s="518" t="s">
        <v>1218</v>
      </c>
      <c r="S656" s="529">
        <f>ROUNDUP(S655/1000,0)*1000</f>
        <v>8000</v>
      </c>
      <c r="T656" s="518" t="s">
        <v>799</v>
      </c>
    </row>
    <row r="657" spans="3:20" x14ac:dyDescent="0.25">
      <c r="C657" s="507">
        <v>33.119999999999997</v>
      </c>
      <c r="D657" s="507" t="s">
        <v>1473</v>
      </c>
      <c r="S657" s="538"/>
    </row>
    <row r="658" spans="3:20" x14ac:dyDescent="0.25">
      <c r="D658" s="507" t="s">
        <v>1474</v>
      </c>
      <c r="S658" s="538"/>
    </row>
    <row r="659" spans="3:20" x14ac:dyDescent="0.25">
      <c r="E659" s="507" t="s">
        <v>1470</v>
      </c>
      <c r="N659" s="508">
        <v>1000</v>
      </c>
      <c r="O659" s="508">
        <v>0.4</v>
      </c>
      <c r="P659" s="508">
        <f>8.5+2*1</f>
        <v>10.5</v>
      </c>
      <c r="Q659" s="508">
        <v>0.3</v>
      </c>
      <c r="S659" s="538">
        <f>N659*O659*P659*Q659</f>
        <v>1260</v>
      </c>
      <c r="T659" s="507" t="s">
        <v>799</v>
      </c>
    </row>
    <row r="660" spans="3:20" x14ac:dyDescent="0.25">
      <c r="E660" s="507" t="s">
        <v>1471</v>
      </c>
      <c r="S660" s="539">
        <f>S659*5%</f>
        <v>63</v>
      </c>
      <c r="T660" s="507" t="s">
        <v>799</v>
      </c>
    </row>
    <row r="661" spans="3:20" x14ac:dyDescent="0.25">
      <c r="E661" s="507" t="s">
        <v>1472</v>
      </c>
      <c r="S661" s="538">
        <f>SUM(S659:S660)</f>
        <v>1323</v>
      </c>
      <c r="T661" s="507" t="s">
        <v>799</v>
      </c>
    </row>
    <row r="662" spans="3:20" ht="13" x14ac:dyDescent="0.3">
      <c r="R662" s="518" t="s">
        <v>1218</v>
      </c>
      <c r="S662" s="529">
        <f>ROUNDUP(S661/1000,0)*1000</f>
        <v>2000</v>
      </c>
      <c r="T662" s="518" t="s">
        <v>799</v>
      </c>
    </row>
    <row r="663" spans="3:20" x14ac:dyDescent="0.25">
      <c r="D663" s="507" t="s">
        <v>1475</v>
      </c>
      <c r="S663" s="538"/>
    </row>
    <row r="664" spans="3:20" x14ac:dyDescent="0.25">
      <c r="E664" s="507" t="s">
        <v>1470</v>
      </c>
      <c r="N664" s="508">
        <v>1000</v>
      </c>
      <c r="O664" s="508">
        <v>0.4</v>
      </c>
      <c r="P664" s="508">
        <f>8.5+2*1</f>
        <v>10.5</v>
      </c>
      <c r="Q664" s="508">
        <v>0.3</v>
      </c>
      <c r="S664" s="538">
        <f>N664*O664*P664*Q664</f>
        <v>1260</v>
      </c>
      <c r="T664" s="507" t="s">
        <v>799</v>
      </c>
    </row>
    <row r="665" spans="3:20" x14ac:dyDescent="0.25">
      <c r="E665" s="507" t="s">
        <v>1471</v>
      </c>
      <c r="S665" s="539">
        <f>S664*5%</f>
        <v>63</v>
      </c>
      <c r="T665" s="507" t="s">
        <v>799</v>
      </c>
    </row>
    <row r="666" spans="3:20" x14ac:dyDescent="0.25">
      <c r="E666" s="507" t="s">
        <v>1472</v>
      </c>
      <c r="S666" s="538">
        <f>SUM(S664:S665)</f>
        <v>1323</v>
      </c>
      <c r="T666" s="507" t="s">
        <v>799</v>
      </c>
    </row>
    <row r="667" spans="3:20" ht="13" x14ac:dyDescent="0.3">
      <c r="R667" s="518" t="s">
        <v>1218</v>
      </c>
      <c r="S667" s="529">
        <f>ROUNDUP(S666/1000,0)*1000</f>
        <v>2000</v>
      </c>
      <c r="T667" s="518" t="s">
        <v>799</v>
      </c>
    </row>
    <row r="668" spans="3:20" ht="13" x14ac:dyDescent="0.3">
      <c r="R668" s="518"/>
      <c r="S668" s="529"/>
      <c r="T668" s="518"/>
    </row>
    <row r="669" spans="3:20" x14ac:dyDescent="0.25">
      <c r="C669" s="507">
        <v>33.130000000000003</v>
      </c>
      <c r="D669" s="507" t="s">
        <v>1476</v>
      </c>
    </row>
    <row r="670" spans="3:20" x14ac:dyDescent="0.25">
      <c r="D670" s="507" t="s">
        <v>1477</v>
      </c>
    </row>
    <row r="671" spans="3:20" x14ac:dyDescent="0.25">
      <c r="E671" s="507" t="s">
        <v>1478</v>
      </c>
      <c r="M671" s="508" t="s">
        <v>1479</v>
      </c>
      <c r="N671" s="507"/>
      <c r="O671" s="508">
        <v>460</v>
      </c>
      <c r="P671" s="508">
        <v>400</v>
      </c>
      <c r="Q671" s="508">
        <v>150</v>
      </c>
      <c r="R671" s="508">
        <v>500</v>
      </c>
      <c r="S671" s="508">
        <f>SUM(N671:R671)</f>
        <v>1510</v>
      </c>
    </row>
    <row r="672" spans="3:20" x14ac:dyDescent="0.25">
      <c r="M672" s="507"/>
      <c r="N672" s="507"/>
      <c r="O672" s="508">
        <f>S671</f>
        <v>1510</v>
      </c>
      <c r="P672" s="508">
        <v>3</v>
      </c>
      <c r="R672" s="508">
        <v>2</v>
      </c>
      <c r="S672" s="508">
        <f>O672*P672*R672</f>
        <v>9060</v>
      </c>
      <c r="T672" s="507" t="s">
        <v>555</v>
      </c>
    </row>
    <row r="673" spans="3:20" ht="13" x14ac:dyDescent="0.3">
      <c r="O673" s="507"/>
      <c r="P673" s="507"/>
      <c r="Q673" s="507"/>
      <c r="R673" s="518" t="s">
        <v>1218</v>
      </c>
      <c r="S673" s="529">
        <f>ROUNDUP(S672/1000,0)*1000</f>
        <v>10000</v>
      </c>
      <c r="T673" s="518" t="s">
        <v>555</v>
      </c>
    </row>
    <row r="675" spans="3:20" x14ac:dyDescent="0.25">
      <c r="C675" s="507">
        <v>33.130000000000003</v>
      </c>
      <c r="D675" s="507" t="s">
        <v>1476</v>
      </c>
    </row>
    <row r="676" spans="3:20" x14ac:dyDescent="0.25">
      <c r="D676" s="507" t="s">
        <v>1480</v>
      </c>
    </row>
    <row r="677" spans="3:20" x14ac:dyDescent="0.25">
      <c r="E677" s="507" t="s">
        <v>1481</v>
      </c>
      <c r="M677" s="508" t="s">
        <v>1482</v>
      </c>
      <c r="N677" s="507">
        <v>320</v>
      </c>
      <c r="O677" s="508">
        <v>620</v>
      </c>
      <c r="P677" s="508">
        <v>200</v>
      </c>
      <c r="Q677" s="508">
        <v>150</v>
      </c>
      <c r="R677" s="508">
        <v>600</v>
      </c>
      <c r="S677" s="508">
        <f>SUM(N677:R677)</f>
        <v>1890</v>
      </c>
    </row>
    <row r="678" spans="3:20" x14ac:dyDescent="0.25">
      <c r="M678" s="507"/>
      <c r="N678" s="507"/>
      <c r="O678" s="508">
        <f>S677</f>
        <v>1890</v>
      </c>
      <c r="P678" s="508">
        <v>3</v>
      </c>
      <c r="R678" s="508">
        <v>2</v>
      </c>
      <c r="S678" s="508">
        <f>O678*P678*R678</f>
        <v>11340</v>
      </c>
      <c r="T678" s="507" t="s">
        <v>555</v>
      </c>
    </row>
    <row r="679" spans="3:20" ht="13" x14ac:dyDescent="0.3">
      <c r="O679" s="507"/>
      <c r="P679" s="507"/>
      <c r="Q679" s="507"/>
      <c r="R679" s="518" t="s">
        <v>1218</v>
      </c>
      <c r="S679" s="529">
        <f>ROUNDUP(S678/1000,0)*1000</f>
        <v>12000</v>
      </c>
      <c r="T679" s="518" t="s">
        <v>555</v>
      </c>
    </row>
    <row r="682" spans="3:20" x14ac:dyDescent="0.25">
      <c r="C682" s="507" t="s">
        <v>1483</v>
      </c>
      <c r="E682" s="507" t="s">
        <v>1484</v>
      </c>
    </row>
    <row r="684" spans="3:20" ht="13" x14ac:dyDescent="0.3">
      <c r="F684" s="507" t="s">
        <v>1485</v>
      </c>
      <c r="K684" s="507" t="s">
        <v>1448</v>
      </c>
      <c r="S684" s="535">
        <v>9436</v>
      </c>
      <c r="T684" s="507" t="s">
        <v>1245</v>
      </c>
    </row>
    <row r="685" spans="3:20" ht="13" x14ac:dyDescent="0.3">
      <c r="F685" s="507" t="s">
        <v>1486</v>
      </c>
      <c r="K685" s="507" t="s">
        <v>1448</v>
      </c>
      <c r="Q685" s="508">
        <f>S639</f>
        <v>7655</v>
      </c>
      <c r="R685" s="508">
        <v>1.5</v>
      </c>
      <c r="S685" s="535">
        <f>ROUND(Q685*R685,0)</f>
        <v>11483</v>
      </c>
      <c r="T685" s="507" t="s">
        <v>1245</v>
      </c>
    </row>
    <row r="686" spans="3:20" ht="13" x14ac:dyDescent="0.3">
      <c r="F686" s="507" t="s">
        <v>1487</v>
      </c>
      <c r="L686" s="507" t="s">
        <v>1488</v>
      </c>
      <c r="S686" s="535">
        <v>6891</v>
      </c>
      <c r="T686" s="507" t="s">
        <v>1245</v>
      </c>
    </row>
    <row r="687" spans="3:20" ht="13" x14ac:dyDescent="0.3">
      <c r="F687" s="507" t="s">
        <v>1489</v>
      </c>
      <c r="K687" s="507" t="s">
        <v>1490</v>
      </c>
      <c r="R687" s="526"/>
      <c r="S687" s="530">
        <v>4721</v>
      </c>
      <c r="T687" s="528" t="s">
        <v>1245</v>
      </c>
    </row>
    <row r="688" spans="3:20" x14ac:dyDescent="0.25">
      <c r="S688" s="535">
        <f>SUM(S684:S687)</f>
        <v>32531</v>
      </c>
      <c r="T688" s="507" t="s">
        <v>1245</v>
      </c>
    </row>
    <row r="689" spans="1:20" ht="13" x14ac:dyDescent="0.3">
      <c r="R689" s="518" t="s">
        <v>1218</v>
      </c>
      <c r="S689" s="529">
        <f>ROUNDUP(S688/10000,0)*10000</f>
        <v>40000</v>
      </c>
      <c r="T689" s="518" t="s">
        <v>1245</v>
      </c>
    </row>
    <row r="690" spans="1:20" x14ac:dyDescent="0.25">
      <c r="S690" s="535"/>
    </row>
    <row r="691" spans="1:20" x14ac:dyDescent="0.25">
      <c r="S691" s="535"/>
    </row>
    <row r="694" spans="1:20" ht="13" x14ac:dyDescent="0.3">
      <c r="A694" s="506" t="s">
        <v>1491</v>
      </c>
      <c r="B694" s="506" t="str">
        <f>C694</f>
        <v>3400: Pavement layers of gravel material</v>
      </c>
      <c r="C694" s="515" t="s">
        <v>1491</v>
      </c>
    </row>
    <row r="697" spans="1:20" x14ac:dyDescent="0.25">
      <c r="C697" s="507" t="s">
        <v>1492</v>
      </c>
    </row>
    <row r="698" spans="1:20" x14ac:dyDescent="0.25">
      <c r="C698" s="507" t="s">
        <v>1493</v>
      </c>
    </row>
    <row r="699" spans="1:20" x14ac:dyDescent="0.25">
      <c r="D699" s="507" t="s">
        <v>1494</v>
      </c>
    </row>
    <row r="700" spans="1:20" x14ac:dyDescent="0.25">
      <c r="D700" s="514" t="s">
        <v>1495</v>
      </c>
    </row>
    <row r="701" spans="1:20" ht="13" x14ac:dyDescent="0.3">
      <c r="E701" s="507" t="s">
        <v>1496</v>
      </c>
      <c r="O701" s="508">
        <v>2400</v>
      </c>
      <c r="P701" s="508">
        <v>10.5</v>
      </c>
      <c r="Q701" s="508">
        <v>0.15</v>
      </c>
      <c r="R701" s="508">
        <v>1.05</v>
      </c>
      <c r="S701" s="517">
        <f>ROUNDUP(O701*P701*Q701*R701/100,0)*100</f>
        <v>4000</v>
      </c>
      <c r="T701" s="518" t="s">
        <v>799</v>
      </c>
    </row>
    <row r="703" spans="1:20" x14ac:dyDescent="0.25">
      <c r="D703" s="514" t="s">
        <v>1497</v>
      </c>
    </row>
    <row r="704" spans="1:20" ht="13" x14ac:dyDescent="0.3">
      <c r="E704" s="507" t="s">
        <v>1496</v>
      </c>
      <c r="O704" s="508">
        <v>2400</v>
      </c>
      <c r="P704" s="508">
        <v>10</v>
      </c>
      <c r="Q704" s="508">
        <v>0.15</v>
      </c>
      <c r="R704" s="508">
        <v>1.05</v>
      </c>
      <c r="S704" s="517">
        <f>ROUNDUP(O704*P704*Q704*R704/100,0)*100</f>
        <v>3800</v>
      </c>
      <c r="T704" s="518" t="s">
        <v>799</v>
      </c>
    </row>
    <row r="706" spans="3:20" x14ac:dyDescent="0.25">
      <c r="D706" s="514" t="s">
        <v>1498</v>
      </c>
    </row>
    <row r="707" spans="3:20" ht="13" x14ac:dyDescent="0.3">
      <c r="E707" s="507" t="s">
        <v>1496</v>
      </c>
      <c r="O707" s="508">
        <v>1840</v>
      </c>
      <c r="P707" s="508">
        <v>1.3</v>
      </c>
      <c r="Q707" s="508">
        <v>0.15</v>
      </c>
      <c r="R707" s="508">
        <v>1.05</v>
      </c>
      <c r="S707" s="517">
        <f>ROUNDUP(O707*P707*Q707*R707/100,0)*100</f>
        <v>400</v>
      </c>
      <c r="T707" s="518" t="s">
        <v>799</v>
      </c>
    </row>
    <row r="709" spans="3:20" x14ac:dyDescent="0.25">
      <c r="C709" s="507" t="s">
        <v>1492</v>
      </c>
    </row>
    <row r="710" spans="3:20" x14ac:dyDescent="0.25">
      <c r="C710" s="514" t="s">
        <v>1499</v>
      </c>
    </row>
    <row r="711" spans="3:20" x14ac:dyDescent="0.25">
      <c r="D711" s="507" t="s">
        <v>1500</v>
      </c>
    </row>
    <row r="712" spans="3:20" ht="13" x14ac:dyDescent="0.3">
      <c r="E712" s="507" t="s">
        <v>1496</v>
      </c>
      <c r="N712" s="540">
        <v>0.5</v>
      </c>
      <c r="O712" s="508">
        <v>2400</v>
      </c>
      <c r="P712" s="508">
        <v>9.5</v>
      </c>
      <c r="Q712" s="508">
        <v>0.15</v>
      </c>
      <c r="R712" s="508">
        <v>1.05</v>
      </c>
      <c r="S712" s="517">
        <f>ROUNDUP(N712*O712*P712*Q712*R712/100,0)*100</f>
        <v>1800</v>
      </c>
      <c r="T712" s="518" t="s">
        <v>799</v>
      </c>
    </row>
    <row r="713" spans="3:20" x14ac:dyDescent="0.25">
      <c r="E713" s="519" t="s">
        <v>1501</v>
      </c>
    </row>
    <row r="717" spans="3:20" x14ac:dyDescent="0.25">
      <c r="C717" s="507" t="s">
        <v>1492</v>
      </c>
    </row>
    <row r="718" spans="3:20" x14ac:dyDescent="0.25">
      <c r="C718" s="514" t="s">
        <v>1502</v>
      </c>
    </row>
    <row r="719" spans="3:20" x14ac:dyDescent="0.25">
      <c r="D719" s="507" t="s">
        <v>1503</v>
      </c>
    </row>
    <row r="720" spans="3:20" ht="13" x14ac:dyDescent="0.3">
      <c r="E720" s="507" t="s">
        <v>1496</v>
      </c>
      <c r="N720" s="540">
        <v>0.5</v>
      </c>
      <c r="O720" s="508">
        <v>2400</v>
      </c>
      <c r="P720" s="508">
        <v>9</v>
      </c>
      <c r="Q720" s="533">
        <v>0.125</v>
      </c>
      <c r="R720" s="508">
        <v>1.05</v>
      </c>
      <c r="S720" s="517">
        <f>ROUNDUP(N720*O720*P720*Q720*R720/100,0)*100</f>
        <v>1500</v>
      </c>
      <c r="T720" s="518" t="s">
        <v>799</v>
      </c>
    </row>
    <row r="721" spans="3:20" x14ac:dyDescent="0.25">
      <c r="E721" s="519" t="s">
        <v>1501</v>
      </c>
    </row>
    <row r="723" spans="3:20" x14ac:dyDescent="0.25">
      <c r="C723" s="507" t="s">
        <v>1492</v>
      </c>
    </row>
    <row r="724" spans="3:20" x14ac:dyDescent="0.25">
      <c r="C724" s="514" t="s">
        <v>1504</v>
      </c>
    </row>
    <row r="725" spans="3:20" x14ac:dyDescent="0.25">
      <c r="D725" s="507" t="s">
        <v>1505</v>
      </c>
    </row>
    <row r="726" spans="3:20" ht="13" x14ac:dyDescent="0.3">
      <c r="E726" s="507" t="s">
        <v>1496</v>
      </c>
      <c r="N726" s="508">
        <v>2</v>
      </c>
      <c r="O726" s="508">
        <v>2400</v>
      </c>
      <c r="P726" s="508">
        <v>1</v>
      </c>
      <c r="Q726" s="508">
        <v>0.6</v>
      </c>
      <c r="R726" s="508">
        <v>1.05</v>
      </c>
      <c r="S726" s="517">
        <f>ROUNDUP(N726*O726*P726*Q726*R726/100,0)*100</f>
        <v>3100</v>
      </c>
      <c r="T726" s="518" t="s">
        <v>799</v>
      </c>
    </row>
    <row r="727" spans="3:20" x14ac:dyDescent="0.25">
      <c r="E727" s="519" t="s">
        <v>1506</v>
      </c>
    </row>
    <row r="729" spans="3:20" x14ac:dyDescent="0.25">
      <c r="C729" s="507" t="s">
        <v>1492</v>
      </c>
    </row>
    <row r="730" spans="3:20" x14ac:dyDescent="0.25">
      <c r="C730" s="514" t="s">
        <v>1507</v>
      </c>
    </row>
    <row r="731" spans="3:20" x14ac:dyDescent="0.25">
      <c r="D731" s="507" t="s">
        <v>1508</v>
      </c>
    </row>
    <row r="732" spans="3:20" ht="13" x14ac:dyDescent="0.3">
      <c r="E732" s="507" t="s">
        <v>1496</v>
      </c>
      <c r="O732" s="508">
        <v>700</v>
      </c>
      <c r="P732" s="508">
        <v>5</v>
      </c>
      <c r="Q732" s="508">
        <v>0.15</v>
      </c>
      <c r="R732" s="508">
        <v>1.05</v>
      </c>
      <c r="S732" s="517">
        <f>ROUNDUP(O732*P732*Q732*R732/100,0)*100</f>
        <v>600</v>
      </c>
      <c r="T732" s="518" t="s">
        <v>799</v>
      </c>
    </row>
    <row r="735" spans="3:20" x14ac:dyDescent="0.25">
      <c r="C735" s="507" t="s">
        <v>1509</v>
      </c>
    </row>
    <row r="736" spans="3:20" x14ac:dyDescent="0.25">
      <c r="C736" s="514" t="s">
        <v>1510</v>
      </c>
    </row>
    <row r="737" spans="3:20" ht="13" x14ac:dyDescent="0.3">
      <c r="C737" s="514"/>
      <c r="F737" s="507" t="s">
        <v>1511</v>
      </c>
      <c r="S737" s="517">
        <f>SUM(S696:S728)</f>
        <v>14600</v>
      </c>
      <c r="T737" s="518" t="s">
        <v>799</v>
      </c>
    </row>
    <row r="739" spans="3:20" ht="13" x14ac:dyDescent="0.3">
      <c r="C739" s="518" t="s">
        <v>1512</v>
      </c>
    </row>
    <row r="740" spans="3:20" x14ac:dyDescent="0.25">
      <c r="C740" s="514" t="s">
        <v>1513</v>
      </c>
    </row>
    <row r="741" spans="3:20" x14ac:dyDescent="0.25">
      <c r="D741" s="507" t="s">
        <v>1500</v>
      </c>
    </row>
    <row r="742" spans="3:20" ht="13" x14ac:dyDescent="0.3">
      <c r="E742" s="507" t="s">
        <v>1514</v>
      </c>
      <c r="S742" s="517">
        <f>S712</f>
        <v>1800</v>
      </c>
      <c r="T742" s="518" t="s">
        <v>799</v>
      </c>
    </row>
    <row r="745" spans="3:20" x14ac:dyDescent="0.25">
      <c r="C745" s="507" t="s">
        <v>1512</v>
      </c>
    </row>
    <row r="746" spans="3:20" x14ac:dyDescent="0.25">
      <c r="C746" s="514" t="s">
        <v>1515</v>
      </c>
    </row>
    <row r="747" spans="3:20" x14ac:dyDescent="0.25">
      <c r="D747" s="507" t="s">
        <v>1503</v>
      </c>
    </row>
    <row r="748" spans="3:20" ht="13" x14ac:dyDescent="0.3">
      <c r="E748" s="507" t="s">
        <v>1516</v>
      </c>
      <c r="S748" s="517">
        <f>S720</f>
        <v>1500</v>
      </c>
      <c r="T748" s="518" t="s">
        <v>799</v>
      </c>
    </row>
    <row r="751" spans="3:20" x14ac:dyDescent="0.25">
      <c r="C751" s="507" t="s">
        <v>1517</v>
      </c>
      <c r="D751" s="507" t="s">
        <v>1518</v>
      </c>
    </row>
    <row r="752" spans="3:20" x14ac:dyDescent="0.25">
      <c r="C752" s="507" t="s">
        <v>1519</v>
      </c>
      <c r="D752" s="507" t="s">
        <v>1520</v>
      </c>
    </row>
    <row r="753" spans="1:20" ht="13" x14ac:dyDescent="0.3">
      <c r="E753" s="507" t="s">
        <v>1521</v>
      </c>
      <c r="P753" s="508">
        <f>S737+S732+S742+S748</f>
        <v>18500</v>
      </c>
      <c r="R753" s="508">
        <v>1.5</v>
      </c>
      <c r="S753" s="517">
        <f>P753*R753</f>
        <v>27750</v>
      </c>
      <c r="T753" s="518" t="s">
        <v>1245</v>
      </c>
    </row>
    <row r="760" spans="1:20" ht="13" x14ac:dyDescent="0.3">
      <c r="A760" s="506" t="s">
        <v>1522</v>
      </c>
      <c r="B760" s="506" t="str">
        <f>C760</f>
        <v>3500: Stabilisation</v>
      </c>
      <c r="C760" s="515" t="s">
        <v>1522</v>
      </c>
    </row>
    <row r="762" spans="1:20" x14ac:dyDescent="0.25">
      <c r="C762" s="507" t="s">
        <v>1523</v>
      </c>
    </row>
    <row r="763" spans="1:20" x14ac:dyDescent="0.25">
      <c r="C763" s="507" t="s">
        <v>1524</v>
      </c>
    </row>
    <row r="764" spans="1:20" ht="13" x14ac:dyDescent="0.3">
      <c r="E764" s="507" t="s">
        <v>1496</v>
      </c>
      <c r="O764" s="508">
        <v>2400</v>
      </c>
      <c r="P764" s="508">
        <v>9.5</v>
      </c>
      <c r="Q764" s="508">
        <v>0.15</v>
      </c>
      <c r="R764" s="508">
        <v>1.05</v>
      </c>
      <c r="S764" s="517">
        <f>ROUNDUP(O764*P764*Q764*R764/100,0)*100</f>
        <v>3600</v>
      </c>
      <c r="T764" s="518" t="s">
        <v>799</v>
      </c>
    </row>
    <row r="767" spans="1:20" x14ac:dyDescent="0.25">
      <c r="C767" s="507" t="s">
        <v>1523</v>
      </c>
    </row>
    <row r="768" spans="1:20" x14ac:dyDescent="0.25">
      <c r="C768" s="514" t="s">
        <v>1525</v>
      </c>
    </row>
    <row r="769" spans="3:20" ht="13" x14ac:dyDescent="0.3">
      <c r="E769" s="507" t="s">
        <v>1496</v>
      </c>
      <c r="O769" s="508">
        <v>2400</v>
      </c>
      <c r="P769" s="508">
        <v>9</v>
      </c>
      <c r="Q769" s="533">
        <v>0.125</v>
      </c>
      <c r="R769" s="508">
        <v>1.05</v>
      </c>
      <c r="S769" s="517">
        <f>ROUNDUP(O769*P769*Q769*R769/100,0)*100</f>
        <v>2900</v>
      </c>
      <c r="T769" s="518" t="s">
        <v>799</v>
      </c>
    </row>
    <row r="770" spans="3:20" x14ac:dyDescent="0.25">
      <c r="T770" s="508"/>
    </row>
    <row r="771" spans="3:20" x14ac:dyDescent="0.25">
      <c r="T771" s="508"/>
    </row>
    <row r="773" spans="3:20" x14ac:dyDescent="0.25">
      <c r="C773" s="507" t="s">
        <v>1526</v>
      </c>
      <c r="E773" s="507" t="s">
        <v>1527</v>
      </c>
    </row>
    <row r="774" spans="3:20" x14ac:dyDescent="0.25">
      <c r="E774" s="507" t="s">
        <v>1528</v>
      </c>
      <c r="M774" s="508">
        <f>2250/1000</f>
        <v>2.25</v>
      </c>
      <c r="N774" s="516">
        <v>0.5</v>
      </c>
      <c r="P774" s="508">
        <f>S764</f>
        <v>3600</v>
      </c>
      <c r="Q774" s="508">
        <f>S769</f>
        <v>2900</v>
      </c>
      <c r="R774" s="516">
        <v>0.03</v>
      </c>
      <c r="S774" s="508">
        <f>M774*N774*(P774+Q774)*R774</f>
        <v>219.375</v>
      </c>
      <c r="T774" s="507" t="s">
        <v>7</v>
      </c>
    </row>
    <row r="775" spans="3:20" ht="13" x14ac:dyDescent="0.3">
      <c r="S775" s="517">
        <f>ROUNDUP(S774/10,0)*10*1.5</f>
        <v>330</v>
      </c>
      <c r="T775" s="518" t="s">
        <v>7</v>
      </c>
    </row>
    <row r="776" spans="3:20" x14ac:dyDescent="0.25">
      <c r="C776" s="507" t="s">
        <v>1529</v>
      </c>
      <c r="E776" s="507" t="s">
        <v>1530</v>
      </c>
    </row>
    <row r="777" spans="3:20" ht="13" x14ac:dyDescent="0.3">
      <c r="E777" s="507" t="s">
        <v>1531</v>
      </c>
      <c r="G777" s="507" t="str">
        <f>C773</f>
        <v>B35.02(b)</v>
      </c>
      <c r="I777" s="507" t="s">
        <v>1532</v>
      </c>
      <c r="S777" s="517">
        <f>S775/3</f>
        <v>110</v>
      </c>
      <c r="T777" s="518" t="s">
        <v>7</v>
      </c>
    </row>
    <row r="779" spans="3:20" x14ac:dyDescent="0.25">
      <c r="C779" s="507" t="s">
        <v>1533</v>
      </c>
    </row>
    <row r="780" spans="3:20" x14ac:dyDescent="0.25">
      <c r="E780" s="507" t="s">
        <v>1534</v>
      </c>
    </row>
    <row r="781" spans="3:20" x14ac:dyDescent="0.25">
      <c r="E781" s="507" t="s">
        <v>1535</v>
      </c>
    </row>
    <row r="782" spans="3:20" x14ac:dyDescent="0.25">
      <c r="E782" s="507" t="s">
        <v>1536</v>
      </c>
    </row>
    <row r="783" spans="3:20" x14ac:dyDescent="0.25">
      <c r="E783" s="507" t="s">
        <v>1537</v>
      </c>
      <c r="O783" s="508">
        <v>2400</v>
      </c>
      <c r="S783" s="508">
        <f>O783-P783+Q783</f>
        <v>2400</v>
      </c>
      <c r="T783" s="507" t="s">
        <v>6</v>
      </c>
    </row>
    <row r="784" spans="3:20" x14ac:dyDescent="0.25">
      <c r="E784" s="507" t="s">
        <v>1917</v>
      </c>
      <c r="O784" s="508">
        <f>S783</f>
        <v>2400</v>
      </c>
      <c r="P784" s="508">
        <v>300</v>
      </c>
      <c r="Q784" s="512">
        <v>1</v>
      </c>
      <c r="S784" s="508">
        <f>ROUNDUP(O784/P784*Q784,0)</f>
        <v>8</v>
      </c>
      <c r="T784" s="507" t="s">
        <v>979</v>
      </c>
    </row>
    <row r="785" spans="3:20" x14ac:dyDescent="0.25">
      <c r="E785" s="507" t="s">
        <v>1538</v>
      </c>
      <c r="N785" s="508">
        <f>S784</f>
        <v>8</v>
      </c>
      <c r="O785" s="508">
        <v>7</v>
      </c>
      <c r="P785" s="508">
        <v>3</v>
      </c>
      <c r="Q785" s="508">
        <f>10000/1000</f>
        <v>10</v>
      </c>
      <c r="S785" s="508">
        <f>N785*O785*P785*Q785</f>
        <v>1680</v>
      </c>
      <c r="T785" s="507" t="s">
        <v>25</v>
      </c>
    </row>
    <row r="786" spans="3:20" ht="13" x14ac:dyDescent="0.3">
      <c r="R786" s="517" t="s">
        <v>1539</v>
      </c>
      <c r="S786" s="517">
        <f>ROUNDUP(S785/100,0)*100</f>
        <v>1700</v>
      </c>
      <c r="T786" s="518" t="s">
        <v>25</v>
      </c>
    </row>
    <row r="787" spans="3:20" x14ac:dyDescent="0.25">
      <c r="C787" s="507" t="s">
        <v>1540</v>
      </c>
    </row>
    <row r="788" spans="3:20" x14ac:dyDescent="0.25">
      <c r="E788" s="507" t="s">
        <v>1541</v>
      </c>
    </row>
    <row r="789" spans="3:20" x14ac:dyDescent="0.25">
      <c r="E789" s="507" t="s">
        <v>1542</v>
      </c>
    </row>
    <row r="790" spans="3:20" x14ac:dyDescent="0.25">
      <c r="E790" s="507" t="s">
        <v>1537</v>
      </c>
      <c r="O790" s="508">
        <v>2400</v>
      </c>
      <c r="S790" s="508">
        <f>O790-P790+Q790</f>
        <v>2400</v>
      </c>
      <c r="T790" s="507" t="s">
        <v>6</v>
      </c>
    </row>
    <row r="791" spans="3:20" ht="13" x14ac:dyDescent="0.3">
      <c r="E791" s="507" t="s">
        <v>1543</v>
      </c>
      <c r="H791" s="524" t="s">
        <v>1544</v>
      </c>
      <c r="N791" s="745">
        <v>3</v>
      </c>
      <c r="O791" s="508">
        <f>S790</f>
        <v>2400</v>
      </c>
      <c r="P791" s="508">
        <v>10.5</v>
      </c>
      <c r="S791" s="508">
        <f>ROUND(N791*O791*P791/10,0)*10</f>
        <v>75600</v>
      </c>
      <c r="T791" s="507" t="s">
        <v>555</v>
      </c>
    </row>
    <row r="792" spans="3:20" ht="13" x14ac:dyDescent="0.3">
      <c r="R792" s="517" t="s">
        <v>1545</v>
      </c>
      <c r="S792" s="517">
        <f>ROUNDUP(S791/500,0)*500</f>
        <v>76000</v>
      </c>
      <c r="T792" s="518" t="s">
        <v>555</v>
      </c>
    </row>
    <row r="794" spans="3:20" x14ac:dyDescent="0.25">
      <c r="C794" s="507" t="s">
        <v>1546</v>
      </c>
    </row>
    <row r="795" spans="3:20" ht="13" x14ac:dyDescent="0.3">
      <c r="E795" s="507" t="s">
        <v>1547</v>
      </c>
      <c r="O795" s="508">
        <v>300</v>
      </c>
      <c r="P795" s="508">
        <v>10.5</v>
      </c>
      <c r="Q795" s="508">
        <v>0.15</v>
      </c>
      <c r="S795" s="517">
        <f>ROUNDUP(O795*P795*Q795/100,0)*100</f>
        <v>500</v>
      </c>
      <c r="T795" s="518" t="s">
        <v>799</v>
      </c>
    </row>
    <row r="804" spans="1:3" ht="13" x14ac:dyDescent="0.3">
      <c r="A804" s="506" t="s">
        <v>1548</v>
      </c>
      <c r="B804" s="506" t="str">
        <f>C804</f>
        <v>3600: Crushed-stone base</v>
      </c>
      <c r="C804" s="515" t="s">
        <v>1548</v>
      </c>
    </row>
    <row r="808" spans="1:3" ht="13" x14ac:dyDescent="0.3">
      <c r="A808" s="506" t="s">
        <v>1549</v>
      </c>
      <c r="B808" s="506" t="str">
        <f>C808</f>
        <v>3700: Plant-mixed paver-Iaid pavement layers</v>
      </c>
      <c r="C808" s="515" t="s">
        <v>1549</v>
      </c>
    </row>
    <row r="811" spans="1:3" ht="13" x14ac:dyDescent="0.3">
      <c r="A811" s="506" t="s">
        <v>1550</v>
      </c>
      <c r="B811" s="506" t="str">
        <f>C811</f>
        <v>3800: Breaking up existing pavement layers</v>
      </c>
      <c r="C811" s="515" t="s">
        <v>1550</v>
      </c>
    </row>
    <row r="815" spans="1:3" ht="13" x14ac:dyDescent="0.3">
      <c r="A815" s="506" t="s">
        <v>1551</v>
      </c>
      <c r="B815" s="506" t="str">
        <f>C815</f>
        <v>3900: Patching and repairing edge breaks</v>
      </c>
      <c r="C815" s="515" t="s">
        <v>1551</v>
      </c>
    </row>
    <row r="818" spans="1:20" ht="13" x14ac:dyDescent="0.3">
      <c r="A818" s="506" t="s">
        <v>1552</v>
      </c>
      <c r="B818" s="506" t="str">
        <f>C818</f>
        <v>4100: Prime Coat</v>
      </c>
      <c r="C818" s="515" t="s">
        <v>1552</v>
      </c>
    </row>
    <row r="821" spans="1:20" x14ac:dyDescent="0.25">
      <c r="C821" s="507" t="s">
        <v>1553</v>
      </c>
    </row>
    <row r="822" spans="1:20" x14ac:dyDescent="0.25">
      <c r="C822" s="507" t="s">
        <v>1554</v>
      </c>
    </row>
    <row r="823" spans="1:20" x14ac:dyDescent="0.25">
      <c r="E823" s="507" t="s">
        <v>1555</v>
      </c>
    </row>
    <row r="824" spans="1:20" x14ac:dyDescent="0.25">
      <c r="E824" s="507" t="s">
        <v>1556</v>
      </c>
      <c r="N824" s="508">
        <v>1.05</v>
      </c>
      <c r="O824" s="508">
        <v>2400</v>
      </c>
      <c r="P824" s="508">
        <v>8.5</v>
      </c>
      <c r="S824" s="508">
        <f>N824*O824*P824</f>
        <v>21420</v>
      </c>
      <c r="T824" s="507" t="s">
        <v>555</v>
      </c>
    </row>
    <row r="825" spans="1:20" ht="13" x14ac:dyDescent="0.3">
      <c r="E825" s="507" t="s">
        <v>1557</v>
      </c>
      <c r="O825" s="508">
        <f>S824</f>
        <v>21420</v>
      </c>
      <c r="P825" s="508">
        <v>0.7</v>
      </c>
      <c r="S825" s="517">
        <f>ROUNDUP(O825*P825/100,0)*100</f>
        <v>15000</v>
      </c>
      <c r="T825" s="518" t="s">
        <v>565</v>
      </c>
    </row>
    <row r="830" spans="1:20" ht="13" x14ac:dyDescent="0.3">
      <c r="A830" s="506" t="s">
        <v>1558</v>
      </c>
      <c r="B830" s="506" t="str">
        <f>C830</f>
        <v>4200: Asphalt base and surfacing</v>
      </c>
      <c r="C830" s="515" t="s">
        <v>1558</v>
      </c>
    </row>
    <row r="834" spans="1:20" ht="13" x14ac:dyDescent="0.3">
      <c r="A834" s="506" t="s">
        <v>1559</v>
      </c>
      <c r="B834" s="506" t="str">
        <f>C834</f>
        <v>4300: Seals: Materials and general requirements</v>
      </c>
      <c r="C834" s="515" t="s">
        <v>1559</v>
      </c>
    </row>
    <row r="839" spans="1:20" ht="13" x14ac:dyDescent="0.3">
      <c r="A839" s="506" t="s">
        <v>1560</v>
      </c>
      <c r="B839" s="506" t="str">
        <f>C839</f>
        <v>4400: Single seals</v>
      </c>
      <c r="C839" s="515" t="s">
        <v>1560</v>
      </c>
    </row>
    <row r="842" spans="1:20" ht="13" x14ac:dyDescent="0.3">
      <c r="A842" s="506" t="s">
        <v>1561</v>
      </c>
      <c r="B842" s="506" t="str">
        <f>C842</f>
        <v>4500: Double seals</v>
      </c>
      <c r="C842" s="515" t="s">
        <v>1561</v>
      </c>
    </row>
    <row r="845" spans="1:20" x14ac:dyDescent="0.25">
      <c r="C845" s="507" t="s">
        <v>1562</v>
      </c>
      <c r="D845" s="507" t="s">
        <v>1563</v>
      </c>
    </row>
    <row r="846" spans="1:20" x14ac:dyDescent="0.25">
      <c r="D846" s="507" t="s">
        <v>1564</v>
      </c>
    </row>
    <row r="847" spans="1:20" ht="13" x14ac:dyDescent="0.3">
      <c r="E847" s="507" t="s">
        <v>1565</v>
      </c>
      <c r="N847" s="508">
        <v>1.05</v>
      </c>
      <c r="O847" s="508">
        <v>2400</v>
      </c>
      <c r="P847" s="508">
        <v>8.5</v>
      </c>
      <c r="S847" s="517">
        <f>ROUNDUP(N847*O847*P847/100,0)*100</f>
        <v>21500</v>
      </c>
      <c r="T847" s="518" t="s">
        <v>555</v>
      </c>
    </row>
    <row r="851" spans="1:20" x14ac:dyDescent="0.25">
      <c r="C851" s="507" t="s">
        <v>1566</v>
      </c>
      <c r="D851" s="507" t="s">
        <v>1567</v>
      </c>
    </row>
    <row r="852" spans="1:20" x14ac:dyDescent="0.25">
      <c r="D852" s="507" t="s">
        <v>1568</v>
      </c>
    </row>
    <row r="853" spans="1:20" ht="13" x14ac:dyDescent="0.3">
      <c r="E853" s="507" t="s">
        <v>1569</v>
      </c>
      <c r="N853" s="508">
        <v>0.3</v>
      </c>
      <c r="O853" s="508">
        <f>S847</f>
        <v>21500</v>
      </c>
      <c r="S853" s="517">
        <f>ROUNDUP(N853*O853/100,0)*100</f>
        <v>6500</v>
      </c>
      <c r="T853" s="518" t="s">
        <v>1570</v>
      </c>
    </row>
    <row r="857" spans="1:20" ht="13" x14ac:dyDescent="0.3">
      <c r="A857" s="506" t="s">
        <v>1571</v>
      </c>
      <c r="B857" s="506" t="str">
        <f>C857</f>
        <v>4600: Bituminous single seal with slurry (Cape seal)</v>
      </c>
      <c r="C857" s="515" t="s">
        <v>1571</v>
      </c>
    </row>
    <row r="860" spans="1:20" ht="13" x14ac:dyDescent="0.3">
      <c r="A860" s="506" t="s">
        <v>1572</v>
      </c>
      <c r="B860" s="506" t="str">
        <f>C860</f>
        <v>4700: Surfacing of bridge decks</v>
      </c>
      <c r="C860" s="515" t="s">
        <v>1572</v>
      </c>
    </row>
    <row r="868" spans="1:4" ht="13" x14ac:dyDescent="0.3">
      <c r="A868" s="506" t="s">
        <v>1573</v>
      </c>
      <c r="B868" s="506" t="str">
        <f>C868</f>
        <v>4800: Treatment of an existing surface exhibiting certain defects</v>
      </c>
      <c r="C868" s="515" t="s">
        <v>1573</v>
      </c>
    </row>
    <row r="871" spans="1:4" ht="13" x14ac:dyDescent="0.3">
      <c r="A871" s="506" t="s">
        <v>1574</v>
      </c>
      <c r="B871" s="506" t="str">
        <f>C871</f>
        <v>4900: Sand seals</v>
      </c>
      <c r="C871" s="515" t="s">
        <v>1574</v>
      </c>
    </row>
    <row r="874" spans="1:4" ht="13" x14ac:dyDescent="0.3">
      <c r="A874" s="506" t="s">
        <v>1575</v>
      </c>
      <c r="B874" s="506" t="str">
        <f>C874</f>
        <v>5100: Pitching, stonework and protection against erosion</v>
      </c>
      <c r="C874" s="515" t="s">
        <v>1575</v>
      </c>
    </row>
    <row r="877" spans="1:4" x14ac:dyDescent="0.25">
      <c r="D877" s="507" t="s">
        <v>1576</v>
      </c>
    </row>
    <row r="880" spans="1:4" ht="13" x14ac:dyDescent="0.3">
      <c r="A880" s="506" t="s">
        <v>1577</v>
      </c>
      <c r="B880" s="506" t="str">
        <f>C880</f>
        <v>5200: Gabions</v>
      </c>
      <c r="C880" s="515" t="s">
        <v>1577</v>
      </c>
    </row>
    <row r="883" spans="1:20" x14ac:dyDescent="0.25">
      <c r="D883" s="507" t="s">
        <v>1576</v>
      </c>
    </row>
    <row r="885" spans="1:20" ht="13" x14ac:dyDescent="0.3">
      <c r="A885" s="506" t="s">
        <v>1578</v>
      </c>
      <c r="B885" s="506" t="str">
        <f>C885</f>
        <v>5300: Guide blocks</v>
      </c>
      <c r="C885" s="515" t="s">
        <v>1578</v>
      </c>
    </row>
    <row r="888" spans="1:20" ht="13" x14ac:dyDescent="0.3">
      <c r="A888" s="506" t="s">
        <v>1579</v>
      </c>
      <c r="B888" s="506" t="str">
        <f>C888</f>
        <v>5400: Guardrails</v>
      </c>
      <c r="C888" s="515" t="s">
        <v>1579</v>
      </c>
    </row>
    <row r="890" spans="1:20" x14ac:dyDescent="0.25">
      <c r="C890" s="507" t="s">
        <v>1580</v>
      </c>
    </row>
    <row r="891" spans="1:20" ht="13" x14ac:dyDescent="0.3">
      <c r="C891" s="507" t="s">
        <v>1581</v>
      </c>
      <c r="S891" s="517">
        <f>F901</f>
        <v>1920</v>
      </c>
      <c r="T891" s="518" t="s">
        <v>1354</v>
      </c>
    </row>
    <row r="893" spans="1:20" x14ac:dyDescent="0.25">
      <c r="D893">
        <v>12000</v>
      </c>
      <c r="E893">
        <v>12200</v>
      </c>
      <c r="F893">
        <f t="shared" ref="F893:F900" si="0">E893-D893</f>
        <v>200</v>
      </c>
      <c r="G893" s="541" t="s">
        <v>1138</v>
      </c>
      <c r="H893" t="s">
        <v>1582</v>
      </c>
    </row>
    <row r="894" spans="1:20" x14ac:dyDescent="0.25">
      <c r="D894">
        <v>12000</v>
      </c>
      <c r="E894">
        <v>12200</v>
      </c>
      <c r="F894">
        <f t="shared" si="0"/>
        <v>200</v>
      </c>
      <c r="G894" s="541" t="s">
        <v>1139</v>
      </c>
      <c r="H894" t="s">
        <v>1582</v>
      </c>
    </row>
    <row r="895" spans="1:20" x14ac:dyDescent="0.25">
      <c r="D895">
        <v>12600</v>
      </c>
      <c r="E895">
        <v>12740</v>
      </c>
      <c r="F895">
        <f t="shared" si="0"/>
        <v>140</v>
      </c>
      <c r="G895" s="541" t="s">
        <v>1139</v>
      </c>
      <c r="H895" t="s">
        <v>1583</v>
      </c>
    </row>
    <row r="896" spans="1:20" x14ac:dyDescent="0.25">
      <c r="D896">
        <v>12600</v>
      </c>
      <c r="E896">
        <v>12740</v>
      </c>
      <c r="F896">
        <f t="shared" si="0"/>
        <v>140</v>
      </c>
      <c r="G896" s="541" t="s">
        <v>1138</v>
      </c>
      <c r="H896" t="s">
        <v>1583</v>
      </c>
    </row>
    <row r="897" spans="3:20" x14ac:dyDescent="0.25">
      <c r="D897">
        <v>12940</v>
      </c>
      <c r="E897">
        <v>13500</v>
      </c>
      <c r="F897">
        <f t="shared" si="0"/>
        <v>560</v>
      </c>
      <c r="G897" s="541" t="s">
        <v>1138</v>
      </c>
      <c r="H897"/>
    </row>
    <row r="898" spans="3:20" x14ac:dyDescent="0.25">
      <c r="D898">
        <v>12940</v>
      </c>
      <c r="E898">
        <v>13500</v>
      </c>
      <c r="F898">
        <f t="shared" si="0"/>
        <v>560</v>
      </c>
      <c r="G898" s="541" t="s">
        <v>1139</v>
      </c>
      <c r="H898"/>
    </row>
    <row r="899" spans="3:20" x14ac:dyDescent="0.25">
      <c r="D899">
        <v>13620</v>
      </c>
      <c r="E899">
        <v>13740</v>
      </c>
      <c r="F899">
        <f t="shared" si="0"/>
        <v>120</v>
      </c>
      <c r="G899" s="541" t="s">
        <v>1138</v>
      </c>
      <c r="H899"/>
    </row>
    <row r="900" spans="3:20" x14ac:dyDescent="0.25">
      <c r="D900" s="542"/>
      <c r="E900" s="542"/>
      <c r="F900" s="542">
        <f t="shared" si="0"/>
        <v>0</v>
      </c>
      <c r="G900" s="542"/>
      <c r="H900" s="542"/>
    </row>
    <row r="901" spans="3:20" x14ac:dyDescent="0.25">
      <c r="D901"/>
      <c r="E901"/>
      <c r="F901">
        <f>SUM(F893:F900)</f>
        <v>1920</v>
      </c>
      <c r="G901" s="541" t="s">
        <v>6</v>
      </c>
      <c r="H901"/>
    </row>
    <row r="903" spans="3:20" x14ac:dyDescent="0.25">
      <c r="C903" s="507" t="s">
        <v>1584</v>
      </c>
    </row>
    <row r="904" spans="3:20" ht="13" x14ac:dyDescent="0.3">
      <c r="C904" s="507" t="s">
        <v>1585</v>
      </c>
      <c r="S904" s="517">
        <f>COUNTA(D892:D901)*2</f>
        <v>14</v>
      </c>
      <c r="T904" s="518" t="s">
        <v>34</v>
      </c>
    </row>
    <row r="918" spans="1:4" ht="13" x14ac:dyDescent="0.3">
      <c r="A918" s="506" t="s">
        <v>1586</v>
      </c>
      <c r="B918" s="506" t="str">
        <f>C918</f>
        <v>5500: Fencing</v>
      </c>
      <c r="C918" s="515" t="s">
        <v>1586</v>
      </c>
    </row>
    <row r="920" spans="1:4" x14ac:dyDescent="0.25">
      <c r="C920" s="507" t="s">
        <v>1587</v>
      </c>
    </row>
    <row r="921" spans="1:4" x14ac:dyDescent="0.25">
      <c r="C921" s="507" t="s">
        <v>1588</v>
      </c>
    </row>
    <row r="922" spans="1:4" x14ac:dyDescent="0.25">
      <c r="D922" s="507" t="s">
        <v>1589</v>
      </c>
    </row>
    <row r="926" spans="1:4" x14ac:dyDescent="0.25">
      <c r="C926" s="507" t="s">
        <v>1587</v>
      </c>
    </row>
    <row r="927" spans="1:4" x14ac:dyDescent="0.25">
      <c r="C927" s="507" t="s">
        <v>1590</v>
      </c>
    </row>
    <row r="928" spans="1:4" x14ac:dyDescent="0.25">
      <c r="D928" s="507" t="s">
        <v>1591</v>
      </c>
    </row>
    <row r="933" spans="3:4" x14ac:dyDescent="0.25">
      <c r="C933" s="507" t="s">
        <v>1587</v>
      </c>
    </row>
    <row r="934" spans="3:4" x14ac:dyDescent="0.25">
      <c r="C934" s="507" t="s">
        <v>1592</v>
      </c>
    </row>
    <row r="935" spans="3:4" x14ac:dyDescent="0.25">
      <c r="D935" s="507" t="s">
        <v>1593</v>
      </c>
    </row>
    <row r="939" spans="3:4" x14ac:dyDescent="0.25">
      <c r="C939" s="507" t="s">
        <v>1587</v>
      </c>
    </row>
    <row r="940" spans="3:4" x14ac:dyDescent="0.25">
      <c r="C940" s="507" t="s">
        <v>1594</v>
      </c>
    </row>
    <row r="941" spans="3:4" x14ac:dyDescent="0.25">
      <c r="C941" s="507" t="s">
        <v>1595</v>
      </c>
    </row>
    <row r="942" spans="3:4" x14ac:dyDescent="0.25">
      <c r="D942" s="507" t="s">
        <v>1596</v>
      </c>
    </row>
    <row r="946" spans="1:4" x14ac:dyDescent="0.25">
      <c r="C946" s="507" t="s">
        <v>1587</v>
      </c>
    </row>
    <row r="947" spans="1:4" x14ac:dyDescent="0.25">
      <c r="C947" s="507" t="s">
        <v>1594</v>
      </c>
    </row>
    <row r="948" spans="1:4" x14ac:dyDescent="0.25">
      <c r="C948" s="507" t="s">
        <v>1597</v>
      </c>
    </row>
    <row r="949" spans="1:4" x14ac:dyDescent="0.25">
      <c r="D949" s="507" t="s">
        <v>1596</v>
      </c>
    </row>
    <row r="956" spans="1:4" ht="13" x14ac:dyDescent="0.3">
      <c r="A956" s="506" t="s">
        <v>1598</v>
      </c>
      <c r="B956" s="506" t="str">
        <f>C956</f>
        <v>5600: Road signs</v>
      </c>
      <c r="C956" s="515" t="s">
        <v>1598</v>
      </c>
    </row>
    <row r="985" spans="1:20" ht="13" x14ac:dyDescent="0.3">
      <c r="A985" s="506" t="s">
        <v>1599</v>
      </c>
      <c r="B985" s="506" t="str">
        <f>C985</f>
        <v>5700: Road markings</v>
      </c>
      <c r="C985" s="515" t="s">
        <v>1599</v>
      </c>
    </row>
    <row r="987" spans="1:20" x14ac:dyDescent="0.25">
      <c r="C987" s="507" t="s">
        <v>1600</v>
      </c>
      <c r="E987" s="507" t="s">
        <v>1601</v>
      </c>
    </row>
    <row r="988" spans="1:20" x14ac:dyDescent="0.25">
      <c r="E988" s="507" t="s">
        <v>1602</v>
      </c>
    </row>
    <row r="989" spans="1:20" x14ac:dyDescent="0.25">
      <c r="E989" s="507" t="s">
        <v>1603</v>
      </c>
    </row>
    <row r="990" spans="1:20" x14ac:dyDescent="0.25">
      <c r="E990" s="507" t="s">
        <v>1604</v>
      </c>
      <c r="O990" s="508">
        <v>1950</v>
      </c>
      <c r="P990" s="508">
        <v>0</v>
      </c>
      <c r="Q990" s="508">
        <v>0</v>
      </c>
      <c r="S990" s="508">
        <f>O990-P990+Q990</f>
        <v>1950</v>
      </c>
      <c r="T990" s="507" t="s">
        <v>6</v>
      </c>
    </row>
    <row r="991" spans="1:20" x14ac:dyDescent="0.25">
      <c r="E991" s="507" t="s">
        <v>1605</v>
      </c>
      <c r="N991" s="508">
        <f>1+4/12</f>
        <v>1.3333333333333333</v>
      </c>
      <c r="O991" s="508">
        <f>S990</f>
        <v>1950</v>
      </c>
      <c r="Q991" s="508">
        <v>1000</v>
      </c>
      <c r="R991" s="508">
        <v>2</v>
      </c>
      <c r="S991" s="508">
        <f>ROUNDUP(N991*O991/Q991*R991,0)</f>
        <v>6</v>
      </c>
      <c r="T991" s="507" t="s">
        <v>22</v>
      </c>
    </row>
    <row r="993" spans="3:20" x14ac:dyDescent="0.25">
      <c r="C993" s="507" t="s">
        <v>1606</v>
      </c>
      <c r="E993" s="507" t="s">
        <v>1607</v>
      </c>
    </row>
    <row r="994" spans="3:20" x14ac:dyDescent="0.25">
      <c r="E994" s="507" t="s">
        <v>1608</v>
      </c>
    </row>
    <row r="995" spans="3:20" x14ac:dyDescent="0.25">
      <c r="E995" s="507" t="s">
        <v>1604</v>
      </c>
      <c r="O995" s="508">
        <v>1950</v>
      </c>
      <c r="P995" s="508">
        <v>0</v>
      </c>
      <c r="Q995" s="508">
        <v>0</v>
      </c>
      <c r="S995" s="508">
        <f>O995-P995+Q995</f>
        <v>1950</v>
      </c>
      <c r="T995" s="507" t="s">
        <v>6</v>
      </c>
    </row>
    <row r="996" spans="3:20" x14ac:dyDescent="0.25">
      <c r="E996" s="507" t="s">
        <v>1605</v>
      </c>
      <c r="N996" s="508">
        <v>1</v>
      </c>
      <c r="O996" s="508">
        <f>S995</f>
        <v>1950</v>
      </c>
      <c r="Q996" s="508">
        <v>1000</v>
      </c>
      <c r="R996" s="508">
        <v>2</v>
      </c>
      <c r="S996" s="508">
        <f>ROUNDUP(N996*O996/Q996*R996,0)</f>
        <v>4</v>
      </c>
      <c r="T996" s="507" t="s">
        <v>22</v>
      </c>
    </row>
    <row r="998" spans="3:20" x14ac:dyDescent="0.25">
      <c r="C998" s="507" t="s">
        <v>1609</v>
      </c>
      <c r="E998" s="507" t="s">
        <v>1610</v>
      </c>
    </row>
    <row r="999" spans="3:20" x14ac:dyDescent="0.25">
      <c r="E999" s="507" t="s">
        <v>1604</v>
      </c>
      <c r="O999" s="508">
        <v>1950</v>
      </c>
      <c r="P999" s="508">
        <v>0</v>
      </c>
      <c r="Q999" s="508">
        <v>0</v>
      </c>
      <c r="S999" s="508">
        <f>O999-P999+Q999</f>
        <v>1950</v>
      </c>
      <c r="T999" s="507" t="s">
        <v>6</v>
      </c>
    </row>
    <row r="1000" spans="3:20" x14ac:dyDescent="0.25">
      <c r="E1000" s="507" t="s">
        <v>1611</v>
      </c>
      <c r="O1000" s="508">
        <f>S999</f>
        <v>1950</v>
      </c>
      <c r="P1000" s="508">
        <v>18</v>
      </c>
      <c r="R1000" s="508">
        <v>3</v>
      </c>
      <c r="S1000" s="508">
        <f>ROUNDUP(O1000/P1000*R1000/10,0)*10</f>
        <v>330</v>
      </c>
      <c r="T1000" s="507" t="s">
        <v>34</v>
      </c>
    </row>
    <row r="1001" spans="3:20" x14ac:dyDescent="0.25">
      <c r="E1001" s="507" t="s">
        <v>1612</v>
      </c>
    </row>
    <row r="1003" spans="3:20" x14ac:dyDescent="0.25">
      <c r="C1003" s="507">
        <v>57.06</v>
      </c>
      <c r="E1003" s="507" t="s">
        <v>1613</v>
      </c>
    </row>
    <row r="1004" spans="3:20" x14ac:dyDescent="0.25">
      <c r="E1004" s="507" t="s">
        <v>1604</v>
      </c>
      <c r="O1004" s="508">
        <v>1950</v>
      </c>
      <c r="P1004" s="508">
        <v>0</v>
      </c>
      <c r="Q1004" s="508">
        <v>0</v>
      </c>
      <c r="S1004" s="508">
        <f>O1004-P1004+Q1004</f>
        <v>1950</v>
      </c>
      <c r="T1004" s="507" t="s">
        <v>6</v>
      </c>
    </row>
    <row r="1005" spans="3:20" x14ac:dyDescent="0.25">
      <c r="E1005" s="507" t="s">
        <v>1614</v>
      </c>
      <c r="O1005" s="508">
        <f>S1004</f>
        <v>1950</v>
      </c>
      <c r="Q1005" s="508">
        <v>3</v>
      </c>
      <c r="R1005" s="508">
        <v>1000</v>
      </c>
      <c r="S1005" s="508">
        <f>ROUNDUP(O1005*Q1005/R1005,0)</f>
        <v>6</v>
      </c>
      <c r="T1005" s="507" t="s">
        <v>22</v>
      </c>
    </row>
    <row r="1014" spans="1:20" ht="13" x14ac:dyDescent="0.3">
      <c r="A1014" s="506" t="s">
        <v>1615</v>
      </c>
      <c r="B1014" s="506" t="str">
        <f>C1014</f>
        <v>5800: Landscaping and planting plants</v>
      </c>
      <c r="C1014" s="515" t="s">
        <v>1615</v>
      </c>
    </row>
    <row r="1016" spans="1:20" x14ac:dyDescent="0.25">
      <c r="C1016" s="507" t="s">
        <v>1616</v>
      </c>
      <c r="E1016" s="507" t="s">
        <v>761</v>
      </c>
    </row>
    <row r="1017" spans="1:20" x14ac:dyDescent="0.25">
      <c r="E1017" s="507" t="s">
        <v>1617</v>
      </c>
      <c r="S1017" s="508">
        <v>0</v>
      </c>
      <c r="T1017" s="507" t="s">
        <v>555</v>
      </c>
    </row>
    <row r="1021" spans="1:20" x14ac:dyDescent="0.25">
      <c r="C1021" s="507" t="s">
        <v>1618</v>
      </c>
      <c r="E1021" s="507" t="s">
        <v>759</v>
      </c>
    </row>
    <row r="1022" spans="1:20" x14ac:dyDescent="0.25">
      <c r="E1022" s="507" t="s">
        <v>1604</v>
      </c>
      <c r="O1022" s="508">
        <v>1950</v>
      </c>
      <c r="P1022" s="508">
        <v>0</v>
      </c>
      <c r="Q1022" s="508">
        <v>0</v>
      </c>
      <c r="S1022" s="508">
        <f>O1022-P1022+Q1022</f>
        <v>1950</v>
      </c>
      <c r="T1022" s="507" t="s">
        <v>6</v>
      </c>
    </row>
    <row r="1023" spans="1:20" x14ac:dyDescent="0.25">
      <c r="E1023" s="507" t="s">
        <v>1619</v>
      </c>
    </row>
    <row r="1024" spans="1:20" x14ac:dyDescent="0.25">
      <c r="E1024" s="507" t="s">
        <v>1620</v>
      </c>
      <c r="O1024" s="508">
        <f>S1022</f>
        <v>1950</v>
      </c>
      <c r="P1024" s="508">
        <v>6</v>
      </c>
      <c r="S1024" s="508">
        <f>O1024*P1024</f>
        <v>11700</v>
      </c>
      <c r="T1024" s="507" t="s">
        <v>555</v>
      </c>
    </row>
    <row r="1028" spans="3:20" x14ac:dyDescent="0.25">
      <c r="C1028" s="507" t="s">
        <v>1621</v>
      </c>
      <c r="E1028" s="507" t="s">
        <v>1622</v>
      </c>
    </row>
    <row r="1029" spans="3:20" x14ac:dyDescent="0.25">
      <c r="E1029" s="507" t="s">
        <v>1604</v>
      </c>
      <c r="O1029" s="508">
        <v>1950</v>
      </c>
      <c r="P1029" s="508">
        <v>0</v>
      </c>
      <c r="Q1029" s="508">
        <v>0</v>
      </c>
      <c r="S1029" s="508">
        <f>O1029-P1029+Q1029</f>
        <v>1950</v>
      </c>
      <c r="T1029" s="507" t="s">
        <v>6</v>
      </c>
    </row>
    <row r="1030" spans="3:20" x14ac:dyDescent="0.25">
      <c r="E1030" s="507" t="s">
        <v>1619</v>
      </c>
    </row>
    <row r="1031" spans="3:20" x14ac:dyDescent="0.25">
      <c r="E1031" s="507" t="s">
        <v>1623</v>
      </c>
      <c r="O1031" s="508">
        <f>S1029</f>
        <v>1950</v>
      </c>
      <c r="P1031" s="508">
        <v>6</v>
      </c>
      <c r="Q1031" s="508">
        <v>7.4999999999999997E-2</v>
      </c>
      <c r="S1031" s="508">
        <f>ROUNDUP(O1031*P1031*Q1031/10,0)*10</f>
        <v>880</v>
      </c>
      <c r="T1031" s="507" t="s">
        <v>799</v>
      </c>
    </row>
    <row r="1033" spans="3:20" x14ac:dyDescent="0.25">
      <c r="C1033" s="507" t="s">
        <v>1624</v>
      </c>
      <c r="E1033" s="507" t="s">
        <v>1625</v>
      </c>
    </row>
    <row r="1034" spans="3:20" x14ac:dyDescent="0.25">
      <c r="E1034" s="507" t="s">
        <v>1604</v>
      </c>
      <c r="O1034" s="508">
        <v>1950</v>
      </c>
      <c r="P1034" s="508">
        <v>0</v>
      </c>
      <c r="Q1034" s="508">
        <v>0</v>
      </c>
      <c r="S1034" s="508">
        <f>O1034-P1034+Q1034</f>
        <v>1950</v>
      </c>
      <c r="T1034" s="507" t="s">
        <v>6</v>
      </c>
    </row>
    <row r="1035" spans="3:20" x14ac:dyDescent="0.25">
      <c r="E1035" s="507" t="s">
        <v>1619</v>
      </c>
    </row>
    <row r="1036" spans="3:20" x14ac:dyDescent="0.25">
      <c r="E1036" s="507" t="s">
        <v>1620</v>
      </c>
      <c r="I1036" s="507" t="s">
        <v>1626</v>
      </c>
      <c r="O1036" s="508">
        <f>S1034</f>
        <v>1950</v>
      </c>
      <c r="P1036" s="508">
        <v>6</v>
      </c>
      <c r="Q1036" s="516">
        <v>0.5</v>
      </c>
      <c r="S1036" s="508">
        <f>O1036*P1036*Q1036</f>
        <v>5850</v>
      </c>
      <c r="T1036" s="507" t="s">
        <v>555</v>
      </c>
    </row>
    <row r="1038" spans="3:20" x14ac:dyDescent="0.25">
      <c r="C1038" s="507">
        <v>58.06</v>
      </c>
      <c r="E1038" s="507" t="s">
        <v>1627</v>
      </c>
    </row>
    <row r="1039" spans="3:20" x14ac:dyDescent="0.25">
      <c r="E1039" s="507" t="s">
        <v>1628</v>
      </c>
      <c r="N1039" s="508">
        <v>22</v>
      </c>
      <c r="O1039" s="508">
        <v>3</v>
      </c>
      <c r="P1039" s="508">
        <v>3</v>
      </c>
      <c r="Q1039" s="508">
        <v>10000</v>
      </c>
      <c r="R1039" s="508">
        <v>1000</v>
      </c>
      <c r="S1039" s="508">
        <f>N1039*O1039*P1039*Q1039/R1039</f>
        <v>1980</v>
      </c>
      <c r="T1039" s="507" t="s">
        <v>25</v>
      </c>
    </row>
    <row r="1049" spans="1:3" ht="13" x14ac:dyDescent="0.3">
      <c r="A1049" s="506" t="s">
        <v>1629</v>
      </c>
      <c r="B1049" s="506" t="str">
        <f>C1049</f>
        <v>5900: Finishing the road and ro~d reserve and treating old roads</v>
      </c>
      <c r="C1049" s="515" t="s">
        <v>1629</v>
      </c>
    </row>
    <row r="1058" spans="1:3" ht="13" x14ac:dyDescent="0.3">
      <c r="A1058" s="506" t="s">
        <v>1630</v>
      </c>
      <c r="B1058" s="506" t="str">
        <f>C1058</f>
        <v>6100: Foundations for structures</v>
      </c>
      <c r="C1058" s="515" t="s">
        <v>1630</v>
      </c>
    </row>
    <row r="1089" spans="1:3" ht="13" x14ac:dyDescent="0.3">
      <c r="A1089" s="506" t="s">
        <v>1631</v>
      </c>
      <c r="B1089" s="506" t="str">
        <f>C1089</f>
        <v>6200: Falsework, formwork and concrete finish</v>
      </c>
      <c r="C1089" s="515" t="s">
        <v>1631</v>
      </c>
    </row>
    <row r="1119" spans="1:3" ht="13" x14ac:dyDescent="0.3">
      <c r="A1119" s="506" t="s">
        <v>1632</v>
      </c>
      <c r="B1119" s="506" t="str">
        <f>C1119</f>
        <v>6300: Steel reinforcement for structures</v>
      </c>
      <c r="C1119" s="515" t="s">
        <v>1632</v>
      </c>
    </row>
    <row r="1147" spans="1:3" ht="13" x14ac:dyDescent="0.3">
      <c r="A1147" s="506" t="s">
        <v>1633</v>
      </c>
      <c r="B1147" s="506" t="str">
        <f>C1147</f>
        <v>6400: Concrete for structures</v>
      </c>
      <c r="C1147" s="515" t="s">
        <v>1633</v>
      </c>
    </row>
    <row r="1176" spans="1:3" ht="13" x14ac:dyDescent="0.3">
      <c r="A1176" s="506" t="s">
        <v>1634</v>
      </c>
      <c r="B1176" s="506" t="str">
        <f>C1176</f>
        <v>6500: Prestressing</v>
      </c>
      <c r="C1176" s="515" t="s">
        <v>1634</v>
      </c>
    </row>
    <row r="1205" spans="1:3" ht="13" x14ac:dyDescent="0.3">
      <c r="A1205" s="506" t="s">
        <v>1635</v>
      </c>
      <c r="B1205" s="506" t="str">
        <f>C1205</f>
        <v>6600: No-fines concrete, joints, bearings, bolt groups for electrification, and parapets
and drainage for structures</v>
      </c>
      <c r="C1205" s="543" t="s">
        <v>1635</v>
      </c>
    </row>
    <row r="1235" spans="1:3" ht="13" x14ac:dyDescent="0.3">
      <c r="A1235" s="506" t="s">
        <v>1636</v>
      </c>
      <c r="B1235" s="506" t="str">
        <f>C1235</f>
        <v>6700: Structural steelwork</v>
      </c>
      <c r="C1235" s="515" t="s">
        <v>1636</v>
      </c>
    </row>
    <row r="1266" spans="1:20" ht="13" x14ac:dyDescent="0.3">
      <c r="A1266" s="506" t="s">
        <v>1637</v>
      </c>
      <c r="B1266" s="506" t="str">
        <f>C1266</f>
        <v>6800: Construction tolerances for structures</v>
      </c>
      <c r="C1266" s="515" t="s">
        <v>1637</v>
      </c>
    </row>
    <row r="1269" spans="1:20" ht="13" x14ac:dyDescent="0.3">
      <c r="A1269" s="506" t="s">
        <v>1638</v>
      </c>
      <c r="B1269" s="506" t="str">
        <f>C1269</f>
        <v>7100: Concrete pavements</v>
      </c>
      <c r="C1269" s="515" t="s">
        <v>1638</v>
      </c>
    </row>
    <row r="1272" spans="1:20" ht="13" x14ac:dyDescent="0.3">
      <c r="A1272" s="506" t="s">
        <v>1639</v>
      </c>
      <c r="B1272" s="506" t="str">
        <f>C1272</f>
        <v>7200: Reinforced earth</v>
      </c>
      <c r="C1272" s="515" t="s">
        <v>1639</v>
      </c>
    </row>
    <row r="1275" spans="1:20" ht="13" x14ac:dyDescent="0.3">
      <c r="A1275" s="506" t="s">
        <v>1640</v>
      </c>
      <c r="B1275" s="506" t="str">
        <f>C1275</f>
        <v>7300: Concrete block paving for roads</v>
      </c>
      <c r="C1275" s="515" t="s">
        <v>1640</v>
      </c>
    </row>
    <row r="1277" spans="1:20" x14ac:dyDescent="0.25">
      <c r="A1277" s="507"/>
      <c r="B1277" s="507"/>
      <c r="M1277" s="507"/>
      <c r="N1277" s="507"/>
      <c r="O1277" s="507"/>
      <c r="P1277" s="507"/>
      <c r="Q1277" s="507"/>
      <c r="R1277" s="507"/>
      <c r="S1277" s="507"/>
    </row>
    <row r="1278" spans="1:20" x14ac:dyDescent="0.25">
      <c r="A1278" s="507"/>
      <c r="B1278" s="507"/>
      <c r="C1278" s="507" t="s">
        <v>1641</v>
      </c>
      <c r="D1278" s="507" t="s">
        <v>1642</v>
      </c>
      <c r="M1278" s="507"/>
      <c r="N1278" s="507"/>
      <c r="O1278" s="507"/>
      <c r="P1278" s="507"/>
      <c r="Q1278" s="507"/>
      <c r="R1278" s="507"/>
      <c r="S1278" s="507"/>
    </row>
    <row r="1279" spans="1:20" x14ac:dyDescent="0.25">
      <c r="A1279" s="507"/>
      <c r="B1279" s="507"/>
      <c r="M1279" s="507"/>
      <c r="N1279" s="507" t="s">
        <v>1643</v>
      </c>
      <c r="O1279" s="507"/>
      <c r="P1279" s="507"/>
      <c r="Q1279" s="507"/>
      <c r="R1279" s="507"/>
      <c r="S1279" s="507"/>
    </row>
    <row r="1280" spans="1:20" x14ac:dyDescent="0.25">
      <c r="A1280" s="507"/>
      <c r="B1280" s="507"/>
      <c r="C1280" s="507" t="s">
        <v>39</v>
      </c>
      <c r="D1280" s="507" t="s">
        <v>1644</v>
      </c>
      <c r="M1280" s="507"/>
      <c r="N1280" s="507">
        <v>1</v>
      </c>
      <c r="O1280" s="507">
        <v>1950</v>
      </c>
      <c r="P1280" s="507">
        <v>2</v>
      </c>
      <c r="Q1280" s="507"/>
      <c r="R1280" s="507"/>
      <c r="S1280" s="535">
        <f>N1280*O1280*P1280</f>
        <v>3900</v>
      </c>
      <c r="T1280" s="507" t="s">
        <v>555</v>
      </c>
    </row>
    <row r="1281" spans="1:20" x14ac:dyDescent="0.25">
      <c r="A1281" s="507"/>
      <c r="B1281" s="507"/>
      <c r="D1281" s="507" t="s">
        <v>1645</v>
      </c>
      <c r="M1281" s="507"/>
      <c r="N1281" s="507"/>
      <c r="O1281" s="507"/>
      <c r="P1281" s="507"/>
      <c r="Q1281" s="507"/>
      <c r="R1281" s="507"/>
      <c r="S1281" s="507"/>
    </row>
    <row r="1282" spans="1:20" x14ac:dyDescent="0.25">
      <c r="A1282" s="507"/>
      <c r="B1282" s="507"/>
      <c r="M1282" s="507"/>
      <c r="N1282" s="507" t="s">
        <v>1643</v>
      </c>
      <c r="O1282" s="507"/>
      <c r="P1282" s="507"/>
      <c r="Q1282" s="507"/>
      <c r="R1282" s="507"/>
      <c r="S1282" s="507"/>
    </row>
    <row r="1283" spans="1:20" x14ac:dyDescent="0.25">
      <c r="A1283" s="507"/>
      <c r="B1283" s="507"/>
      <c r="C1283" s="507" t="s">
        <v>41</v>
      </c>
      <c r="D1283" s="507" t="s">
        <v>1646</v>
      </c>
      <c r="M1283" s="507"/>
      <c r="N1283" s="507">
        <v>1</v>
      </c>
      <c r="O1283" s="507">
        <v>1950</v>
      </c>
      <c r="P1283" s="507">
        <v>3</v>
      </c>
      <c r="Q1283" s="507"/>
      <c r="R1283" s="507"/>
      <c r="S1283" s="535">
        <f>N1283*O1283*P1283</f>
        <v>5850</v>
      </c>
      <c r="T1283" s="507" t="s">
        <v>555</v>
      </c>
    </row>
    <row r="1284" spans="1:20" x14ac:dyDescent="0.25">
      <c r="A1284" s="507"/>
      <c r="B1284" s="507"/>
      <c r="D1284" s="507" t="s">
        <v>1647</v>
      </c>
      <c r="M1284" s="507"/>
      <c r="N1284" s="507"/>
      <c r="O1284" s="507"/>
      <c r="P1284" s="507"/>
      <c r="Q1284" s="507"/>
      <c r="R1284" s="507"/>
      <c r="S1284" s="507"/>
    </row>
    <row r="1285" spans="1:20" x14ac:dyDescent="0.25">
      <c r="A1285" s="507"/>
      <c r="B1285" s="507"/>
      <c r="M1285" s="507"/>
      <c r="N1285" s="507"/>
      <c r="O1285" s="507"/>
      <c r="P1285" s="507"/>
      <c r="Q1285" s="507"/>
      <c r="R1285" s="507"/>
      <c r="S1285" s="507"/>
    </row>
    <row r="1286" spans="1:20" x14ac:dyDescent="0.25">
      <c r="A1286" s="507"/>
      <c r="B1286" s="507"/>
      <c r="M1286" s="507"/>
      <c r="N1286" s="507"/>
      <c r="O1286" s="507"/>
      <c r="P1286" s="507" t="s">
        <v>1648</v>
      </c>
      <c r="Q1286" s="507"/>
      <c r="R1286" s="507"/>
      <c r="S1286" s="507"/>
    </row>
    <row r="1287" spans="1:20" x14ac:dyDescent="0.25">
      <c r="A1287" s="507"/>
      <c r="B1287" s="507"/>
      <c r="M1287" s="507"/>
      <c r="N1287" s="507"/>
      <c r="O1287" s="507"/>
      <c r="P1287" s="507" t="s">
        <v>1649</v>
      </c>
      <c r="Q1287" s="508">
        <v>115</v>
      </c>
      <c r="R1287" s="507"/>
      <c r="S1287" s="507"/>
    </row>
    <row r="1288" spans="1:20" x14ac:dyDescent="0.25">
      <c r="A1288" s="507"/>
      <c r="B1288" s="507"/>
      <c r="E1288" s="507" t="s">
        <v>1650</v>
      </c>
      <c r="M1288" s="507"/>
      <c r="N1288" s="507"/>
      <c r="O1288" s="507"/>
      <c r="P1288" s="507" t="s">
        <v>1651</v>
      </c>
      <c r="Q1288" s="507">
        <f>ROUND(2650/200/1.15,2)</f>
        <v>11.52</v>
      </c>
      <c r="R1288" s="507"/>
      <c r="S1288" s="507"/>
    </row>
    <row r="1289" spans="1:20" x14ac:dyDescent="0.25">
      <c r="A1289" s="507"/>
      <c r="B1289" s="507"/>
      <c r="D1289" s="507">
        <v>200</v>
      </c>
      <c r="E1289" s="507">
        <v>1600</v>
      </c>
      <c r="G1289" s="507">
        <v>200</v>
      </c>
      <c r="M1289" s="507"/>
      <c r="N1289" s="507"/>
      <c r="O1289" s="507"/>
      <c r="P1289" s="507" t="s">
        <v>1652</v>
      </c>
      <c r="Q1289" s="507">
        <f>ROUND(140/1.15,2)</f>
        <v>121.74</v>
      </c>
      <c r="R1289" s="507"/>
      <c r="S1289" s="507"/>
    </row>
    <row r="1290" spans="1:20" ht="13" x14ac:dyDescent="0.3">
      <c r="A1290" s="507"/>
      <c r="B1290" s="507"/>
      <c r="C1290" s="507">
        <v>200</v>
      </c>
      <c r="D1290" s="544"/>
      <c r="E1290" s="545"/>
      <c r="F1290" s="545"/>
      <c r="G1290" s="546"/>
      <c r="M1290" s="507"/>
      <c r="N1290" s="507"/>
      <c r="O1290" s="507"/>
      <c r="P1290" s="524" t="s">
        <v>1653</v>
      </c>
      <c r="Q1290" s="524">
        <f>ROUND(15200/40/1.15,2)</f>
        <v>330.43</v>
      </c>
      <c r="R1290" s="524" t="s">
        <v>1654</v>
      </c>
      <c r="S1290" s="507"/>
    </row>
    <row r="1291" spans="1:20" x14ac:dyDescent="0.25">
      <c r="A1291" s="507"/>
      <c r="B1291" s="507"/>
      <c r="D1291" s="547"/>
      <c r="E1291" s="548"/>
      <c r="F1291" s="549"/>
      <c r="G1291" s="550"/>
      <c r="M1291" s="507"/>
      <c r="N1291" s="507"/>
      <c r="O1291" s="507"/>
      <c r="P1291" s="507" t="s">
        <v>1653</v>
      </c>
      <c r="Q1291" s="507">
        <f>ROUND(Q1290*0.025,2)</f>
        <v>8.26</v>
      </c>
      <c r="R1291" s="507" t="s">
        <v>555</v>
      </c>
      <c r="S1291" s="507"/>
    </row>
    <row r="1292" spans="1:20" x14ac:dyDescent="0.25">
      <c r="A1292" s="507"/>
      <c r="B1292" s="507"/>
      <c r="D1292" s="547"/>
      <c r="E1292" s="551"/>
      <c r="F1292" s="552"/>
      <c r="G1292" s="550"/>
      <c r="M1292" s="507"/>
      <c r="N1292" s="507"/>
      <c r="O1292" s="507"/>
      <c r="P1292" s="507" t="s">
        <v>1655</v>
      </c>
      <c r="Q1292" s="508">
        <f>Q1287+Q1288+Q1289+Q1291</f>
        <v>256.52</v>
      </c>
      <c r="R1292" s="507"/>
      <c r="S1292" s="507"/>
    </row>
    <row r="1293" spans="1:20" x14ac:dyDescent="0.25">
      <c r="A1293" s="507"/>
      <c r="B1293" s="507"/>
      <c r="D1293" s="547"/>
      <c r="E1293" s="551"/>
      <c r="F1293" s="552"/>
      <c r="G1293" s="550"/>
      <c r="M1293" s="507"/>
      <c r="N1293" s="507"/>
      <c r="O1293" s="507"/>
      <c r="P1293" s="507" t="s">
        <v>1656</v>
      </c>
      <c r="Q1293" s="531">
        <v>0.15</v>
      </c>
      <c r="R1293" s="507"/>
      <c r="S1293" s="507"/>
    </row>
    <row r="1294" spans="1:20" x14ac:dyDescent="0.25">
      <c r="A1294" s="507"/>
      <c r="B1294" s="507"/>
      <c r="D1294" s="547"/>
      <c r="E1294" s="551"/>
      <c r="F1294" s="552"/>
      <c r="G1294" s="550"/>
      <c r="M1294" s="507"/>
      <c r="N1294" s="507"/>
      <c r="O1294" s="507"/>
      <c r="P1294" s="507" t="s">
        <v>1657</v>
      </c>
      <c r="Q1294" s="508">
        <f>ROUND(Q1292*(1+Q1293),2)</f>
        <v>295</v>
      </c>
      <c r="R1294" s="537" t="s">
        <v>1658</v>
      </c>
      <c r="S1294" s="507"/>
    </row>
    <row r="1295" spans="1:20" x14ac:dyDescent="0.25">
      <c r="A1295" s="507"/>
      <c r="B1295" s="507"/>
      <c r="D1295" s="547"/>
      <c r="E1295" s="551"/>
      <c r="F1295" s="552"/>
      <c r="G1295" s="550"/>
      <c r="M1295" s="507"/>
      <c r="N1295" s="507"/>
      <c r="O1295" s="507"/>
      <c r="P1295" s="507"/>
      <c r="Q1295" s="507"/>
      <c r="R1295" s="507"/>
      <c r="S1295" s="507"/>
    </row>
    <row r="1296" spans="1:20" x14ac:dyDescent="0.25">
      <c r="A1296" s="507"/>
      <c r="B1296" s="507"/>
      <c r="D1296" s="547"/>
      <c r="E1296" s="551"/>
      <c r="F1296" s="552"/>
      <c r="G1296" s="550"/>
      <c r="I1296" s="507" t="s">
        <v>1659</v>
      </c>
      <c r="M1296" s="507"/>
      <c r="N1296" s="507"/>
      <c r="O1296" s="507"/>
      <c r="P1296" s="507"/>
      <c r="Q1296" s="507"/>
      <c r="R1296" s="507"/>
      <c r="S1296" s="507"/>
    </row>
    <row r="1297" spans="2:14" s="507" customFormat="1" x14ac:dyDescent="0.25">
      <c r="D1297" s="547"/>
      <c r="E1297" s="551"/>
      <c r="F1297" s="552"/>
      <c r="G1297" s="550"/>
    </row>
    <row r="1298" spans="2:14" s="507" customFormat="1" x14ac:dyDescent="0.25">
      <c r="D1298" s="547"/>
      <c r="E1298" s="551"/>
      <c r="F1298" s="552"/>
      <c r="G1298" s="550"/>
    </row>
    <row r="1299" spans="2:14" s="507" customFormat="1" x14ac:dyDescent="0.25">
      <c r="D1299" s="547"/>
      <c r="E1299" s="551"/>
      <c r="F1299" s="552"/>
      <c r="G1299" s="550"/>
    </row>
    <row r="1300" spans="2:14" s="507" customFormat="1" x14ac:dyDescent="0.25">
      <c r="D1300" s="547"/>
      <c r="E1300" s="551"/>
      <c r="F1300" s="552"/>
      <c r="G1300" s="550"/>
    </row>
    <row r="1301" spans="2:14" s="507" customFormat="1" x14ac:dyDescent="0.25">
      <c r="D1301" s="547"/>
      <c r="E1301" s="553"/>
      <c r="F1301" s="554"/>
      <c r="G1301" s="550"/>
    </row>
    <row r="1302" spans="2:14" s="507" customFormat="1" x14ac:dyDescent="0.25">
      <c r="C1302" s="507">
        <v>200</v>
      </c>
      <c r="D1302" s="555"/>
      <c r="E1302" s="556"/>
      <c r="F1302" s="556"/>
      <c r="G1302" s="557"/>
    </row>
    <row r="1303" spans="2:14" s="507" customFormat="1" x14ac:dyDescent="0.25"/>
    <row r="1304" spans="2:14" s="507" customFormat="1" x14ac:dyDescent="0.25"/>
    <row r="1305" spans="2:14" s="507" customFormat="1" x14ac:dyDescent="0.25">
      <c r="B1305" s="506"/>
      <c r="C1305" s="511" t="s">
        <v>1660</v>
      </c>
      <c r="F1305" s="507" t="s">
        <v>1661</v>
      </c>
      <c r="H1305" s="507">
        <v>2</v>
      </c>
      <c r="I1305" s="507">
        <v>0.2</v>
      </c>
      <c r="J1305" s="507">
        <v>5</v>
      </c>
      <c r="K1305" s="507">
        <f>H1305*I1305*J1305</f>
        <v>2</v>
      </c>
    </row>
    <row r="1306" spans="2:14" s="507" customFormat="1" x14ac:dyDescent="0.25">
      <c r="B1306" s="506"/>
      <c r="C1306" s="511" t="str">
        <f>E1288</f>
        <v>2,0 m wide cycle lanes</v>
      </c>
      <c r="H1306" s="507">
        <v>1</v>
      </c>
      <c r="I1306" s="507">
        <v>2</v>
      </c>
      <c r="J1306" s="507">
        <v>0.2</v>
      </c>
      <c r="K1306" s="507">
        <f>H1306*I1306*J1306</f>
        <v>0.4</v>
      </c>
    </row>
    <row r="1307" spans="2:14" s="507" customFormat="1" x14ac:dyDescent="0.25">
      <c r="B1307" s="506"/>
      <c r="C1307" s="511"/>
      <c r="K1307" s="507">
        <f>SUM(K1305:K1306)</f>
        <v>2.4</v>
      </c>
    </row>
    <row r="1308" spans="2:14" s="507" customFormat="1" x14ac:dyDescent="0.25">
      <c r="B1308" s="506"/>
      <c r="C1308" s="511"/>
      <c r="F1308" s="507" t="s">
        <v>1662</v>
      </c>
      <c r="H1308" s="507">
        <v>1</v>
      </c>
      <c r="I1308" s="507">
        <v>1.6</v>
      </c>
      <c r="J1308" s="507">
        <v>4.8</v>
      </c>
      <c r="K1308" s="507">
        <f>H1308*I1308*J1308</f>
        <v>7.68</v>
      </c>
      <c r="M1308" s="507">
        <f>K1308/K1307</f>
        <v>3.2</v>
      </c>
      <c r="N1308" s="537" t="s">
        <v>1663</v>
      </c>
    </row>
    <row r="1309" spans="2:14" s="507" customFormat="1" x14ac:dyDescent="0.25">
      <c r="B1309" s="506"/>
      <c r="C1309" s="511"/>
    </row>
    <row r="1310" spans="2:14" s="507" customFormat="1" x14ac:dyDescent="0.25">
      <c r="B1310" s="506"/>
      <c r="C1310" s="511" t="s">
        <v>1660</v>
      </c>
      <c r="F1310" s="507" t="s">
        <v>1661</v>
      </c>
      <c r="H1310" s="507">
        <v>2</v>
      </c>
      <c r="I1310" s="507">
        <v>0.2</v>
      </c>
      <c r="J1310" s="507">
        <v>5</v>
      </c>
      <c r="K1310" s="507">
        <f>H1310*I1310*J1310</f>
        <v>2</v>
      </c>
    </row>
    <row r="1311" spans="2:14" s="507" customFormat="1" x14ac:dyDescent="0.25">
      <c r="B1311" s="506"/>
      <c r="C1311" s="511" t="s">
        <v>1664</v>
      </c>
      <c r="H1311" s="507">
        <v>1</v>
      </c>
      <c r="I1311" s="507">
        <v>3</v>
      </c>
      <c r="J1311" s="507">
        <v>0.2</v>
      </c>
      <c r="K1311" s="507">
        <f>H1311*I1311*J1311</f>
        <v>0.60000000000000009</v>
      </c>
    </row>
    <row r="1312" spans="2:14" s="507" customFormat="1" x14ac:dyDescent="0.25">
      <c r="K1312" s="507">
        <f>SUM(K1310:K1311)</f>
        <v>2.6</v>
      </c>
    </row>
    <row r="1313" spans="1:19" x14ac:dyDescent="0.25">
      <c r="A1313" s="507"/>
      <c r="B1313" s="507"/>
      <c r="F1313" s="507" t="s">
        <v>1662</v>
      </c>
      <c r="H1313" s="507">
        <v>1</v>
      </c>
      <c r="I1313" s="507">
        <f>1.6+1</f>
        <v>2.6</v>
      </c>
      <c r="J1313" s="507">
        <v>4.8</v>
      </c>
      <c r="K1313" s="507">
        <f>H1313*I1313*J1313</f>
        <v>12.48</v>
      </c>
      <c r="M1313" s="507">
        <f>K1313/K1312</f>
        <v>4.8</v>
      </c>
      <c r="N1313" s="537" t="s">
        <v>1663</v>
      </c>
      <c r="O1313" s="507"/>
      <c r="P1313" s="507"/>
      <c r="Q1313" s="507"/>
      <c r="R1313" s="507"/>
      <c r="S1313" s="507"/>
    </row>
    <row r="1327" spans="1:19" ht="13" x14ac:dyDescent="0.3">
      <c r="A1327" s="506" t="s">
        <v>1665</v>
      </c>
      <c r="B1327" s="506" t="str">
        <f>C1327</f>
        <v>7400: Patented earth retaining systems</v>
      </c>
      <c r="C1327" s="515" t="s">
        <v>1665</v>
      </c>
    </row>
    <row r="1330" spans="1:20" ht="13" x14ac:dyDescent="0.3">
      <c r="A1330" s="506" t="s">
        <v>1666</v>
      </c>
      <c r="B1330" s="506" t="str">
        <f>C1330</f>
        <v>7500: Ground anchors</v>
      </c>
      <c r="C1330" s="515" t="s">
        <v>1666</v>
      </c>
    </row>
    <row r="1333" spans="1:20" ht="13" x14ac:dyDescent="0.3">
      <c r="A1333" s="506" t="s">
        <v>1667</v>
      </c>
      <c r="B1333" s="506" t="str">
        <f>C1333</f>
        <v>8100: Testing material and workmanship</v>
      </c>
      <c r="C1333" s="515" t="s">
        <v>1667</v>
      </c>
    </row>
    <row r="1335" spans="1:20" x14ac:dyDescent="0.25">
      <c r="C1335" s="507" t="s">
        <v>1668</v>
      </c>
      <c r="D1335" s="507" t="s">
        <v>1669</v>
      </c>
    </row>
    <row r="1336" spans="1:20" x14ac:dyDescent="0.25">
      <c r="D1336" s="507" t="s">
        <v>1670</v>
      </c>
    </row>
    <row r="1337" spans="1:20" ht="13" x14ac:dyDescent="0.3">
      <c r="E1337" s="507" t="s">
        <v>1671</v>
      </c>
      <c r="Q1337" s="508">
        <v>250000</v>
      </c>
      <c r="R1337" s="508">
        <f>_ContractPeriod</f>
        <v>22</v>
      </c>
      <c r="S1337" s="517">
        <f>Q1337*R1337</f>
        <v>5500000</v>
      </c>
      <c r="T1337" s="518" t="s">
        <v>1159</v>
      </c>
    </row>
    <row r="1341" spans="1:20" ht="13" x14ac:dyDescent="0.3">
      <c r="A1341" s="506" t="s">
        <v>1672</v>
      </c>
      <c r="B1341" s="506" t="str">
        <f>C1341</f>
        <v>8200: Quality control (Scheme 1)</v>
      </c>
      <c r="C1341" s="515" t="s">
        <v>1672</v>
      </c>
    </row>
    <row r="1342" spans="1:20" ht="13" x14ac:dyDescent="0.3">
      <c r="A1342" s="506" t="s">
        <v>1673</v>
      </c>
      <c r="B1342" s="506" t="str">
        <f>C1342</f>
        <v>8300: Quality control (Scheme 2)</v>
      </c>
      <c r="C1342" s="515" t="s">
        <v>1673</v>
      </c>
    </row>
    <row r="1343" spans="1:20" ht="13" x14ac:dyDescent="0.3">
      <c r="A1343" s="506" t="s">
        <v>1674</v>
      </c>
      <c r="B1343" s="506" t="str">
        <f>C1343</f>
        <v>8400: Painting</v>
      </c>
      <c r="C1343" s="515" t="s">
        <v>1674</v>
      </c>
    </row>
  </sheetData>
  <conditionalFormatting sqref="G43:G44">
    <cfRule type="cellIs" dxfId="84" priority="1" operator="equal">
      <formula>"Community"</formula>
    </cfRule>
    <cfRule type="cellIs" dxfId="83" priority="2" operator="equal">
      <formula>"Electricity"</formula>
    </cfRule>
    <cfRule type="cellIs" dxfId="82" priority="3" operator="equal">
      <formula>"Water"</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70C0"/>
  </sheetPr>
  <dimension ref="A1:N209"/>
  <sheetViews>
    <sheetView view="pageBreakPreview" zoomScale="90" zoomScaleNormal="100" zoomScaleSheetLayoutView="90" zoomScalePageLayoutView="125" workbookViewId="0">
      <pane ySplit="2" topLeftCell="A3" activePane="bottomLeft" state="frozen"/>
      <selection activeCell="G24" sqref="G24"/>
      <selection pane="bottomLeft" activeCell="G14" sqref="G14"/>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6.5429687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2</v>
      </c>
      <c r="H1" s="247">
        <f>MAX(H2:H209)</f>
        <v>0</v>
      </c>
      <c r="I1" s="247">
        <f>MAX(I2:I216)</f>
        <v>0</v>
      </c>
      <c r="J1" s="248"/>
      <c r="K1" s="249"/>
      <c r="L1" s="417">
        <f>MAX(L2:L209)</f>
        <v>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1" t="str">
        <f>"CHAPTER "&amp;B12</f>
        <v>CHAPTER C1.5</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ht="12.75" customHeight="1" x14ac:dyDescent="0.25">
      <c r="B11" s="58"/>
      <c r="C11" s="65"/>
      <c r="D11" s="15"/>
      <c r="E11" s="15"/>
      <c r="F11" s="15"/>
      <c r="G11" s="411"/>
      <c r="H11" s="17" t="str">
        <f t="shared" ref="H11:H65" si="0">IF(D11="","",F11*G11)</f>
        <v/>
      </c>
      <c r="I11" s="18"/>
      <c r="J11" s="61"/>
      <c r="K11" s="399"/>
      <c r="L11" s="420" t="str">
        <f t="shared" ref="L11" si="1">IF(J11="","",F11*K11)</f>
        <v/>
      </c>
      <c r="M11" s="401" t="str">
        <f t="shared" ref="M11" si="2">IF(J11="","",IF(SUM(H11)=0,"",L11/H11))</f>
        <v/>
      </c>
    </row>
    <row r="12" spans="1:14" ht="13" x14ac:dyDescent="0.25">
      <c r="B12" s="146" t="s">
        <v>1064</v>
      </c>
      <c r="C12" s="672" t="s">
        <v>134</v>
      </c>
      <c r="D12" s="15"/>
      <c r="E12" s="15"/>
      <c r="F12" s="15"/>
      <c r="G12" s="411"/>
      <c r="H12" s="17" t="str">
        <f t="shared" si="0"/>
        <v/>
      </c>
      <c r="I12" s="40"/>
      <c r="J12" s="61"/>
      <c r="K12" s="399"/>
      <c r="L12" s="420" t="str">
        <f t="shared" ref="L12:L65" si="3">IF(J12="","",F12*K12)</f>
        <v/>
      </c>
      <c r="M12" s="401" t="str">
        <f t="shared" ref="M12:M66" si="4">IF(J12="","",IF(SUM(H12)=0,"",L12/H12))</f>
        <v/>
      </c>
    </row>
    <row r="13" spans="1:14" x14ac:dyDescent="0.25">
      <c r="B13" s="58"/>
      <c r="C13" s="65"/>
      <c r="D13" s="15"/>
      <c r="E13" s="15"/>
      <c r="F13" s="15"/>
      <c r="G13" s="411"/>
      <c r="H13" s="17" t="str">
        <f t="shared" si="0"/>
        <v/>
      </c>
      <c r="I13" s="40"/>
      <c r="J13" s="61"/>
      <c r="K13" s="399"/>
      <c r="L13" s="420" t="str">
        <f t="shared" si="3"/>
        <v/>
      </c>
      <c r="M13" s="401" t="str">
        <f t="shared" si="4"/>
        <v/>
      </c>
    </row>
    <row r="14" spans="1:14" ht="13" x14ac:dyDescent="0.25">
      <c r="B14" s="146" t="s">
        <v>1875</v>
      </c>
      <c r="C14" s="789" t="s">
        <v>136</v>
      </c>
      <c r="D14" s="15" t="s">
        <v>18</v>
      </c>
      <c r="E14" s="15"/>
      <c r="F14" s="647">
        <f>_ContractPeriod-1</f>
        <v>21</v>
      </c>
      <c r="G14" s="421"/>
      <c r="H14" s="743">
        <f t="shared" si="0"/>
        <v>0</v>
      </c>
      <c r="J14" s="61" t="s">
        <v>1721</v>
      </c>
      <c r="K14" s="399">
        <f>IF(D14="","",ROUND(12%*G14,1))</f>
        <v>0</v>
      </c>
      <c r="L14" s="420">
        <f t="shared" si="3"/>
        <v>0</v>
      </c>
      <c r="M14" s="401" t="str">
        <f t="shared" si="4"/>
        <v/>
      </c>
    </row>
    <row r="15" spans="1:14" x14ac:dyDescent="0.25">
      <c r="B15" s="58"/>
      <c r="C15" s="70"/>
      <c r="D15" s="15"/>
      <c r="E15" s="15"/>
      <c r="F15" s="24"/>
      <c r="G15" s="423"/>
      <c r="H15" s="17" t="str">
        <f t="shared" si="0"/>
        <v/>
      </c>
      <c r="J15" s="61"/>
      <c r="K15" s="399"/>
      <c r="L15" s="420" t="str">
        <f t="shared" si="3"/>
        <v/>
      </c>
      <c r="M15" s="401" t="str">
        <f t="shared" si="4"/>
        <v/>
      </c>
    </row>
    <row r="16" spans="1:14" ht="13" x14ac:dyDescent="0.25">
      <c r="B16" s="146" t="s">
        <v>137</v>
      </c>
      <c r="C16" s="672" t="s">
        <v>138</v>
      </c>
      <c r="D16" s="391"/>
      <c r="E16" s="391"/>
      <c r="F16" s="394"/>
      <c r="G16" s="497"/>
      <c r="H16" s="389" t="str">
        <f t="shared" si="0"/>
        <v/>
      </c>
      <c r="J16" s="61"/>
      <c r="K16" s="399"/>
      <c r="L16" s="420" t="str">
        <f t="shared" si="3"/>
        <v/>
      </c>
      <c r="M16" s="401" t="str">
        <f t="shared" si="4"/>
        <v/>
      </c>
    </row>
    <row r="17" spans="2:13" x14ac:dyDescent="0.25">
      <c r="B17" s="58"/>
      <c r="C17" s="786"/>
      <c r="D17" s="15"/>
      <c r="E17" s="15"/>
      <c r="F17" s="24"/>
      <c r="G17" s="423"/>
      <c r="H17" s="17" t="str">
        <f t="shared" si="0"/>
        <v/>
      </c>
      <c r="J17" s="61"/>
      <c r="K17" s="399"/>
      <c r="L17" s="420" t="str">
        <f t="shared" si="3"/>
        <v/>
      </c>
      <c r="M17" s="401" t="str">
        <f t="shared" si="4"/>
        <v/>
      </c>
    </row>
    <row r="18" spans="2:13" ht="25" x14ac:dyDescent="0.25">
      <c r="B18" s="58" t="s">
        <v>1927</v>
      </c>
      <c r="C18" s="65" t="s">
        <v>224</v>
      </c>
      <c r="D18" s="15"/>
      <c r="E18" s="15"/>
      <c r="F18" s="393"/>
      <c r="G18" s="749"/>
      <c r="H18" s="389" t="str">
        <f t="shared" si="0"/>
        <v/>
      </c>
      <c r="J18" s="61"/>
      <c r="K18" s="399"/>
      <c r="L18" s="420" t="str">
        <f t="shared" si="3"/>
        <v/>
      </c>
      <c r="M18" s="401" t="str">
        <f t="shared" si="4"/>
        <v/>
      </c>
    </row>
    <row r="19" spans="2:13" x14ac:dyDescent="0.25">
      <c r="B19" s="58"/>
      <c r="C19" s="65"/>
      <c r="D19" s="15"/>
      <c r="E19" s="15"/>
      <c r="F19" s="24"/>
      <c r="G19" s="423"/>
      <c r="H19" s="17" t="str">
        <f t="shared" si="0"/>
        <v/>
      </c>
      <c r="J19" s="61"/>
      <c r="K19" s="399"/>
      <c r="L19" s="420" t="str">
        <f t="shared" si="3"/>
        <v/>
      </c>
      <c r="M19" s="401" t="str">
        <f t="shared" si="4"/>
        <v/>
      </c>
    </row>
    <row r="20" spans="2:13" x14ac:dyDescent="0.25">
      <c r="B20" s="58" t="s">
        <v>39</v>
      </c>
      <c r="C20" s="65" t="s">
        <v>226</v>
      </c>
      <c r="D20" s="15" t="s">
        <v>577</v>
      </c>
      <c r="E20" s="15"/>
      <c r="F20" s="985">
        <f>Quantities!$S$136</f>
        <v>1300</v>
      </c>
      <c r="G20" s="423"/>
      <c r="H20" s="17">
        <f t="shared" si="0"/>
        <v>0</v>
      </c>
      <c r="J20" s="61"/>
      <c r="K20" s="399"/>
      <c r="L20" s="420" t="str">
        <f t="shared" si="3"/>
        <v/>
      </c>
      <c r="M20" s="401" t="str">
        <f t="shared" si="4"/>
        <v/>
      </c>
    </row>
    <row r="21" spans="2:13" x14ac:dyDescent="0.25">
      <c r="B21" s="58"/>
      <c r="C21" s="386"/>
      <c r="D21" s="390"/>
      <c r="E21" s="390"/>
      <c r="F21" s="24"/>
      <c r="G21" s="423"/>
      <c r="H21" s="17" t="str">
        <f t="shared" si="0"/>
        <v/>
      </c>
      <c r="J21" s="61"/>
      <c r="K21" s="399"/>
      <c r="L21" s="420" t="str">
        <f t="shared" si="3"/>
        <v/>
      </c>
      <c r="M21" s="401" t="str">
        <f t="shared" si="4"/>
        <v/>
      </c>
    </row>
    <row r="22" spans="2:13" ht="25" x14ac:dyDescent="0.25">
      <c r="B22" s="58" t="s">
        <v>1928</v>
      </c>
      <c r="C22" s="65" t="s">
        <v>1687</v>
      </c>
      <c r="D22" s="15"/>
      <c r="E22" s="15"/>
      <c r="F22" s="986"/>
      <c r="G22" s="750"/>
      <c r="H22" s="17" t="str">
        <f t="shared" si="0"/>
        <v/>
      </c>
      <c r="J22" s="61"/>
      <c r="K22" s="399"/>
      <c r="L22" s="420" t="str">
        <f t="shared" si="3"/>
        <v/>
      </c>
      <c r="M22" s="401" t="str">
        <f t="shared" si="4"/>
        <v/>
      </c>
    </row>
    <row r="23" spans="2:13" x14ac:dyDescent="0.25">
      <c r="B23" s="58"/>
      <c r="C23" s="65"/>
      <c r="D23" s="15"/>
      <c r="E23" s="15"/>
      <c r="F23" s="986"/>
      <c r="G23" s="750"/>
      <c r="H23" s="17" t="str">
        <f t="shared" si="0"/>
        <v/>
      </c>
      <c r="J23" s="61"/>
      <c r="K23" s="754"/>
      <c r="L23" s="420" t="str">
        <f t="shared" si="3"/>
        <v/>
      </c>
      <c r="M23" s="401" t="str">
        <f t="shared" si="4"/>
        <v/>
      </c>
    </row>
    <row r="24" spans="2:13" x14ac:dyDescent="0.25">
      <c r="B24" s="58" t="s">
        <v>39</v>
      </c>
      <c r="C24" s="65" t="s">
        <v>201</v>
      </c>
      <c r="D24" s="15" t="s">
        <v>577</v>
      </c>
      <c r="E24" s="15"/>
      <c r="F24" s="985">
        <f>Quantities!$S$141</f>
        <v>200</v>
      </c>
      <c r="G24" s="685"/>
      <c r="H24" s="17">
        <f t="shared" si="0"/>
        <v>0</v>
      </c>
      <c r="J24" s="61"/>
      <c r="K24" s="399"/>
      <c r="L24" s="420" t="str">
        <f t="shared" si="3"/>
        <v/>
      </c>
      <c r="M24" s="401" t="str">
        <f t="shared" si="4"/>
        <v/>
      </c>
    </row>
    <row r="25" spans="2:13" x14ac:dyDescent="0.25">
      <c r="B25" s="58"/>
      <c r="C25" s="386"/>
      <c r="D25" s="390"/>
      <c r="E25" s="390"/>
      <c r="F25" s="986"/>
      <c r="G25" s="750"/>
      <c r="H25" s="17" t="str">
        <f t="shared" si="0"/>
        <v/>
      </c>
      <c r="J25" s="61"/>
      <c r="K25" s="399"/>
      <c r="L25" s="420" t="str">
        <f t="shared" si="3"/>
        <v/>
      </c>
      <c r="M25" s="401" t="str">
        <f t="shared" si="4"/>
        <v/>
      </c>
    </row>
    <row r="26" spans="2:13" ht="25" x14ac:dyDescent="0.25">
      <c r="B26" s="58" t="s">
        <v>1929</v>
      </c>
      <c r="C26" s="65" t="s">
        <v>1942</v>
      </c>
      <c r="D26" s="15" t="s">
        <v>577</v>
      </c>
      <c r="E26" s="15"/>
      <c r="F26" s="24">
        <f>Quantities!$S$150*0.1</f>
        <v>216.00000000000006</v>
      </c>
      <c r="G26" s="411"/>
      <c r="H26" s="17">
        <f t="shared" si="0"/>
        <v>0</v>
      </c>
      <c r="I26" s="40"/>
      <c r="J26" s="61" t="s">
        <v>1721</v>
      </c>
      <c r="K26" s="399">
        <f>IF(D26="","",ROUND(Labour_perc_roads*G26,1))</f>
        <v>0</v>
      </c>
      <c r="L26" s="420">
        <f t="shared" si="3"/>
        <v>0</v>
      </c>
      <c r="M26" s="401" t="str">
        <f t="shared" si="4"/>
        <v/>
      </c>
    </row>
    <row r="27" spans="2:13" x14ac:dyDescent="0.25">
      <c r="B27" s="58"/>
      <c r="C27" s="65"/>
      <c r="D27" s="15"/>
      <c r="E27" s="15"/>
      <c r="F27" s="24"/>
      <c r="G27" s="422"/>
      <c r="H27" s="17" t="str">
        <f t="shared" si="0"/>
        <v/>
      </c>
      <c r="I27" s="41"/>
      <c r="J27" s="61"/>
      <c r="K27" s="399"/>
      <c r="L27" s="420" t="str">
        <f t="shared" si="3"/>
        <v/>
      </c>
      <c r="M27" s="401" t="str">
        <f t="shared" si="4"/>
        <v/>
      </c>
    </row>
    <row r="28" spans="2:13" ht="25" x14ac:dyDescent="0.25">
      <c r="B28" s="58" t="s">
        <v>1781</v>
      </c>
      <c r="C28" s="65" t="s">
        <v>493</v>
      </c>
      <c r="D28" s="15"/>
      <c r="E28" s="15"/>
      <c r="F28" s="647"/>
      <c r="G28" s="411"/>
      <c r="H28" s="743" t="str">
        <f t="shared" si="0"/>
        <v/>
      </c>
      <c r="I28" s="18"/>
      <c r="J28" s="61"/>
      <c r="K28" s="399"/>
      <c r="L28" s="420" t="str">
        <f t="shared" ref="L28:L38" si="5">IF(J28="","",F28*K28)</f>
        <v/>
      </c>
      <c r="M28" s="401" t="str">
        <f t="shared" ref="M28:M38" si="6">IF(J28="","",IF(SUM(H28)=0,"",L28/H28))</f>
        <v/>
      </c>
    </row>
    <row r="29" spans="2:13" s="36" customFormat="1" ht="12.75" customHeight="1" x14ac:dyDescent="0.25">
      <c r="B29" s="58"/>
      <c r="C29" s="65"/>
      <c r="D29" s="15"/>
      <c r="E29" s="15"/>
      <c r="F29" s="647"/>
      <c r="G29" s="411"/>
      <c r="H29" s="743" t="str">
        <f t="shared" si="0"/>
        <v/>
      </c>
      <c r="I29" s="18"/>
      <c r="J29" s="61"/>
      <c r="K29" s="399"/>
      <c r="L29" s="420" t="str">
        <f t="shared" si="5"/>
        <v/>
      </c>
      <c r="M29" s="401" t="str">
        <f t="shared" si="6"/>
        <v/>
      </c>
    </row>
    <row r="30" spans="2:13" s="36" customFormat="1" x14ac:dyDescent="0.25">
      <c r="B30" s="58" t="s">
        <v>492</v>
      </c>
      <c r="C30" s="65" t="s">
        <v>491</v>
      </c>
      <c r="D30" s="15"/>
      <c r="E30" s="15"/>
      <c r="F30" s="647"/>
      <c r="G30" s="411"/>
      <c r="H30" s="743" t="str">
        <f t="shared" si="0"/>
        <v/>
      </c>
      <c r="I30" s="18"/>
      <c r="J30" s="61"/>
      <c r="K30" s="399"/>
      <c r="L30" s="420" t="str">
        <f t="shared" si="5"/>
        <v/>
      </c>
      <c r="M30" s="401" t="str">
        <f t="shared" si="6"/>
        <v/>
      </c>
    </row>
    <row r="31" spans="2:13" s="36" customFormat="1" x14ac:dyDescent="0.25">
      <c r="B31" s="58"/>
      <c r="C31" s="65"/>
      <c r="D31" s="15"/>
      <c r="E31" s="15"/>
      <c r="F31" s="647"/>
      <c r="G31" s="411"/>
      <c r="H31" s="743" t="str">
        <f t="shared" si="0"/>
        <v/>
      </c>
      <c r="I31" s="18"/>
      <c r="J31" s="61"/>
      <c r="K31" s="399"/>
      <c r="L31" s="420" t="str">
        <f t="shared" si="5"/>
        <v/>
      </c>
      <c r="M31" s="401" t="str">
        <f t="shared" si="6"/>
        <v/>
      </c>
    </row>
    <row r="32" spans="2:13" s="36" customFormat="1" x14ac:dyDescent="0.25">
      <c r="B32" s="58" t="s">
        <v>39</v>
      </c>
      <c r="C32" s="65" t="s">
        <v>1685</v>
      </c>
      <c r="D32" s="15" t="s">
        <v>6</v>
      </c>
      <c r="E32" s="15" t="s">
        <v>996</v>
      </c>
      <c r="F32" s="647">
        <v>40</v>
      </c>
      <c r="G32" s="411"/>
      <c r="H32" s="743">
        <f t="shared" si="0"/>
        <v>0</v>
      </c>
      <c r="I32" s="18"/>
      <c r="J32" s="61" t="s">
        <v>1721</v>
      </c>
      <c r="K32" s="399">
        <f>IF(D32="","",ROUND(Labour_perc_roads*G32,1))</f>
        <v>0</v>
      </c>
      <c r="L32" s="420">
        <f t="shared" si="5"/>
        <v>0</v>
      </c>
      <c r="M32" s="401" t="str">
        <f t="shared" si="6"/>
        <v/>
      </c>
    </row>
    <row r="33" spans="2:13" s="36" customFormat="1" x14ac:dyDescent="0.25">
      <c r="B33" s="58"/>
      <c r="C33" s="65"/>
      <c r="D33" s="15"/>
      <c r="E33" s="15"/>
      <c r="F33" s="647"/>
      <c r="G33" s="411"/>
      <c r="H33" s="743" t="str">
        <f t="shared" si="0"/>
        <v/>
      </c>
      <c r="I33" s="18"/>
      <c r="J33" s="61"/>
      <c r="K33" s="399"/>
      <c r="L33" s="420" t="str">
        <f t="shared" si="5"/>
        <v/>
      </c>
      <c r="M33" s="401" t="str">
        <f t="shared" si="6"/>
        <v/>
      </c>
    </row>
    <row r="34" spans="2:13" s="36" customFormat="1" x14ac:dyDescent="0.25">
      <c r="B34" s="58" t="s">
        <v>41</v>
      </c>
      <c r="C34" s="65" t="s">
        <v>1686</v>
      </c>
      <c r="D34" s="15" t="s">
        <v>6</v>
      </c>
      <c r="E34" s="15"/>
      <c r="F34" s="647">
        <v>40</v>
      </c>
      <c r="G34" s="411"/>
      <c r="H34" s="743">
        <f t="shared" si="0"/>
        <v>0</v>
      </c>
      <c r="I34" s="18"/>
      <c r="J34" s="61" t="s">
        <v>1721</v>
      </c>
      <c r="K34" s="399">
        <f>IF(D34="","",ROUND(Labour_perc_roads*G34,1))</f>
        <v>0</v>
      </c>
      <c r="L34" s="420">
        <f t="shared" si="5"/>
        <v>0</v>
      </c>
      <c r="M34" s="401" t="str">
        <f t="shared" si="6"/>
        <v/>
      </c>
    </row>
    <row r="35" spans="2:13" s="36" customFormat="1" x14ac:dyDescent="0.25">
      <c r="B35" s="58"/>
      <c r="C35" s="65"/>
      <c r="D35" s="15"/>
      <c r="E35" s="15"/>
      <c r="F35" s="647"/>
      <c r="G35" s="411"/>
      <c r="H35" s="743" t="str">
        <f t="shared" si="0"/>
        <v/>
      </c>
      <c r="I35" s="18"/>
      <c r="J35" s="61"/>
      <c r="K35" s="399"/>
      <c r="L35" s="420" t="str">
        <f t="shared" si="5"/>
        <v/>
      </c>
      <c r="M35" s="401" t="str">
        <f t="shared" si="6"/>
        <v/>
      </c>
    </row>
    <row r="36" spans="2:13" s="36" customFormat="1" ht="13" x14ac:dyDescent="0.25">
      <c r="B36" s="146" t="s">
        <v>468</v>
      </c>
      <c r="C36" s="672" t="s">
        <v>467</v>
      </c>
      <c r="D36" s="15"/>
      <c r="E36" s="15"/>
      <c r="F36" s="647"/>
      <c r="G36" s="411"/>
      <c r="H36" s="743" t="str">
        <f t="shared" si="0"/>
        <v/>
      </c>
      <c r="I36" s="18"/>
      <c r="J36" s="61"/>
      <c r="K36" s="399"/>
      <c r="L36" s="420" t="str">
        <f t="shared" si="5"/>
        <v/>
      </c>
      <c r="M36" s="401" t="str">
        <f t="shared" si="6"/>
        <v/>
      </c>
    </row>
    <row r="37" spans="2:13" s="36" customFormat="1" x14ac:dyDescent="0.25">
      <c r="B37" s="58"/>
      <c r="C37" s="65"/>
      <c r="D37" s="15"/>
      <c r="E37" s="15"/>
      <c r="F37" s="647"/>
      <c r="G37" s="411"/>
      <c r="H37" s="743" t="str">
        <f t="shared" si="0"/>
        <v/>
      </c>
      <c r="I37" s="18"/>
      <c r="J37" s="61"/>
      <c r="K37" s="399"/>
      <c r="L37" s="420" t="str">
        <f t="shared" si="5"/>
        <v/>
      </c>
      <c r="M37" s="401" t="str">
        <f t="shared" si="6"/>
        <v/>
      </c>
    </row>
    <row r="38" spans="2:13" s="36" customFormat="1" ht="25" x14ac:dyDescent="0.25">
      <c r="B38" s="58" t="s">
        <v>466</v>
      </c>
      <c r="C38" s="65" t="s">
        <v>465</v>
      </c>
      <c r="D38" s="15" t="s">
        <v>6</v>
      </c>
      <c r="E38" s="15"/>
      <c r="F38" s="647">
        <v>80</v>
      </c>
      <c r="G38" s="411"/>
      <c r="H38" s="743">
        <f t="shared" si="0"/>
        <v>0</v>
      </c>
      <c r="I38" s="18"/>
      <c r="J38" s="61" t="s">
        <v>1721</v>
      </c>
      <c r="K38" s="399">
        <f>IF(D38="","",ROUND(Labour_perc_roads*G38,1))</f>
        <v>0</v>
      </c>
      <c r="L38" s="420">
        <f t="shared" si="5"/>
        <v>0</v>
      </c>
      <c r="M38" s="401" t="str">
        <f t="shared" si="6"/>
        <v/>
      </c>
    </row>
    <row r="39" spans="2:13" s="36" customFormat="1" ht="5.25" customHeight="1" x14ac:dyDescent="0.25">
      <c r="B39" s="58"/>
      <c r="C39" s="925"/>
      <c r="D39" s="391"/>
      <c r="E39" s="391"/>
      <c r="F39" s="987"/>
      <c r="G39" s="614"/>
      <c r="H39" s="389" t="str">
        <f t="shared" si="0"/>
        <v/>
      </c>
      <c r="I39" s="18"/>
      <c r="J39" s="61"/>
      <c r="K39" s="399"/>
      <c r="L39" s="420" t="str">
        <f t="shared" ref="L39:L64" si="7">IF(J39="","",F39*K39)</f>
        <v/>
      </c>
      <c r="M39" s="401" t="str">
        <f t="shared" ref="M39:M64" si="8">IF(J39="","",IF(SUM(H39)=0,"",L39/H39))</f>
        <v/>
      </c>
    </row>
    <row r="40" spans="2:13" s="36" customFormat="1" ht="26" x14ac:dyDescent="0.25">
      <c r="B40" s="146" t="s">
        <v>1948</v>
      </c>
      <c r="C40" s="672" t="s">
        <v>182</v>
      </c>
      <c r="D40" s="15"/>
      <c r="E40" s="15"/>
      <c r="F40" s="647"/>
      <c r="G40" s="411"/>
      <c r="H40" s="743" t="str">
        <f t="shared" si="0"/>
        <v/>
      </c>
      <c r="I40" s="18"/>
      <c r="J40" s="61"/>
      <c r="K40" s="399"/>
      <c r="L40" s="420" t="str">
        <f t="shared" si="7"/>
        <v/>
      </c>
      <c r="M40" s="401" t="str">
        <f t="shared" si="8"/>
        <v/>
      </c>
    </row>
    <row r="41" spans="2:13" s="36" customFormat="1" ht="12.75" customHeight="1" x14ac:dyDescent="0.25">
      <c r="B41" s="58"/>
      <c r="C41" s="65"/>
      <c r="D41" s="15"/>
      <c r="E41" s="15"/>
      <c r="F41" s="647"/>
      <c r="G41" s="411"/>
      <c r="H41" s="743" t="str">
        <f t="shared" si="0"/>
        <v/>
      </c>
      <c r="I41" s="18"/>
      <c r="J41" s="61"/>
      <c r="K41" s="399"/>
      <c r="L41" s="420" t="str">
        <f t="shared" si="7"/>
        <v/>
      </c>
      <c r="M41" s="401" t="str">
        <f t="shared" si="8"/>
        <v/>
      </c>
    </row>
    <row r="42" spans="2:13" s="36" customFormat="1" ht="25" x14ac:dyDescent="0.25">
      <c r="B42" s="58" t="s">
        <v>183</v>
      </c>
      <c r="C42" s="65" t="s">
        <v>185</v>
      </c>
      <c r="D42" s="15"/>
      <c r="E42" s="15"/>
      <c r="F42" s="647"/>
      <c r="G42" s="411"/>
      <c r="H42" s="743" t="str">
        <f t="shared" si="0"/>
        <v/>
      </c>
      <c r="I42" s="18"/>
      <c r="J42" s="61"/>
      <c r="K42" s="399"/>
      <c r="L42" s="420" t="str">
        <f t="shared" si="7"/>
        <v/>
      </c>
      <c r="M42" s="401" t="str">
        <f t="shared" si="8"/>
        <v/>
      </c>
    </row>
    <row r="43" spans="2:13" s="36" customFormat="1" x14ac:dyDescent="0.25">
      <c r="B43" s="58"/>
      <c r="C43" s="65"/>
      <c r="D43" s="15"/>
      <c r="E43" s="15"/>
      <c r="F43" s="647"/>
      <c r="G43" s="411"/>
      <c r="H43" s="743" t="str">
        <f t="shared" si="0"/>
        <v/>
      </c>
      <c r="I43" s="18"/>
      <c r="J43" s="61"/>
      <c r="K43" s="399"/>
      <c r="L43" s="420" t="str">
        <f t="shared" si="7"/>
        <v/>
      </c>
      <c r="M43" s="401" t="str">
        <f t="shared" si="8"/>
        <v/>
      </c>
    </row>
    <row r="44" spans="2:13" s="36" customFormat="1" ht="25" x14ac:dyDescent="0.25">
      <c r="B44" s="58" t="s">
        <v>39</v>
      </c>
      <c r="C44" s="65" t="s">
        <v>186</v>
      </c>
      <c r="D44" s="15" t="s">
        <v>2211</v>
      </c>
      <c r="E44" s="15"/>
      <c r="F44" s="647">
        <f>9000*0.4</f>
        <v>3600</v>
      </c>
      <c r="G44" s="411"/>
      <c r="H44" s="743">
        <f t="shared" si="0"/>
        <v>0</v>
      </c>
      <c r="I44" s="18"/>
      <c r="J44" s="61"/>
      <c r="K44" s="399"/>
      <c r="L44" s="420" t="str">
        <f t="shared" si="7"/>
        <v/>
      </c>
      <c r="M44" s="401" t="str">
        <f t="shared" si="8"/>
        <v/>
      </c>
    </row>
    <row r="45" spans="2:13" s="36" customFormat="1" x14ac:dyDescent="0.25">
      <c r="B45" s="58"/>
      <c r="C45" s="65"/>
      <c r="D45" s="15"/>
      <c r="E45" s="15"/>
      <c r="F45" s="647"/>
      <c r="G45" s="411"/>
      <c r="H45" s="743" t="str">
        <f t="shared" si="0"/>
        <v/>
      </c>
      <c r="I45" s="18"/>
      <c r="J45" s="61"/>
      <c r="K45" s="399"/>
      <c r="L45" s="420" t="str">
        <f t="shared" si="7"/>
        <v/>
      </c>
      <c r="M45" s="401" t="str">
        <f t="shared" si="8"/>
        <v/>
      </c>
    </row>
    <row r="46" spans="2:13" s="36" customFormat="1" x14ac:dyDescent="0.25">
      <c r="B46" s="58" t="s">
        <v>41</v>
      </c>
      <c r="C46" s="65" t="s">
        <v>187</v>
      </c>
      <c r="D46" s="15" t="s">
        <v>2211</v>
      </c>
      <c r="E46" s="15"/>
      <c r="F46" s="647">
        <f>9000*0.1</f>
        <v>900</v>
      </c>
      <c r="G46" s="411"/>
      <c r="H46" s="743">
        <f t="shared" si="0"/>
        <v>0</v>
      </c>
      <c r="I46" s="18"/>
      <c r="J46" s="61"/>
      <c r="K46" s="399"/>
      <c r="L46" s="420" t="str">
        <f t="shared" si="7"/>
        <v/>
      </c>
      <c r="M46" s="401" t="str">
        <f t="shared" si="8"/>
        <v/>
      </c>
    </row>
    <row r="47" spans="2:13" s="36" customFormat="1" x14ac:dyDescent="0.25">
      <c r="B47" s="58"/>
      <c r="C47" s="65"/>
      <c r="D47" s="15"/>
      <c r="E47" s="15"/>
      <c r="F47" s="647"/>
      <c r="G47" s="411"/>
      <c r="H47" s="743" t="str">
        <f t="shared" si="0"/>
        <v/>
      </c>
      <c r="I47" s="18"/>
      <c r="J47" s="61"/>
      <c r="K47" s="399"/>
      <c r="L47" s="420" t="str">
        <f t="shared" si="7"/>
        <v/>
      </c>
      <c r="M47" s="401" t="str">
        <f t="shared" si="8"/>
        <v/>
      </c>
    </row>
    <row r="48" spans="2:13" s="36" customFormat="1" ht="25" x14ac:dyDescent="0.25">
      <c r="B48" s="58" t="s">
        <v>184</v>
      </c>
      <c r="C48" s="65" t="s">
        <v>188</v>
      </c>
      <c r="D48" s="15"/>
      <c r="E48" s="15"/>
      <c r="F48" s="647"/>
      <c r="G48" s="411"/>
      <c r="H48" s="743" t="str">
        <f t="shared" si="0"/>
        <v/>
      </c>
      <c r="I48" s="18"/>
      <c r="J48" s="61"/>
      <c r="K48" s="399"/>
      <c r="L48" s="420" t="str">
        <f t="shared" si="7"/>
        <v/>
      </c>
      <c r="M48" s="401" t="str">
        <f t="shared" si="8"/>
        <v/>
      </c>
    </row>
    <row r="49" spans="2:13" s="36" customFormat="1" x14ac:dyDescent="0.25">
      <c r="B49" s="58"/>
      <c r="C49" s="786"/>
      <c r="D49" s="15"/>
      <c r="E49" s="15"/>
      <c r="F49" s="647"/>
      <c r="G49" s="411"/>
      <c r="H49" s="743" t="str">
        <f t="shared" si="0"/>
        <v/>
      </c>
      <c r="I49" s="18"/>
      <c r="J49" s="61"/>
      <c r="K49" s="399"/>
      <c r="L49" s="420" t="str">
        <f t="shared" si="7"/>
        <v/>
      </c>
      <c r="M49" s="401" t="str">
        <f t="shared" si="8"/>
        <v/>
      </c>
    </row>
    <row r="50" spans="2:13" s="36" customFormat="1" x14ac:dyDescent="0.25">
      <c r="B50" s="58" t="s">
        <v>41</v>
      </c>
      <c r="C50" s="786" t="s">
        <v>189</v>
      </c>
      <c r="D50" s="15" t="s">
        <v>2211</v>
      </c>
      <c r="E50" s="15"/>
      <c r="F50" s="647">
        <f>9000*0.4</f>
        <v>3600</v>
      </c>
      <c r="G50" s="411"/>
      <c r="H50" s="743">
        <f t="shared" si="0"/>
        <v>0</v>
      </c>
      <c r="I50" s="18"/>
      <c r="J50" s="61"/>
      <c r="K50" s="399"/>
      <c r="L50" s="420" t="str">
        <f t="shared" si="7"/>
        <v/>
      </c>
      <c r="M50" s="401" t="str">
        <f t="shared" si="8"/>
        <v/>
      </c>
    </row>
    <row r="51" spans="2:13" s="36" customFormat="1" x14ac:dyDescent="0.25">
      <c r="B51" s="58"/>
      <c r="C51" s="786"/>
      <c r="D51" s="15"/>
      <c r="E51" s="15"/>
      <c r="F51" s="647"/>
      <c r="G51" s="411"/>
      <c r="H51" s="743" t="str">
        <f t="shared" si="0"/>
        <v/>
      </c>
      <c r="I51" s="18"/>
      <c r="J51" s="61"/>
      <c r="K51" s="399"/>
      <c r="L51" s="420" t="str">
        <f t="shared" si="7"/>
        <v/>
      </c>
      <c r="M51" s="401" t="str">
        <f t="shared" si="8"/>
        <v/>
      </c>
    </row>
    <row r="52" spans="2:13" s="36" customFormat="1" x14ac:dyDescent="0.25">
      <c r="B52" s="58" t="s">
        <v>52</v>
      </c>
      <c r="C52" s="786" t="s">
        <v>190</v>
      </c>
      <c r="D52" s="15" t="s">
        <v>2211</v>
      </c>
      <c r="E52" s="15"/>
      <c r="F52" s="647">
        <f>9000*0.1</f>
        <v>900</v>
      </c>
      <c r="G52" s="411"/>
      <c r="H52" s="743">
        <f t="shared" si="0"/>
        <v>0</v>
      </c>
      <c r="I52" s="18"/>
      <c r="J52" s="61"/>
      <c r="K52" s="399"/>
      <c r="L52" s="420" t="str">
        <f t="shared" si="7"/>
        <v/>
      </c>
      <c r="M52" s="401" t="str">
        <f t="shared" si="8"/>
        <v/>
      </c>
    </row>
    <row r="53" spans="2:13" s="36" customFormat="1" x14ac:dyDescent="0.25">
      <c r="B53" s="58"/>
      <c r="C53" s="65"/>
      <c r="D53" s="15"/>
      <c r="E53" s="15"/>
      <c r="F53" s="647"/>
      <c r="G53" s="411"/>
      <c r="H53" s="743" t="str">
        <f t="shared" si="0"/>
        <v/>
      </c>
      <c r="I53" s="18"/>
      <c r="J53" s="61"/>
      <c r="K53" s="399"/>
      <c r="L53" s="420" t="str">
        <f t="shared" si="7"/>
        <v/>
      </c>
      <c r="M53" s="401" t="str">
        <f t="shared" si="8"/>
        <v/>
      </c>
    </row>
    <row r="54" spans="2:13" s="36" customFormat="1" ht="13" x14ac:dyDescent="0.25">
      <c r="B54" s="146" t="s">
        <v>139</v>
      </c>
      <c r="C54" s="672" t="s">
        <v>140</v>
      </c>
      <c r="D54" s="15"/>
      <c r="E54" s="15"/>
      <c r="F54" s="647"/>
      <c r="G54" s="424"/>
      <c r="H54" s="743" t="str">
        <f t="shared" si="0"/>
        <v/>
      </c>
      <c r="I54" s="18"/>
      <c r="J54" s="61"/>
      <c r="K54" s="399"/>
      <c r="L54" s="420" t="str">
        <f t="shared" si="7"/>
        <v/>
      </c>
      <c r="M54" s="401" t="str">
        <f t="shared" si="8"/>
        <v/>
      </c>
    </row>
    <row r="55" spans="2:13" s="36" customFormat="1" x14ac:dyDescent="0.25">
      <c r="B55" s="58"/>
      <c r="C55" s="65"/>
      <c r="D55" s="15"/>
      <c r="E55" s="15"/>
      <c r="F55" s="647"/>
      <c r="G55" s="424"/>
      <c r="H55" s="743" t="str">
        <f t="shared" si="0"/>
        <v/>
      </c>
      <c r="I55" s="18"/>
      <c r="J55" s="61"/>
      <c r="K55" s="399"/>
      <c r="L55" s="420" t="str">
        <f t="shared" si="7"/>
        <v/>
      </c>
      <c r="M55" s="401" t="str">
        <f t="shared" si="8"/>
        <v/>
      </c>
    </row>
    <row r="56" spans="2:13" s="36" customFormat="1" ht="25" x14ac:dyDescent="0.25">
      <c r="B56" s="58" t="s">
        <v>141</v>
      </c>
      <c r="C56" s="65" t="s">
        <v>142</v>
      </c>
      <c r="D56" s="15" t="s">
        <v>25</v>
      </c>
      <c r="E56" s="15"/>
      <c r="F56" s="578">
        <f>Quantities!$S$153</f>
        <v>6600</v>
      </c>
      <c r="G56" s="424"/>
      <c r="H56" s="743">
        <f t="shared" si="0"/>
        <v>0</v>
      </c>
      <c r="I56" s="18"/>
      <c r="J56" s="61"/>
      <c r="K56" s="399"/>
      <c r="L56" s="420" t="str">
        <f t="shared" si="7"/>
        <v/>
      </c>
      <c r="M56" s="401" t="str">
        <f t="shared" si="8"/>
        <v/>
      </c>
    </row>
    <row r="57" spans="2:13" s="36" customFormat="1" x14ac:dyDescent="0.25">
      <c r="B57" s="58"/>
      <c r="C57" s="65"/>
      <c r="D57" s="15"/>
      <c r="E57" s="15"/>
      <c r="F57" s="647"/>
      <c r="G57" s="411"/>
      <c r="H57" s="743" t="str">
        <f t="shared" si="0"/>
        <v/>
      </c>
      <c r="I57" s="18"/>
      <c r="J57" s="61"/>
      <c r="K57" s="399"/>
      <c r="L57" s="420" t="str">
        <f t="shared" si="7"/>
        <v/>
      </c>
      <c r="M57" s="401" t="str">
        <f t="shared" si="8"/>
        <v/>
      </c>
    </row>
    <row r="58" spans="2:13" s="36" customFormat="1" x14ac:dyDescent="0.25">
      <c r="B58" s="58" t="s">
        <v>1946</v>
      </c>
      <c r="C58" s="65" t="s">
        <v>1944</v>
      </c>
      <c r="D58" s="15"/>
      <c r="E58" s="15"/>
      <c r="F58" s="647"/>
      <c r="G58" s="411"/>
      <c r="H58" s="743" t="str">
        <f t="shared" si="0"/>
        <v/>
      </c>
      <c r="I58" s="18"/>
      <c r="J58" s="61"/>
      <c r="K58" s="399"/>
      <c r="L58" s="420" t="str">
        <f t="shared" si="7"/>
        <v/>
      </c>
      <c r="M58" s="401" t="str">
        <f t="shared" si="8"/>
        <v/>
      </c>
    </row>
    <row r="59" spans="2:13" s="36" customFormat="1" x14ac:dyDescent="0.25">
      <c r="B59" s="58"/>
      <c r="C59" s="65"/>
      <c r="D59" s="15"/>
      <c r="E59" s="15"/>
      <c r="F59" s="647"/>
      <c r="G59" s="411"/>
      <c r="H59" s="743" t="str">
        <f t="shared" si="0"/>
        <v/>
      </c>
      <c r="I59" s="18"/>
      <c r="J59" s="61"/>
      <c r="K59" s="399"/>
      <c r="L59" s="420" t="str">
        <f t="shared" si="7"/>
        <v/>
      </c>
      <c r="M59" s="401" t="str">
        <f t="shared" si="8"/>
        <v/>
      </c>
    </row>
    <row r="60" spans="2:13" s="36" customFormat="1" ht="25" x14ac:dyDescent="0.25">
      <c r="B60" s="58" t="s">
        <v>2195</v>
      </c>
      <c r="C60" s="65" t="s">
        <v>1945</v>
      </c>
      <c r="D60" s="15"/>
      <c r="E60" s="15"/>
      <c r="F60" s="647"/>
      <c r="G60" s="411"/>
      <c r="H60" s="743" t="str">
        <f t="shared" si="0"/>
        <v/>
      </c>
      <c r="I60" s="18"/>
      <c r="J60" s="61"/>
      <c r="K60" s="399"/>
      <c r="L60" s="420" t="str">
        <f t="shared" si="7"/>
        <v/>
      </c>
      <c r="M60" s="401" t="str">
        <f t="shared" si="8"/>
        <v/>
      </c>
    </row>
    <row r="61" spans="2:13" s="36" customFormat="1" x14ac:dyDescent="0.25">
      <c r="B61" s="58"/>
      <c r="C61" s="65"/>
      <c r="D61" s="15"/>
      <c r="E61" s="15"/>
      <c r="F61" s="647"/>
      <c r="G61" s="411"/>
      <c r="H61" s="743" t="str">
        <f t="shared" si="0"/>
        <v/>
      </c>
      <c r="I61" s="18"/>
      <c r="J61" s="61"/>
      <c r="K61" s="399"/>
      <c r="L61" s="420" t="str">
        <f t="shared" si="7"/>
        <v/>
      </c>
      <c r="M61" s="401" t="str">
        <f t="shared" si="8"/>
        <v/>
      </c>
    </row>
    <row r="62" spans="2:13" s="36" customFormat="1" ht="25" x14ac:dyDescent="0.25">
      <c r="B62" s="58" t="s">
        <v>39</v>
      </c>
      <c r="C62" s="65" t="s">
        <v>1947</v>
      </c>
      <c r="D62" s="15" t="s">
        <v>22</v>
      </c>
      <c r="E62" s="15"/>
      <c r="F62" s="578">
        <f>Quantities!$S$158</f>
        <v>52.800000000000011</v>
      </c>
      <c r="G62" s="424"/>
      <c r="H62" s="743">
        <f t="shared" si="0"/>
        <v>0</v>
      </c>
      <c r="I62" s="18"/>
      <c r="J62" s="61"/>
      <c r="K62" s="399"/>
      <c r="L62" s="420" t="str">
        <f t="shared" si="7"/>
        <v/>
      </c>
      <c r="M62" s="401" t="str">
        <f t="shared" si="8"/>
        <v/>
      </c>
    </row>
    <row r="63" spans="2:13" s="36" customFormat="1" x14ac:dyDescent="0.25">
      <c r="B63" s="58"/>
      <c r="C63" s="65"/>
      <c r="D63" s="15"/>
      <c r="E63" s="15"/>
      <c r="F63" s="647"/>
      <c r="G63" s="411"/>
      <c r="H63" s="743" t="str">
        <f t="shared" si="0"/>
        <v/>
      </c>
      <c r="I63" s="18"/>
      <c r="J63" s="61"/>
      <c r="K63" s="399"/>
      <c r="L63" s="420" t="str">
        <f t="shared" si="7"/>
        <v/>
      </c>
      <c r="M63" s="401" t="str">
        <f t="shared" si="8"/>
        <v/>
      </c>
    </row>
    <row r="64" spans="2:13" s="36" customFormat="1" ht="13" x14ac:dyDescent="0.25">
      <c r="B64" s="146" t="s">
        <v>1949</v>
      </c>
      <c r="C64" s="672" t="s">
        <v>1950</v>
      </c>
      <c r="D64" s="15" t="s">
        <v>22</v>
      </c>
      <c r="E64" s="15"/>
      <c r="F64" s="756">
        <f>_RoadLength</f>
        <v>2.4000000000000004</v>
      </c>
      <c r="G64" s="411"/>
      <c r="H64" s="743">
        <f t="shared" si="0"/>
        <v>0</v>
      </c>
      <c r="I64" s="18"/>
      <c r="J64" s="61"/>
      <c r="K64" s="399"/>
      <c r="L64" s="420" t="str">
        <f t="shared" si="7"/>
        <v/>
      </c>
      <c r="M64" s="401" t="str">
        <f t="shared" si="8"/>
        <v/>
      </c>
    </row>
    <row r="65" spans="2:13" ht="12.75" customHeight="1" x14ac:dyDescent="0.25">
      <c r="B65" s="58"/>
      <c r="C65" s="65"/>
      <c r="D65" s="15"/>
      <c r="E65" s="15"/>
      <c r="F65" s="15"/>
      <c r="G65" s="424"/>
      <c r="H65" s="743" t="str">
        <f t="shared" si="0"/>
        <v/>
      </c>
      <c r="I65" s="40"/>
      <c r="J65" s="61"/>
      <c r="K65" s="696"/>
      <c r="L65" s="420" t="str">
        <f t="shared" si="3"/>
        <v/>
      </c>
      <c r="M65" s="401" t="str">
        <f t="shared" si="4"/>
        <v/>
      </c>
    </row>
    <row r="66" spans="2:13" s="28" customFormat="1" ht="20.149999999999999" customHeight="1" x14ac:dyDescent="0.25">
      <c r="B66" s="80" t="str">
        <f>$B$12</f>
        <v>C1.5</v>
      </c>
      <c r="C66" s="498" t="str">
        <f>"TOTAL CARRIED FORWARD"&amp;IF(H66=H$1," TO SUMMARY (Page C"&amp;Page_A&amp;")","")</f>
        <v>TOTAL CARRIED FORWARD TO SUMMARY (Page C48)</v>
      </c>
      <c r="D66" s="31"/>
      <c r="E66" s="31"/>
      <c r="F66" s="32"/>
      <c r="G66" s="31"/>
      <c r="H66" s="33">
        <f>SUM(H11:H65)</f>
        <v>0</v>
      </c>
      <c r="I66" s="34"/>
      <c r="J66" s="408"/>
      <c r="K66" s="406"/>
      <c r="L66" s="418">
        <f>SUM(L11:L65)</f>
        <v>0</v>
      </c>
      <c r="M66" s="407" t="str">
        <f t="shared" si="4"/>
        <v/>
      </c>
    </row>
    <row r="67" spans="2:13" ht="13" x14ac:dyDescent="0.25">
      <c r="B67" s="1108" t="str">
        <f>Client1</f>
        <v>Province of KwaZulu-Natal</v>
      </c>
      <c r="C67" s="1108"/>
      <c r="D67" s="1108"/>
      <c r="E67" s="87"/>
      <c r="F67" s="1109" t="str">
        <f>"Contract No. "&amp;ContractNo</f>
        <v>Contract No. ZNB 00399/00000/HOD/INF/21/T</v>
      </c>
      <c r="G67" s="1109"/>
      <c r="H67" s="1109"/>
    </row>
    <row r="68" spans="2:13" ht="13" x14ac:dyDescent="0.25">
      <c r="B68" s="1108" t="str">
        <f>Client2</f>
        <v>Department of Transport</v>
      </c>
      <c r="C68" s="1108"/>
      <c r="D68" s="1108"/>
      <c r="E68" s="87"/>
      <c r="F68" s="1109"/>
      <c r="G68" s="1109"/>
      <c r="H68" s="1109"/>
    </row>
    <row r="69" spans="2:13" x14ac:dyDescent="0.25">
      <c r="B69" s="1111"/>
      <c r="C69" s="1111"/>
      <c r="D69" s="1111"/>
      <c r="E69" s="78"/>
      <c r="F69" s="1110"/>
      <c r="G69" s="1110"/>
      <c r="H69" s="1110"/>
    </row>
    <row r="70" spans="2:13" ht="13" x14ac:dyDescent="0.25">
      <c r="B70" s="1112" t="s">
        <v>8</v>
      </c>
      <c r="C70" s="1113"/>
      <c r="D70" s="1113"/>
      <c r="E70" s="1113"/>
      <c r="F70" s="1113"/>
      <c r="G70" s="1113"/>
      <c r="H70" s="1114" t="str">
        <f>$H$6</f>
        <v>CHAPTER C1.5</v>
      </c>
      <c r="I70" s="6"/>
    </row>
    <row r="71" spans="2:13" ht="13" x14ac:dyDescent="0.25">
      <c r="B71" s="1117" t="str">
        <f>ContractDescription</f>
        <v>THE CONSTRUCTION OF EARTHWORKS, LAYERWORKS, SURFACING, CULVERTS AND CWAKA RIVER BRIDGE FROM KM 11.600 TO KM 14.000 ON MAIN ROAD P494 IN THE KING CETSHWAYO DISTRICT UNDER EMPANGENI REGION</v>
      </c>
      <c r="C71" s="1118"/>
      <c r="D71" s="1118"/>
      <c r="E71" s="1118"/>
      <c r="F71" s="1118"/>
      <c r="G71" s="1118"/>
      <c r="H71" s="1115"/>
      <c r="I71" s="8"/>
    </row>
    <row r="72" spans="2:13" ht="13" x14ac:dyDescent="0.25">
      <c r="B72" s="1117"/>
      <c r="C72" s="1118"/>
      <c r="D72" s="1118"/>
      <c r="E72" s="1118"/>
      <c r="F72" s="1118"/>
      <c r="G72" s="1118"/>
      <c r="H72" s="1115"/>
      <c r="I72" s="8"/>
    </row>
    <row r="73" spans="2:13" ht="13" x14ac:dyDescent="0.25">
      <c r="B73" s="1119"/>
      <c r="C73" s="1120"/>
      <c r="D73" s="1120"/>
      <c r="E73" s="1120"/>
      <c r="F73" s="1120"/>
      <c r="G73" s="1120"/>
      <c r="H73" s="1116"/>
      <c r="I73" s="8"/>
    </row>
    <row r="74" spans="2:13" s="9" customFormat="1" ht="25" customHeight="1" x14ac:dyDescent="0.25">
      <c r="B74" s="74" t="s">
        <v>0</v>
      </c>
      <c r="C74" s="11" t="s">
        <v>1</v>
      </c>
      <c r="D74" s="11" t="s">
        <v>2</v>
      </c>
      <c r="E74" s="11" t="s">
        <v>996</v>
      </c>
      <c r="F74" s="11" t="s">
        <v>3</v>
      </c>
      <c r="G74" s="11" t="s">
        <v>4</v>
      </c>
      <c r="H74" s="11" t="s">
        <v>5</v>
      </c>
      <c r="I74" s="12"/>
      <c r="J74" s="408" t="s">
        <v>996</v>
      </c>
      <c r="K74" s="253" t="s">
        <v>997</v>
      </c>
      <c r="L74" s="253" t="s">
        <v>998</v>
      </c>
      <c r="M74" s="253" t="s">
        <v>999</v>
      </c>
    </row>
    <row r="75" spans="2:13" s="28" customFormat="1" ht="20.149999999999999" customHeight="1" x14ac:dyDescent="0.25">
      <c r="B75" s="80"/>
      <c r="C75" s="30" t="s">
        <v>27</v>
      </c>
      <c r="D75" s="31"/>
      <c r="E75" s="31"/>
      <c r="F75" s="32"/>
      <c r="G75" s="31"/>
      <c r="H75" s="33">
        <f>H66</f>
        <v>0</v>
      </c>
      <c r="I75" s="34"/>
      <c r="J75" s="416"/>
      <c r="K75" s="409"/>
      <c r="L75" s="419">
        <f>L66</f>
        <v>0</v>
      </c>
      <c r="M75" s="410" t="str">
        <f>IF(F75="","",IF(SUM(I75)=0,"",L75/I75))</f>
        <v/>
      </c>
    </row>
    <row r="76" spans="2:13" x14ac:dyDescent="0.25">
      <c r="B76" s="58"/>
      <c r="C76" s="65"/>
      <c r="D76" s="15"/>
      <c r="E76" s="15"/>
      <c r="F76" s="580"/>
      <c r="G76" s="422"/>
      <c r="H76" s="17"/>
      <c r="I76" s="18"/>
      <c r="J76" s="61"/>
      <c r="K76" s="399"/>
      <c r="L76" s="420" t="str">
        <f t="shared" ref="L76:L77" si="9">IF(J76="","",F76*K76)</f>
        <v/>
      </c>
      <c r="M76" s="401" t="str">
        <f t="shared" ref="M76:M77" si="10">IF(J76="","",IF(SUM(H76)=0,"",L76/H76))</f>
        <v/>
      </c>
    </row>
    <row r="77" spans="2:13" ht="13" x14ac:dyDescent="0.25">
      <c r="B77" s="146" t="s">
        <v>1877</v>
      </c>
      <c r="C77" s="672" t="s">
        <v>156</v>
      </c>
      <c r="D77" s="15" t="s">
        <v>193</v>
      </c>
      <c r="E77" s="15"/>
      <c r="F77" s="752">
        <f>_ContractPeriod-1</f>
        <v>21</v>
      </c>
      <c r="G77" s="424"/>
      <c r="H77" s="743">
        <f t="shared" ref="H77" si="11">IF(D77="","",F77*G77)</f>
        <v>0</v>
      </c>
      <c r="I77" s="18"/>
      <c r="J77" s="62" t="s">
        <v>996</v>
      </c>
      <c r="K77" s="399">
        <f>IF(D77="","",ROUND(Labour_perc_roads*G77,1))</f>
        <v>0</v>
      </c>
      <c r="L77" s="420">
        <f t="shared" si="9"/>
        <v>0</v>
      </c>
      <c r="M77" s="401" t="str">
        <f t="shared" si="10"/>
        <v/>
      </c>
    </row>
    <row r="78" spans="2:13" x14ac:dyDescent="0.25">
      <c r="B78" s="58"/>
      <c r="C78" s="65"/>
      <c r="D78" s="15"/>
      <c r="E78" s="15"/>
      <c r="F78" s="580"/>
      <c r="G78" s="424"/>
      <c r="H78" s="743" t="str">
        <f t="shared" ref="H78:H138" si="12">IF(D78="","",F78*G78)</f>
        <v/>
      </c>
      <c r="I78" s="18"/>
      <c r="J78" s="61"/>
      <c r="K78" s="399"/>
      <c r="L78" s="420" t="str">
        <f t="shared" ref="L78:L119" si="13">IF(J78="","",F78*K78)</f>
        <v/>
      </c>
      <c r="M78" s="401" t="str">
        <f t="shared" ref="M78:M119" si="14">IF(J78="","",IF(SUM(H78)=0,"",L78/H78))</f>
        <v/>
      </c>
    </row>
    <row r="79" spans="2:13" ht="26" x14ac:dyDescent="0.25">
      <c r="B79" s="146" t="s">
        <v>1943</v>
      </c>
      <c r="C79" s="672" t="s">
        <v>1076</v>
      </c>
      <c r="D79" s="15"/>
      <c r="E79" s="15"/>
      <c r="F79" s="580"/>
      <c r="G79" s="424"/>
      <c r="H79" s="743" t="str">
        <f t="shared" ref="H79:H87" si="15">IF(D79="","",F79*G79)</f>
        <v/>
      </c>
      <c r="I79" s="18"/>
      <c r="J79" s="62"/>
      <c r="K79" s="399"/>
      <c r="L79" s="420" t="str">
        <f t="shared" ref="L79:L87" si="16">IF(J79="","",F79*K79)</f>
        <v/>
      </c>
      <c r="M79" s="401" t="str">
        <f t="shared" ref="M79:M87" si="17">IF(J79="","",IF(SUM(H79)=0,"",L79/H79))</f>
        <v/>
      </c>
    </row>
    <row r="80" spans="2:13" x14ac:dyDescent="0.25">
      <c r="B80" s="58"/>
      <c r="C80" s="65"/>
      <c r="D80" s="15"/>
      <c r="E80" s="15"/>
      <c r="F80" s="580"/>
      <c r="G80" s="424"/>
      <c r="H80" s="743" t="str">
        <f t="shared" si="15"/>
        <v/>
      </c>
      <c r="I80" s="18"/>
      <c r="J80" s="61"/>
      <c r="K80" s="399"/>
      <c r="L80" s="420" t="str">
        <f t="shared" si="16"/>
        <v/>
      </c>
      <c r="M80" s="401" t="str">
        <f t="shared" si="17"/>
        <v/>
      </c>
    </row>
    <row r="81" spans="2:13" x14ac:dyDescent="0.25">
      <c r="B81" s="58" t="s">
        <v>39</v>
      </c>
      <c r="C81" s="65" t="s">
        <v>1074</v>
      </c>
      <c r="D81" s="15" t="s">
        <v>34</v>
      </c>
      <c r="E81" s="15"/>
      <c r="F81" s="580">
        <v>3</v>
      </c>
      <c r="G81" s="424"/>
      <c r="H81" s="743">
        <f t="shared" si="15"/>
        <v>0</v>
      </c>
      <c r="I81" s="18"/>
      <c r="J81" s="61"/>
      <c r="K81" s="399"/>
      <c r="L81" s="420" t="str">
        <f t="shared" si="16"/>
        <v/>
      </c>
      <c r="M81" s="401" t="str">
        <f t="shared" si="17"/>
        <v/>
      </c>
    </row>
    <row r="82" spans="2:13" x14ac:dyDescent="0.25">
      <c r="B82" s="58"/>
      <c r="C82" s="65"/>
      <c r="D82" s="15"/>
      <c r="E82" s="15"/>
      <c r="F82" s="580"/>
      <c r="G82" s="424"/>
      <c r="H82" s="743" t="str">
        <f t="shared" si="15"/>
        <v/>
      </c>
      <c r="I82" s="18"/>
      <c r="J82" s="61"/>
      <c r="K82" s="400"/>
      <c r="L82" s="420" t="str">
        <f t="shared" si="16"/>
        <v/>
      </c>
      <c r="M82" s="401" t="str">
        <f t="shared" si="17"/>
        <v/>
      </c>
    </row>
    <row r="83" spans="2:13" ht="25" x14ac:dyDescent="0.25">
      <c r="B83" s="58" t="s">
        <v>41</v>
      </c>
      <c r="C83" s="751" t="s">
        <v>1075</v>
      </c>
      <c r="D83" s="15" t="s">
        <v>34</v>
      </c>
      <c r="E83" s="15"/>
      <c r="F83" s="580">
        <v>3</v>
      </c>
      <c r="G83" s="424"/>
      <c r="H83" s="743">
        <f t="shared" si="15"/>
        <v>0</v>
      </c>
      <c r="I83" s="18"/>
      <c r="J83" s="61"/>
      <c r="K83" s="399"/>
      <c r="L83" s="420" t="str">
        <f t="shared" si="16"/>
        <v/>
      </c>
      <c r="M83" s="401" t="str">
        <f t="shared" si="17"/>
        <v/>
      </c>
    </row>
    <row r="84" spans="2:13" x14ac:dyDescent="0.25">
      <c r="B84" s="58"/>
      <c r="C84" s="65"/>
      <c r="D84" s="15"/>
      <c r="E84" s="15"/>
      <c r="F84" s="580"/>
      <c r="G84" s="424"/>
      <c r="H84" s="743" t="str">
        <f t="shared" si="15"/>
        <v/>
      </c>
      <c r="I84" s="18"/>
      <c r="J84" s="61"/>
      <c r="K84" s="399"/>
      <c r="L84" s="420" t="str">
        <f t="shared" si="16"/>
        <v/>
      </c>
      <c r="M84" s="401" t="str">
        <f t="shared" si="17"/>
        <v/>
      </c>
    </row>
    <row r="85" spans="2:13" x14ac:dyDescent="0.25">
      <c r="B85" s="58" t="s">
        <v>52</v>
      </c>
      <c r="C85" s="65" t="s">
        <v>1141</v>
      </c>
      <c r="D85" s="15" t="s">
        <v>34</v>
      </c>
      <c r="E85" s="15"/>
      <c r="F85" s="580">
        <v>3</v>
      </c>
      <c r="G85" s="424"/>
      <c r="H85" s="743">
        <f t="shared" si="15"/>
        <v>0</v>
      </c>
      <c r="I85" s="18"/>
      <c r="J85" s="61"/>
      <c r="K85" s="399"/>
      <c r="L85" s="420" t="str">
        <f t="shared" si="16"/>
        <v/>
      </c>
      <c r="M85" s="401" t="str">
        <f t="shared" si="17"/>
        <v/>
      </c>
    </row>
    <row r="86" spans="2:13" x14ac:dyDescent="0.25">
      <c r="B86" s="58"/>
      <c r="C86" s="65"/>
      <c r="D86" s="15"/>
      <c r="E86" s="15"/>
      <c r="F86" s="580"/>
      <c r="G86" s="424"/>
      <c r="H86" s="743" t="str">
        <f t="shared" si="15"/>
        <v/>
      </c>
      <c r="I86" s="18"/>
      <c r="J86" s="61"/>
      <c r="K86" s="402"/>
      <c r="L86" s="420" t="str">
        <f t="shared" si="16"/>
        <v/>
      </c>
      <c r="M86" s="401" t="str">
        <f t="shared" si="17"/>
        <v/>
      </c>
    </row>
    <row r="87" spans="2:13" x14ac:dyDescent="0.25">
      <c r="B87" s="58" t="s">
        <v>43</v>
      </c>
      <c r="C87" s="65" t="s">
        <v>1684</v>
      </c>
      <c r="D87" s="15" t="s">
        <v>34</v>
      </c>
      <c r="E87" s="15"/>
      <c r="F87" s="580">
        <v>6</v>
      </c>
      <c r="G87" s="424"/>
      <c r="H87" s="743">
        <f t="shared" si="15"/>
        <v>0</v>
      </c>
      <c r="I87" s="18"/>
      <c r="J87" s="61"/>
      <c r="K87" s="577"/>
      <c r="L87" s="420" t="str">
        <f t="shared" si="16"/>
        <v/>
      </c>
      <c r="M87" s="401" t="str">
        <f t="shared" si="17"/>
        <v/>
      </c>
    </row>
    <row r="88" spans="2:13" x14ac:dyDescent="0.25">
      <c r="B88" s="58"/>
      <c r="C88" s="70"/>
      <c r="D88" s="15"/>
      <c r="E88" s="15"/>
      <c r="F88" s="580"/>
      <c r="G88" s="424"/>
      <c r="H88" s="743" t="str">
        <f t="shared" si="12"/>
        <v/>
      </c>
      <c r="I88" s="18"/>
      <c r="J88" s="61"/>
      <c r="K88" s="399"/>
      <c r="L88" s="420" t="str">
        <f t="shared" si="13"/>
        <v/>
      </c>
      <c r="M88" s="401" t="str">
        <f t="shared" si="14"/>
        <v/>
      </c>
    </row>
    <row r="89" spans="2:13" x14ac:dyDescent="0.25">
      <c r="B89" s="58"/>
      <c r="C89" s="70"/>
      <c r="D89" s="15"/>
      <c r="E89" s="15"/>
      <c r="F89" s="580"/>
      <c r="G89" s="424"/>
      <c r="H89" s="743" t="str">
        <f t="shared" si="12"/>
        <v/>
      </c>
      <c r="I89" s="18"/>
      <c r="J89" s="61"/>
      <c r="K89" s="399"/>
      <c r="L89" s="420" t="str">
        <f t="shared" si="13"/>
        <v/>
      </c>
      <c r="M89" s="401" t="str">
        <f t="shared" si="14"/>
        <v/>
      </c>
    </row>
    <row r="90" spans="2:13" x14ac:dyDescent="0.25">
      <c r="B90" s="58"/>
      <c r="C90" s="70"/>
      <c r="D90" s="15"/>
      <c r="E90" s="15"/>
      <c r="F90" s="580"/>
      <c r="G90" s="424"/>
      <c r="H90" s="743" t="str">
        <f t="shared" si="12"/>
        <v/>
      </c>
      <c r="I90" s="18"/>
      <c r="J90" s="61"/>
      <c r="K90" s="400"/>
      <c r="L90" s="420" t="str">
        <f t="shared" si="13"/>
        <v/>
      </c>
      <c r="M90" s="401" t="str">
        <f t="shared" si="14"/>
        <v/>
      </c>
    </row>
    <row r="91" spans="2:13" x14ac:dyDescent="0.25">
      <c r="B91" s="58"/>
      <c r="C91" s="70"/>
      <c r="D91" s="15"/>
      <c r="E91" s="15"/>
      <c r="F91" s="697"/>
      <c r="G91" s="424"/>
      <c r="H91" s="743" t="str">
        <f t="shared" si="12"/>
        <v/>
      </c>
      <c r="I91" s="63"/>
      <c r="J91" s="61"/>
      <c r="K91" s="399"/>
      <c r="L91" s="420" t="str">
        <f t="shared" si="13"/>
        <v/>
      </c>
      <c r="M91" s="401" t="str">
        <f t="shared" si="14"/>
        <v/>
      </c>
    </row>
    <row r="92" spans="2:13" x14ac:dyDescent="0.25">
      <c r="B92" s="58"/>
      <c r="C92" s="70"/>
      <c r="D92" s="15"/>
      <c r="E92" s="15"/>
      <c r="F92" s="697"/>
      <c r="G92" s="424"/>
      <c r="H92" s="743" t="str">
        <f t="shared" si="12"/>
        <v/>
      </c>
      <c r="I92" s="63"/>
      <c r="J92" s="61"/>
      <c r="K92" s="399"/>
      <c r="L92" s="420" t="str">
        <f t="shared" si="13"/>
        <v/>
      </c>
      <c r="M92" s="401" t="str">
        <f t="shared" si="14"/>
        <v/>
      </c>
    </row>
    <row r="93" spans="2:13" x14ac:dyDescent="0.25">
      <c r="B93" s="58"/>
      <c r="C93" s="65"/>
      <c r="D93" s="15"/>
      <c r="E93" s="15"/>
      <c r="F93" s="752"/>
      <c r="G93" s="424"/>
      <c r="H93" s="743" t="str">
        <f t="shared" si="12"/>
        <v/>
      </c>
      <c r="I93" s="18"/>
      <c r="J93" s="62"/>
      <c r="K93" s="399"/>
      <c r="L93" s="420" t="str">
        <f t="shared" si="13"/>
        <v/>
      </c>
      <c r="M93" s="401" t="str">
        <f t="shared" si="14"/>
        <v/>
      </c>
    </row>
    <row r="94" spans="2:13" x14ac:dyDescent="0.25">
      <c r="B94" s="58"/>
      <c r="C94" s="65"/>
      <c r="D94" s="15"/>
      <c r="E94" s="15"/>
      <c r="F94" s="580"/>
      <c r="G94" s="424"/>
      <c r="H94" s="743" t="str">
        <f t="shared" si="12"/>
        <v/>
      </c>
      <c r="I94" s="18"/>
      <c r="J94" s="62"/>
      <c r="K94" s="62"/>
      <c r="L94" s="420" t="str">
        <f t="shared" si="13"/>
        <v/>
      </c>
      <c r="M94" s="401" t="str">
        <f t="shared" si="14"/>
        <v/>
      </c>
    </row>
    <row r="95" spans="2:13" x14ac:dyDescent="0.25">
      <c r="B95" s="58"/>
      <c r="C95" s="65"/>
      <c r="D95" s="15"/>
      <c r="E95" s="15"/>
      <c r="F95" s="752"/>
      <c r="G95" s="750"/>
      <c r="H95" s="743" t="str">
        <f t="shared" si="12"/>
        <v/>
      </c>
      <c r="I95" s="18"/>
      <c r="J95" s="61"/>
      <c r="K95" s="399"/>
      <c r="L95" s="420" t="str">
        <f t="shared" si="13"/>
        <v/>
      </c>
      <c r="M95" s="401" t="str">
        <f t="shared" si="14"/>
        <v/>
      </c>
    </row>
    <row r="96" spans="2:13" x14ac:dyDescent="0.25">
      <c r="B96" s="58"/>
      <c r="C96" s="65"/>
      <c r="D96" s="15"/>
      <c r="E96" s="15"/>
      <c r="F96" s="580"/>
      <c r="G96" s="424"/>
      <c r="H96" s="743" t="str">
        <f t="shared" si="12"/>
        <v/>
      </c>
      <c r="I96" s="18"/>
      <c r="J96" s="62"/>
      <c r="K96" s="62"/>
      <c r="L96" s="420" t="str">
        <f t="shared" si="13"/>
        <v/>
      </c>
      <c r="M96" s="401" t="str">
        <f t="shared" si="14"/>
        <v/>
      </c>
    </row>
    <row r="97" spans="2:13" ht="13" x14ac:dyDescent="0.25">
      <c r="B97" s="146"/>
      <c r="C97" s="672"/>
      <c r="D97" s="15"/>
      <c r="E97" s="15"/>
      <c r="F97" s="752"/>
      <c r="G97" s="424"/>
      <c r="H97" s="743" t="str">
        <f t="shared" si="12"/>
        <v/>
      </c>
      <c r="I97" s="18"/>
      <c r="J97" s="62"/>
      <c r="K97" s="399"/>
      <c r="L97" s="420" t="str">
        <f t="shared" si="13"/>
        <v/>
      </c>
      <c r="M97" s="401" t="str">
        <f t="shared" si="14"/>
        <v/>
      </c>
    </row>
    <row r="98" spans="2:13" x14ac:dyDescent="0.25">
      <c r="B98" s="58"/>
      <c r="C98" s="65"/>
      <c r="D98" s="15"/>
      <c r="E98" s="15"/>
      <c r="F98" s="580"/>
      <c r="G98" s="424"/>
      <c r="H98" s="743" t="str">
        <f t="shared" si="12"/>
        <v/>
      </c>
      <c r="I98" s="18"/>
      <c r="J98" s="62"/>
      <c r="K98" s="62"/>
      <c r="L98" s="420" t="str">
        <f t="shared" si="13"/>
        <v/>
      </c>
      <c r="M98" s="401" t="str">
        <f t="shared" si="14"/>
        <v/>
      </c>
    </row>
    <row r="99" spans="2:13" ht="13" x14ac:dyDescent="0.25">
      <c r="B99" s="146"/>
      <c r="C99" s="672"/>
      <c r="D99" s="15"/>
      <c r="E99" s="15"/>
      <c r="F99" s="580"/>
      <c r="G99" s="424"/>
      <c r="H99" s="743" t="str">
        <f t="shared" si="12"/>
        <v/>
      </c>
      <c r="I99" s="18"/>
      <c r="J99" s="61"/>
      <c r="K99" s="62"/>
      <c r="L99" s="420" t="str">
        <f t="shared" si="13"/>
        <v/>
      </c>
      <c r="M99" s="401" t="str">
        <f t="shared" si="14"/>
        <v/>
      </c>
    </row>
    <row r="100" spans="2:13" x14ac:dyDescent="0.25">
      <c r="B100" s="58"/>
      <c r="C100" s="65"/>
      <c r="D100" s="15"/>
      <c r="E100" s="15"/>
      <c r="F100" s="580"/>
      <c r="G100" s="424"/>
      <c r="H100" s="743" t="str">
        <f t="shared" si="12"/>
        <v/>
      </c>
      <c r="I100" s="18"/>
      <c r="J100" s="62"/>
      <c r="K100" s="62"/>
      <c r="L100" s="420" t="str">
        <f t="shared" si="13"/>
        <v/>
      </c>
      <c r="M100" s="401" t="str">
        <f t="shared" si="14"/>
        <v/>
      </c>
    </row>
    <row r="101" spans="2:13" x14ac:dyDescent="0.25">
      <c r="B101" s="58"/>
      <c r="C101" s="65"/>
      <c r="D101" s="15"/>
      <c r="E101" s="15"/>
      <c r="F101" s="580"/>
      <c r="G101" s="424"/>
      <c r="H101" s="743" t="str">
        <f t="shared" si="12"/>
        <v/>
      </c>
      <c r="I101" s="18"/>
      <c r="J101" s="62"/>
      <c r="K101" s="62"/>
      <c r="L101" s="420" t="str">
        <f t="shared" si="13"/>
        <v/>
      </c>
      <c r="M101" s="401" t="str">
        <f t="shared" si="14"/>
        <v/>
      </c>
    </row>
    <row r="102" spans="2:13" x14ac:dyDescent="0.25">
      <c r="B102" s="58"/>
      <c r="C102" s="65"/>
      <c r="D102" s="15"/>
      <c r="E102" s="15"/>
      <c r="F102" s="580"/>
      <c r="G102" s="424"/>
      <c r="H102" s="743" t="str">
        <f t="shared" si="12"/>
        <v/>
      </c>
      <c r="I102" s="18"/>
      <c r="J102" s="62"/>
      <c r="K102" s="62"/>
      <c r="L102" s="420" t="str">
        <f t="shared" si="13"/>
        <v/>
      </c>
      <c r="M102" s="401" t="str">
        <f t="shared" si="14"/>
        <v/>
      </c>
    </row>
    <row r="103" spans="2:13" x14ac:dyDescent="0.25">
      <c r="B103" s="58"/>
      <c r="C103" s="65"/>
      <c r="D103" s="15"/>
      <c r="E103" s="15"/>
      <c r="F103" s="580"/>
      <c r="G103" s="758"/>
      <c r="H103" s="743" t="str">
        <f t="shared" si="12"/>
        <v/>
      </c>
      <c r="I103" s="18"/>
      <c r="J103" s="62"/>
      <c r="K103" s="62"/>
      <c r="L103" s="420" t="str">
        <f t="shared" si="13"/>
        <v/>
      </c>
      <c r="M103" s="401" t="str">
        <f t="shared" si="14"/>
        <v/>
      </c>
    </row>
    <row r="104" spans="2:13" x14ac:dyDescent="0.25">
      <c r="B104" s="58"/>
      <c r="C104" s="793"/>
      <c r="D104" s="61"/>
      <c r="E104" s="61"/>
      <c r="F104" s="580"/>
      <c r="G104" s="424"/>
      <c r="H104" s="743" t="str">
        <f t="shared" si="12"/>
        <v/>
      </c>
      <c r="I104" s="18"/>
      <c r="J104" s="62"/>
      <c r="K104" s="62"/>
      <c r="L104" s="420" t="str">
        <f t="shared" si="13"/>
        <v/>
      </c>
      <c r="M104" s="401" t="str">
        <f t="shared" si="14"/>
        <v/>
      </c>
    </row>
    <row r="105" spans="2:13" x14ac:dyDescent="0.25">
      <c r="B105" s="395"/>
      <c r="C105" s="787"/>
      <c r="D105" s="394"/>
      <c r="E105" s="394"/>
      <c r="F105" s="765"/>
      <c r="G105" s="700"/>
      <c r="H105" s="743" t="str">
        <f t="shared" si="12"/>
        <v/>
      </c>
      <c r="I105" s="18"/>
      <c r="J105" s="61"/>
      <c r="K105" s="399"/>
      <c r="L105" s="420" t="str">
        <f t="shared" si="13"/>
        <v/>
      </c>
      <c r="M105" s="401" t="str">
        <f t="shared" si="14"/>
        <v/>
      </c>
    </row>
    <row r="106" spans="2:13" x14ac:dyDescent="0.25">
      <c r="B106" s="58"/>
      <c r="C106" s="787"/>
      <c r="D106" s="394"/>
      <c r="E106" s="394"/>
      <c r="F106" s="580"/>
      <c r="G106" s="424"/>
      <c r="H106" s="743" t="str">
        <f t="shared" si="12"/>
        <v/>
      </c>
      <c r="I106" s="18"/>
      <c r="J106" s="61"/>
      <c r="K106" s="399"/>
      <c r="L106" s="420" t="str">
        <f t="shared" si="13"/>
        <v/>
      </c>
      <c r="M106" s="401" t="str">
        <f t="shared" si="14"/>
        <v/>
      </c>
    </row>
    <row r="107" spans="2:13" x14ac:dyDescent="0.25">
      <c r="B107" s="395"/>
      <c r="C107" s="787"/>
      <c r="D107" s="394"/>
      <c r="E107" s="394"/>
      <c r="F107" s="765"/>
      <c r="G107" s="700"/>
      <c r="H107" s="743" t="str">
        <f t="shared" si="12"/>
        <v/>
      </c>
      <c r="I107" s="18"/>
      <c r="J107" s="61"/>
      <c r="K107" s="399"/>
      <c r="L107" s="420" t="str">
        <f t="shared" si="13"/>
        <v/>
      </c>
      <c r="M107" s="401" t="str">
        <f t="shared" si="14"/>
        <v/>
      </c>
    </row>
    <row r="108" spans="2:13" x14ac:dyDescent="0.25">
      <c r="B108" s="58"/>
      <c r="C108" s="787"/>
      <c r="D108" s="394"/>
      <c r="E108" s="394"/>
      <c r="F108" s="580"/>
      <c r="G108" s="424"/>
      <c r="H108" s="743" t="str">
        <f t="shared" si="12"/>
        <v/>
      </c>
      <c r="I108" s="18"/>
      <c r="J108" s="61"/>
      <c r="K108" s="402"/>
      <c r="L108" s="420" t="str">
        <f t="shared" si="13"/>
        <v/>
      </c>
      <c r="M108" s="401" t="str">
        <f t="shared" si="14"/>
        <v/>
      </c>
    </row>
    <row r="109" spans="2:13" x14ac:dyDescent="0.25">
      <c r="B109" s="395"/>
      <c r="C109" s="926"/>
      <c r="D109" s="394"/>
      <c r="E109" s="394"/>
      <c r="F109" s="765"/>
      <c r="G109" s="700"/>
      <c r="H109" s="743" t="str">
        <f t="shared" si="12"/>
        <v/>
      </c>
      <c r="I109" s="18"/>
      <c r="J109" s="61"/>
      <c r="K109" s="399"/>
      <c r="L109" s="420" t="str">
        <f t="shared" si="13"/>
        <v/>
      </c>
      <c r="M109" s="401" t="str">
        <f t="shared" si="14"/>
        <v/>
      </c>
    </row>
    <row r="110" spans="2:13" x14ac:dyDescent="0.25">
      <c r="B110" s="58"/>
      <c r="C110" s="65"/>
      <c r="D110" s="15"/>
      <c r="E110" s="15"/>
      <c r="F110" s="580"/>
      <c r="G110" s="424"/>
      <c r="H110" s="743" t="str">
        <f t="shared" si="12"/>
        <v/>
      </c>
      <c r="I110" s="18"/>
      <c r="J110" s="61"/>
      <c r="K110" s="402"/>
      <c r="L110" s="420" t="str">
        <f t="shared" si="13"/>
        <v/>
      </c>
      <c r="M110" s="401" t="str">
        <f t="shared" si="14"/>
        <v/>
      </c>
    </row>
    <row r="111" spans="2:13" x14ac:dyDescent="0.25">
      <c r="B111" s="395"/>
      <c r="C111" s="787"/>
      <c r="D111" s="394"/>
      <c r="E111" s="394"/>
      <c r="F111" s="765"/>
      <c r="G111" s="700"/>
      <c r="H111" s="743" t="str">
        <f t="shared" si="12"/>
        <v/>
      </c>
      <c r="I111" s="18"/>
      <c r="J111" s="61"/>
      <c r="K111" s="399"/>
      <c r="L111" s="420" t="str">
        <f t="shared" si="13"/>
        <v/>
      </c>
      <c r="M111" s="401" t="str">
        <f t="shared" si="14"/>
        <v/>
      </c>
    </row>
    <row r="112" spans="2:13" x14ac:dyDescent="0.25">
      <c r="B112" s="58"/>
      <c r="C112" s="65"/>
      <c r="D112" s="15"/>
      <c r="E112" s="15"/>
      <c r="F112" s="580"/>
      <c r="G112" s="424"/>
      <c r="H112" s="743" t="str">
        <f t="shared" si="12"/>
        <v/>
      </c>
      <c r="I112" s="18"/>
      <c r="J112" s="61"/>
      <c r="K112" s="399"/>
      <c r="L112" s="420" t="str">
        <f t="shared" si="13"/>
        <v/>
      </c>
      <c r="M112" s="401" t="str">
        <f t="shared" si="14"/>
        <v/>
      </c>
    </row>
    <row r="113" spans="2:13" x14ac:dyDescent="0.25">
      <c r="B113" s="395"/>
      <c r="C113" s="787"/>
      <c r="D113" s="394"/>
      <c r="E113" s="394"/>
      <c r="F113" s="765"/>
      <c r="G113" s="700"/>
      <c r="H113" s="743" t="str">
        <f t="shared" si="12"/>
        <v/>
      </c>
      <c r="I113" s="18"/>
      <c r="J113" s="61"/>
      <c r="K113" s="399"/>
      <c r="L113" s="420" t="str">
        <f t="shared" si="13"/>
        <v/>
      </c>
      <c r="M113" s="401" t="str">
        <f t="shared" si="14"/>
        <v/>
      </c>
    </row>
    <row r="114" spans="2:13" x14ac:dyDescent="0.25">
      <c r="B114" s="58"/>
      <c r="C114" s="65"/>
      <c r="D114" s="15"/>
      <c r="E114" s="15"/>
      <c r="F114" s="580"/>
      <c r="G114" s="424"/>
      <c r="H114" s="743" t="str">
        <f t="shared" si="12"/>
        <v/>
      </c>
      <c r="I114" s="18"/>
      <c r="J114" s="61"/>
      <c r="K114" s="399"/>
      <c r="L114" s="420" t="str">
        <f t="shared" si="13"/>
        <v/>
      </c>
      <c r="M114" s="401" t="str">
        <f t="shared" si="14"/>
        <v/>
      </c>
    </row>
    <row r="115" spans="2:13" x14ac:dyDescent="0.25">
      <c r="B115" s="58"/>
      <c r="C115" s="65"/>
      <c r="D115" s="15"/>
      <c r="E115" s="15"/>
      <c r="F115" s="580"/>
      <c r="G115" s="424"/>
      <c r="H115" s="743" t="str">
        <f t="shared" ref="H115:H137" si="18">IF(D115="","",F115*G115)</f>
        <v/>
      </c>
      <c r="I115" s="18"/>
      <c r="J115" s="62"/>
      <c r="K115" s="62"/>
      <c r="L115" s="420" t="str">
        <f t="shared" si="13"/>
        <v/>
      </c>
      <c r="M115" s="401" t="str">
        <f t="shared" si="14"/>
        <v/>
      </c>
    </row>
    <row r="116" spans="2:13" x14ac:dyDescent="0.25">
      <c r="B116" s="58"/>
      <c r="C116" s="65"/>
      <c r="D116" s="15"/>
      <c r="E116" s="15"/>
      <c r="F116" s="580"/>
      <c r="G116" s="424"/>
      <c r="H116" s="743" t="str">
        <f t="shared" si="18"/>
        <v/>
      </c>
      <c r="I116" s="18"/>
      <c r="J116" s="62"/>
      <c r="K116" s="62"/>
      <c r="L116" s="420" t="str">
        <f t="shared" si="13"/>
        <v/>
      </c>
      <c r="M116" s="401" t="str">
        <f t="shared" si="14"/>
        <v/>
      </c>
    </row>
    <row r="117" spans="2:13" x14ac:dyDescent="0.25">
      <c r="B117" s="58"/>
      <c r="C117" s="799"/>
      <c r="D117" s="15"/>
      <c r="E117" s="15"/>
      <c r="F117" s="580"/>
      <c r="G117" s="424"/>
      <c r="H117" s="743" t="str">
        <f t="shared" si="18"/>
        <v/>
      </c>
      <c r="I117" s="18"/>
      <c r="J117" s="62"/>
      <c r="K117" s="62"/>
      <c r="L117" s="420" t="str">
        <f t="shared" si="13"/>
        <v/>
      </c>
      <c r="M117" s="401" t="str">
        <f t="shared" si="14"/>
        <v/>
      </c>
    </row>
    <row r="118" spans="2:13" x14ac:dyDescent="0.25">
      <c r="B118" s="58"/>
      <c r="C118" s="65"/>
      <c r="D118" s="15"/>
      <c r="E118" s="15"/>
      <c r="F118" s="580"/>
      <c r="G118" s="424"/>
      <c r="H118" s="743" t="str">
        <f t="shared" si="18"/>
        <v/>
      </c>
      <c r="I118" s="18"/>
      <c r="J118" s="62"/>
      <c r="K118" s="62"/>
      <c r="L118" s="420" t="str">
        <f t="shared" si="13"/>
        <v/>
      </c>
      <c r="M118" s="401" t="str">
        <f t="shared" si="14"/>
        <v/>
      </c>
    </row>
    <row r="119" spans="2:13" x14ac:dyDescent="0.25">
      <c r="B119" s="58"/>
      <c r="C119" s="65"/>
      <c r="D119" s="15"/>
      <c r="E119" s="15"/>
      <c r="F119" s="580"/>
      <c r="G119" s="424"/>
      <c r="H119" s="743" t="str">
        <f t="shared" si="18"/>
        <v/>
      </c>
      <c r="I119" s="18"/>
      <c r="J119" s="62"/>
      <c r="K119" s="399"/>
      <c r="L119" s="420" t="str">
        <f t="shared" si="13"/>
        <v/>
      </c>
      <c r="M119" s="401" t="str">
        <f t="shared" si="14"/>
        <v/>
      </c>
    </row>
    <row r="120" spans="2:13" x14ac:dyDescent="0.25">
      <c r="B120" s="58"/>
      <c r="C120" s="65"/>
      <c r="D120" s="15"/>
      <c r="E120" s="15"/>
      <c r="F120" s="580"/>
      <c r="G120" s="424"/>
      <c r="H120" s="743" t="str">
        <f t="shared" si="18"/>
        <v/>
      </c>
      <c r="I120" s="18"/>
      <c r="J120" s="62"/>
      <c r="K120" s="62"/>
      <c r="L120" s="420" t="str">
        <f t="shared" ref="L120:L138" si="19">IF(J120="","",F120*K120)</f>
        <v/>
      </c>
      <c r="M120" s="401" t="str">
        <f t="shared" ref="M120:M138" si="20">IF(J120="","",IF(SUM(H120)=0,"",L120/H120))</f>
        <v/>
      </c>
    </row>
    <row r="121" spans="2:13" x14ac:dyDescent="0.25">
      <c r="B121" s="58"/>
      <c r="C121" s="793"/>
      <c r="D121" s="15"/>
      <c r="E121" s="15"/>
      <c r="F121" s="580"/>
      <c r="G121" s="424"/>
      <c r="H121" s="743" t="str">
        <f t="shared" si="18"/>
        <v/>
      </c>
      <c r="I121" s="18"/>
      <c r="J121" s="62"/>
      <c r="K121" s="62"/>
      <c r="L121" s="420" t="str">
        <f t="shared" si="19"/>
        <v/>
      </c>
      <c r="M121" s="401" t="str">
        <f t="shared" si="20"/>
        <v/>
      </c>
    </row>
    <row r="122" spans="2:13" x14ac:dyDescent="0.25">
      <c r="B122" s="58"/>
      <c r="C122" s="793"/>
      <c r="D122" s="61"/>
      <c r="E122" s="61"/>
      <c r="F122" s="580"/>
      <c r="G122" s="424"/>
      <c r="H122" s="743" t="str">
        <f t="shared" si="18"/>
        <v/>
      </c>
      <c r="I122" s="18"/>
      <c r="J122" s="62"/>
      <c r="K122" s="62"/>
      <c r="L122" s="420" t="str">
        <f t="shared" si="19"/>
        <v/>
      </c>
      <c r="M122" s="401" t="str">
        <f t="shared" si="20"/>
        <v/>
      </c>
    </row>
    <row r="123" spans="2:13" x14ac:dyDescent="0.25">
      <c r="B123" s="58"/>
      <c r="C123" s="65"/>
      <c r="D123" s="15"/>
      <c r="E123" s="15"/>
      <c r="F123" s="580"/>
      <c r="G123" s="424"/>
      <c r="H123" s="743" t="str">
        <f t="shared" si="18"/>
        <v/>
      </c>
      <c r="I123" s="18"/>
      <c r="J123" s="62"/>
      <c r="K123" s="399"/>
      <c r="L123" s="420" t="str">
        <f t="shared" si="19"/>
        <v/>
      </c>
      <c r="M123" s="401" t="str">
        <f t="shared" si="20"/>
        <v/>
      </c>
    </row>
    <row r="124" spans="2:13" x14ac:dyDescent="0.25">
      <c r="B124" s="58"/>
      <c r="C124" s="65"/>
      <c r="D124" s="15"/>
      <c r="E124" s="15"/>
      <c r="F124" s="580"/>
      <c r="G124" s="424"/>
      <c r="H124" s="743" t="str">
        <f t="shared" si="18"/>
        <v/>
      </c>
      <c r="I124" s="18"/>
      <c r="J124" s="62"/>
      <c r="K124" s="399"/>
      <c r="L124" s="420" t="str">
        <f t="shared" si="19"/>
        <v/>
      </c>
      <c r="M124" s="401" t="str">
        <f t="shared" si="20"/>
        <v/>
      </c>
    </row>
    <row r="125" spans="2:13" x14ac:dyDescent="0.25">
      <c r="B125" s="58"/>
      <c r="C125" s="65"/>
      <c r="D125" s="15"/>
      <c r="E125" s="15"/>
      <c r="F125" s="580"/>
      <c r="G125" s="424"/>
      <c r="H125" s="743" t="str">
        <f t="shared" si="18"/>
        <v/>
      </c>
      <c r="I125" s="18"/>
      <c r="J125" s="62"/>
      <c r="K125" s="399"/>
      <c r="L125" s="420" t="str">
        <f t="shared" si="19"/>
        <v/>
      </c>
      <c r="M125" s="401" t="str">
        <f t="shared" si="20"/>
        <v/>
      </c>
    </row>
    <row r="126" spans="2:13" x14ac:dyDescent="0.25">
      <c r="B126" s="58"/>
      <c r="C126" s="65"/>
      <c r="D126" s="15"/>
      <c r="E126" s="15"/>
      <c r="F126" s="580"/>
      <c r="G126" s="424"/>
      <c r="H126" s="743" t="str">
        <f t="shared" si="18"/>
        <v/>
      </c>
      <c r="I126" s="18"/>
      <c r="J126" s="62"/>
      <c r="K126" s="399"/>
      <c r="L126" s="420" t="str">
        <f t="shared" si="19"/>
        <v/>
      </c>
      <c r="M126" s="401" t="str">
        <f t="shared" si="20"/>
        <v/>
      </c>
    </row>
    <row r="127" spans="2:13" x14ac:dyDescent="0.25">
      <c r="B127" s="58"/>
      <c r="C127" s="65"/>
      <c r="D127" s="15"/>
      <c r="E127" s="15"/>
      <c r="F127" s="580"/>
      <c r="G127" s="424"/>
      <c r="H127" s="743" t="str">
        <f t="shared" si="18"/>
        <v/>
      </c>
      <c r="I127" s="18"/>
      <c r="J127" s="62"/>
      <c r="K127" s="399"/>
      <c r="L127" s="420" t="str">
        <f t="shared" si="19"/>
        <v/>
      </c>
      <c r="M127" s="401" t="str">
        <f t="shared" si="20"/>
        <v/>
      </c>
    </row>
    <row r="128" spans="2:13" x14ac:dyDescent="0.25">
      <c r="B128" s="58"/>
      <c r="C128" s="65"/>
      <c r="D128" s="15"/>
      <c r="E128" s="15"/>
      <c r="F128" s="580"/>
      <c r="G128" s="424"/>
      <c r="H128" s="743" t="str">
        <f t="shared" si="18"/>
        <v/>
      </c>
      <c r="I128" s="18"/>
      <c r="J128" s="62"/>
      <c r="K128" s="399"/>
      <c r="L128" s="420" t="str">
        <f t="shared" si="19"/>
        <v/>
      </c>
      <c r="M128" s="401" t="str">
        <f t="shared" si="20"/>
        <v/>
      </c>
    </row>
    <row r="129" spans="2:13" x14ac:dyDescent="0.25">
      <c r="B129" s="58"/>
      <c r="C129" s="65"/>
      <c r="D129" s="15"/>
      <c r="E129" s="15"/>
      <c r="F129" s="580"/>
      <c r="G129" s="424"/>
      <c r="H129" s="743" t="str">
        <f t="shared" si="18"/>
        <v/>
      </c>
      <c r="I129" s="18"/>
      <c r="J129" s="62"/>
      <c r="K129" s="399"/>
      <c r="L129" s="420" t="str">
        <f t="shared" si="19"/>
        <v/>
      </c>
      <c r="M129" s="401" t="str">
        <f t="shared" si="20"/>
        <v/>
      </c>
    </row>
    <row r="130" spans="2:13" x14ac:dyDescent="0.25">
      <c r="B130" s="58"/>
      <c r="C130" s="65"/>
      <c r="D130" s="15"/>
      <c r="E130" s="15"/>
      <c r="F130" s="580"/>
      <c r="G130" s="424"/>
      <c r="H130" s="743" t="str">
        <f t="shared" si="18"/>
        <v/>
      </c>
      <c r="I130" s="18"/>
      <c r="J130" s="62"/>
      <c r="K130" s="399"/>
      <c r="L130" s="420" t="str">
        <f t="shared" si="19"/>
        <v/>
      </c>
      <c r="M130" s="401" t="str">
        <f t="shared" si="20"/>
        <v/>
      </c>
    </row>
    <row r="131" spans="2:13" x14ac:dyDescent="0.25">
      <c r="B131" s="58"/>
      <c r="C131" s="65"/>
      <c r="D131" s="15"/>
      <c r="E131" s="15"/>
      <c r="F131" s="580"/>
      <c r="G131" s="424"/>
      <c r="H131" s="743" t="str">
        <f t="shared" si="18"/>
        <v/>
      </c>
      <c r="I131" s="18"/>
      <c r="J131" s="62"/>
      <c r="K131" s="399"/>
      <c r="L131" s="420" t="str">
        <f t="shared" si="19"/>
        <v/>
      </c>
      <c r="M131" s="401" t="str">
        <f t="shared" si="20"/>
        <v/>
      </c>
    </row>
    <row r="132" spans="2:13" x14ac:dyDescent="0.25">
      <c r="B132" s="58"/>
      <c r="C132" s="65"/>
      <c r="D132" s="15"/>
      <c r="E132" s="15"/>
      <c r="F132" s="580"/>
      <c r="G132" s="424"/>
      <c r="H132" s="743" t="str">
        <f t="shared" si="18"/>
        <v/>
      </c>
      <c r="I132" s="18"/>
      <c r="J132" s="62"/>
      <c r="K132" s="399"/>
      <c r="L132" s="420" t="str">
        <f t="shared" si="19"/>
        <v/>
      </c>
      <c r="M132" s="401" t="str">
        <f t="shared" si="20"/>
        <v/>
      </c>
    </row>
    <row r="133" spans="2:13" x14ac:dyDescent="0.25">
      <c r="B133" s="58"/>
      <c r="C133" s="65"/>
      <c r="D133" s="15"/>
      <c r="E133" s="15"/>
      <c r="F133" s="580"/>
      <c r="G133" s="424"/>
      <c r="H133" s="743" t="str">
        <f t="shared" si="18"/>
        <v/>
      </c>
      <c r="I133" s="18"/>
      <c r="J133" s="62"/>
      <c r="K133" s="399"/>
      <c r="L133" s="420" t="str">
        <f t="shared" si="19"/>
        <v/>
      </c>
      <c r="M133" s="401" t="str">
        <f t="shared" si="20"/>
        <v/>
      </c>
    </row>
    <row r="134" spans="2:13" x14ac:dyDescent="0.25">
      <c r="B134" s="58"/>
      <c r="C134" s="65"/>
      <c r="D134" s="15"/>
      <c r="E134" s="15"/>
      <c r="F134" s="580"/>
      <c r="G134" s="424"/>
      <c r="H134" s="743" t="str">
        <f t="shared" si="18"/>
        <v/>
      </c>
      <c r="I134" s="18"/>
      <c r="J134" s="62"/>
      <c r="K134" s="399"/>
      <c r="L134" s="420" t="str">
        <f t="shared" si="19"/>
        <v/>
      </c>
      <c r="M134" s="401" t="str">
        <f t="shared" si="20"/>
        <v/>
      </c>
    </row>
    <row r="135" spans="2:13" x14ac:dyDescent="0.25">
      <c r="B135" s="58"/>
      <c r="C135" s="65"/>
      <c r="D135" s="15"/>
      <c r="E135" s="15"/>
      <c r="F135" s="580"/>
      <c r="G135" s="424"/>
      <c r="H135" s="743" t="str">
        <f t="shared" si="18"/>
        <v/>
      </c>
      <c r="I135" s="18"/>
      <c r="J135" s="62"/>
      <c r="K135" s="399"/>
      <c r="L135" s="420" t="str">
        <f t="shared" si="19"/>
        <v/>
      </c>
      <c r="M135" s="401" t="str">
        <f t="shared" si="20"/>
        <v/>
      </c>
    </row>
    <row r="136" spans="2:13" x14ac:dyDescent="0.25">
      <c r="B136" s="58"/>
      <c r="C136" s="65"/>
      <c r="D136" s="15"/>
      <c r="E136" s="15"/>
      <c r="F136" s="580"/>
      <c r="G136" s="424"/>
      <c r="H136" s="743" t="str">
        <f t="shared" si="18"/>
        <v/>
      </c>
      <c r="I136" s="18"/>
      <c r="J136" s="62"/>
      <c r="K136" s="399"/>
      <c r="L136" s="420" t="str">
        <f t="shared" si="19"/>
        <v/>
      </c>
      <c r="M136" s="401" t="str">
        <f t="shared" si="20"/>
        <v/>
      </c>
    </row>
    <row r="137" spans="2:13" x14ac:dyDescent="0.25">
      <c r="B137" s="58"/>
      <c r="C137" s="65"/>
      <c r="D137" s="15"/>
      <c r="E137" s="15"/>
      <c r="F137" s="580"/>
      <c r="G137" s="424"/>
      <c r="H137" s="743" t="str">
        <f t="shared" si="18"/>
        <v/>
      </c>
      <c r="I137" s="18"/>
      <c r="J137" s="62"/>
      <c r="K137" s="399"/>
      <c r="L137" s="420" t="str">
        <f t="shared" si="19"/>
        <v/>
      </c>
      <c r="M137" s="401" t="str">
        <f t="shared" si="20"/>
        <v/>
      </c>
    </row>
    <row r="138" spans="2:13" x14ac:dyDescent="0.25">
      <c r="B138" s="58"/>
      <c r="C138" s="65"/>
      <c r="D138" s="15"/>
      <c r="E138" s="15"/>
      <c r="F138" s="580"/>
      <c r="G138" s="424"/>
      <c r="H138" s="743" t="str">
        <f t="shared" si="12"/>
        <v/>
      </c>
      <c r="I138" s="18"/>
      <c r="J138" s="61"/>
      <c r="K138" s="696"/>
      <c r="L138" s="420" t="str">
        <f t="shared" si="19"/>
        <v/>
      </c>
      <c r="M138" s="401" t="str">
        <f t="shared" si="20"/>
        <v/>
      </c>
    </row>
    <row r="139" spans="2:13" s="28" customFormat="1" ht="20.149999999999999" customHeight="1" x14ac:dyDescent="0.25">
      <c r="B139" s="80" t="str">
        <f>$B$12</f>
        <v>C1.5</v>
      </c>
      <c r="C139" s="498" t="str">
        <f>"TOTAL CARRIED FORWARD"&amp;IF(H139=H$1," TO SUMMARY (Page C"&amp;Page_A&amp;")","")</f>
        <v>TOTAL CARRIED FORWARD TO SUMMARY (Page C48)</v>
      </c>
      <c r="D139" s="31"/>
      <c r="E139" s="31"/>
      <c r="F139" s="32"/>
      <c r="G139" s="31"/>
      <c r="H139" s="33">
        <f>SUM(H75:H138)</f>
        <v>0</v>
      </c>
      <c r="I139" s="34"/>
      <c r="J139" s="408"/>
      <c r="K139" s="406"/>
      <c r="L139" s="418">
        <f>SUM(L75:L138)</f>
        <v>0</v>
      </c>
      <c r="M139" s="407" t="str">
        <f t="shared" ref="M139" si="21">IF(J139="","",IF(SUM(H139)=0,"",L139/H139))</f>
        <v/>
      </c>
    </row>
    <row r="140" spans="2:13" ht="13" x14ac:dyDescent="0.25">
      <c r="B140" s="1108" t="str">
        <f>Client1</f>
        <v>Province of KwaZulu-Natal</v>
      </c>
      <c r="C140" s="1108"/>
      <c r="D140" s="1108"/>
      <c r="E140" s="87"/>
      <c r="F140" s="1109" t="str">
        <f>"Contract No. "&amp;ContractNo</f>
        <v>Contract No. ZNB 00399/00000/HOD/INF/21/T</v>
      </c>
      <c r="G140" s="1109"/>
      <c r="H140" s="1109"/>
    </row>
    <row r="141" spans="2:13" ht="13" x14ac:dyDescent="0.25">
      <c r="B141" s="1108" t="str">
        <f>Client2</f>
        <v>Department of Transport</v>
      </c>
      <c r="C141" s="1108"/>
      <c r="D141" s="1108"/>
      <c r="E141" s="87"/>
      <c r="F141" s="1109"/>
      <c r="G141" s="1109"/>
      <c r="H141" s="1109"/>
    </row>
    <row r="142" spans="2:13" x14ac:dyDescent="0.25">
      <c r="B142" s="1111"/>
      <c r="C142" s="1111"/>
      <c r="D142" s="1111"/>
      <c r="E142" s="78"/>
      <c r="F142" s="1110"/>
      <c r="G142" s="1110"/>
      <c r="H142" s="1110"/>
    </row>
    <row r="143" spans="2:13" ht="13" x14ac:dyDescent="0.25">
      <c r="B143" s="1112" t="s">
        <v>8</v>
      </c>
      <c r="C143" s="1113"/>
      <c r="D143" s="1113"/>
      <c r="E143" s="1113"/>
      <c r="F143" s="1113"/>
      <c r="G143" s="1113"/>
      <c r="H143" s="1114" t="str">
        <f>$H$6</f>
        <v>CHAPTER C1.5</v>
      </c>
      <c r="I143" s="6"/>
    </row>
    <row r="144" spans="2:13" ht="13" x14ac:dyDescent="0.25">
      <c r="B144" s="1117" t="str">
        <f>ContractDescription</f>
        <v>THE CONSTRUCTION OF EARTHWORKS, LAYERWORKS, SURFACING, CULVERTS AND CWAKA RIVER BRIDGE FROM KM 11.600 TO KM 14.000 ON MAIN ROAD P494 IN THE KING CETSHWAYO DISTRICT UNDER EMPANGENI REGION</v>
      </c>
      <c r="C144" s="1118"/>
      <c r="D144" s="1118"/>
      <c r="E144" s="1118"/>
      <c r="F144" s="1118"/>
      <c r="G144" s="1118"/>
      <c r="H144" s="1115"/>
      <c r="I144" s="8"/>
    </row>
    <row r="145" spans="2:13" ht="13" x14ac:dyDescent="0.25">
      <c r="B145" s="1117"/>
      <c r="C145" s="1118"/>
      <c r="D145" s="1118"/>
      <c r="E145" s="1118"/>
      <c r="F145" s="1118"/>
      <c r="G145" s="1118"/>
      <c r="H145" s="1115"/>
      <c r="I145" s="8"/>
    </row>
    <row r="146" spans="2:13" ht="13" x14ac:dyDescent="0.25">
      <c r="B146" s="1119"/>
      <c r="C146" s="1120"/>
      <c r="D146" s="1120"/>
      <c r="E146" s="1120"/>
      <c r="F146" s="1120"/>
      <c r="G146" s="1120"/>
      <c r="H146" s="1116"/>
      <c r="I146" s="8"/>
    </row>
    <row r="147" spans="2:13" s="9" customFormat="1" ht="25" customHeight="1" x14ac:dyDescent="0.25">
      <c r="B147" s="74" t="s">
        <v>0</v>
      </c>
      <c r="C147" s="11" t="s">
        <v>1</v>
      </c>
      <c r="D147" s="11" t="s">
        <v>2</v>
      </c>
      <c r="E147" s="11"/>
      <c r="F147" s="11" t="s">
        <v>3</v>
      </c>
      <c r="G147" s="11" t="s">
        <v>4</v>
      </c>
      <c r="H147" s="11" t="s">
        <v>5</v>
      </c>
      <c r="I147" s="12"/>
      <c r="J147" s="408" t="s">
        <v>996</v>
      </c>
      <c r="K147" s="253" t="s">
        <v>997</v>
      </c>
      <c r="L147" s="253" t="s">
        <v>998</v>
      </c>
      <c r="M147" s="253" t="s">
        <v>999</v>
      </c>
    </row>
    <row r="148" spans="2:13" s="28" customFormat="1" ht="20.149999999999999" customHeight="1" x14ac:dyDescent="0.25">
      <c r="B148" s="80"/>
      <c r="C148" s="30" t="s">
        <v>27</v>
      </c>
      <c r="D148" s="31"/>
      <c r="E148" s="31"/>
      <c r="F148" s="32"/>
      <c r="G148" s="31"/>
      <c r="H148" s="33">
        <f>H139</f>
        <v>0</v>
      </c>
      <c r="I148" s="34"/>
      <c r="J148" s="416"/>
      <c r="K148" s="409"/>
      <c r="L148" s="419">
        <f>L139</f>
        <v>0</v>
      </c>
      <c r="M148" s="410" t="str">
        <f>IF(F148="","",IF(SUM(I148)=0,"",L148/I148))</f>
        <v/>
      </c>
    </row>
    <row r="149" spans="2:13" x14ac:dyDescent="0.25">
      <c r="B149" s="58"/>
      <c r="C149" s="14"/>
      <c r="D149" s="15"/>
      <c r="E149" s="15"/>
      <c r="F149" s="580"/>
      <c r="G149" s="422"/>
      <c r="H149" s="17" t="str">
        <f t="shared" ref="H149:H208" si="22">IF(D149="","",F149*G149)</f>
        <v/>
      </c>
      <c r="I149" s="18"/>
      <c r="J149" s="61"/>
      <c r="K149" s="399"/>
      <c r="L149" s="420" t="str">
        <f t="shared" ref="L149:L168" si="23">IF(J149="","",F149*K149)</f>
        <v/>
      </c>
      <c r="M149" s="401" t="str">
        <f t="shared" ref="M149:M168" si="24">IF(J149="","",IF(SUM(H149)=0,"",L149/H149))</f>
        <v/>
      </c>
    </row>
    <row r="150" spans="2:13" x14ac:dyDescent="0.25">
      <c r="B150" s="58"/>
      <c r="C150" s="65"/>
      <c r="D150" s="15"/>
      <c r="E150" s="15"/>
      <c r="F150" s="15"/>
      <c r="G150" s="411"/>
      <c r="H150" s="743" t="str">
        <f t="shared" si="22"/>
        <v/>
      </c>
      <c r="I150" s="18"/>
      <c r="J150" s="61"/>
      <c r="K150" s="399"/>
      <c r="L150" s="420" t="str">
        <f t="shared" si="23"/>
        <v/>
      </c>
      <c r="M150" s="401" t="str">
        <f t="shared" si="24"/>
        <v/>
      </c>
    </row>
    <row r="151" spans="2:13" x14ac:dyDescent="0.25">
      <c r="B151" s="58"/>
      <c r="C151" s="65"/>
      <c r="D151" s="15"/>
      <c r="E151" s="15"/>
      <c r="F151" s="15"/>
      <c r="G151" s="411"/>
      <c r="H151" s="743" t="str">
        <f t="shared" si="22"/>
        <v/>
      </c>
      <c r="I151" s="18"/>
      <c r="J151" s="61"/>
      <c r="K151" s="399"/>
      <c r="L151" s="420" t="str">
        <f t="shared" si="23"/>
        <v/>
      </c>
      <c r="M151" s="401" t="str">
        <f t="shared" si="24"/>
        <v/>
      </c>
    </row>
    <row r="152" spans="2:13" x14ac:dyDescent="0.25">
      <c r="B152" s="58"/>
      <c r="C152" s="65"/>
      <c r="D152" s="15"/>
      <c r="E152" s="15"/>
      <c r="F152" s="15"/>
      <c r="G152" s="411"/>
      <c r="H152" s="743" t="str">
        <f t="shared" si="22"/>
        <v/>
      </c>
      <c r="I152" s="18"/>
      <c r="J152" s="61"/>
      <c r="K152" s="399"/>
      <c r="L152" s="420" t="str">
        <f t="shared" si="23"/>
        <v/>
      </c>
      <c r="M152" s="401" t="str">
        <f t="shared" si="24"/>
        <v/>
      </c>
    </row>
    <row r="153" spans="2:13" x14ac:dyDescent="0.25">
      <c r="B153" s="58"/>
      <c r="C153" s="65"/>
      <c r="D153" s="15"/>
      <c r="E153" s="15"/>
      <c r="F153" s="15"/>
      <c r="G153" s="411"/>
      <c r="H153" s="743" t="str">
        <f t="shared" si="22"/>
        <v/>
      </c>
      <c r="I153" s="18"/>
      <c r="J153" s="61"/>
      <c r="K153" s="402"/>
      <c r="L153" s="420" t="str">
        <f t="shared" si="23"/>
        <v/>
      </c>
      <c r="M153" s="401" t="str">
        <f t="shared" si="24"/>
        <v/>
      </c>
    </row>
    <row r="154" spans="2:13" x14ac:dyDescent="0.25">
      <c r="B154" s="58"/>
      <c r="C154" s="65"/>
      <c r="D154" s="15"/>
      <c r="E154" s="15"/>
      <c r="F154" s="15"/>
      <c r="G154" s="411"/>
      <c r="H154" s="743" t="str">
        <f t="shared" si="22"/>
        <v/>
      </c>
      <c r="I154" s="18"/>
      <c r="J154" s="61"/>
      <c r="K154" s="399"/>
      <c r="L154" s="420" t="str">
        <f t="shared" si="23"/>
        <v/>
      </c>
      <c r="M154" s="401" t="str">
        <f t="shared" si="24"/>
        <v/>
      </c>
    </row>
    <row r="155" spans="2:13" x14ac:dyDescent="0.25">
      <c r="B155" s="58"/>
      <c r="C155" s="65"/>
      <c r="D155" s="15"/>
      <c r="E155" s="15"/>
      <c r="F155" s="15"/>
      <c r="G155" s="411"/>
      <c r="H155" s="743" t="str">
        <f t="shared" si="22"/>
        <v/>
      </c>
      <c r="I155" s="18"/>
      <c r="J155" s="61"/>
      <c r="K155" s="402"/>
      <c r="L155" s="420" t="str">
        <f t="shared" si="23"/>
        <v/>
      </c>
      <c r="M155" s="401" t="str">
        <f t="shared" si="24"/>
        <v/>
      </c>
    </row>
    <row r="156" spans="2:13" x14ac:dyDescent="0.25">
      <c r="B156" s="58"/>
      <c r="C156" s="65"/>
      <c r="D156" s="15"/>
      <c r="E156" s="15"/>
      <c r="F156" s="15"/>
      <c r="G156" s="411"/>
      <c r="H156" s="743" t="str">
        <f t="shared" si="22"/>
        <v/>
      </c>
      <c r="I156" s="18"/>
      <c r="J156" s="61"/>
      <c r="K156" s="399"/>
      <c r="L156" s="420" t="str">
        <f t="shared" si="23"/>
        <v/>
      </c>
      <c r="M156" s="401" t="str">
        <f t="shared" si="24"/>
        <v/>
      </c>
    </row>
    <row r="157" spans="2:13" x14ac:dyDescent="0.25">
      <c r="B157" s="58"/>
      <c r="C157" s="65"/>
      <c r="D157" s="15"/>
      <c r="E157" s="15"/>
      <c r="F157" s="15"/>
      <c r="G157" s="411"/>
      <c r="H157" s="743" t="str">
        <f t="shared" si="22"/>
        <v/>
      </c>
      <c r="I157" s="18"/>
      <c r="J157" s="61"/>
      <c r="K157" s="399"/>
      <c r="L157" s="420" t="str">
        <f t="shared" si="23"/>
        <v/>
      </c>
      <c r="M157" s="401" t="str">
        <f t="shared" si="24"/>
        <v/>
      </c>
    </row>
    <row r="158" spans="2:13" x14ac:dyDescent="0.25">
      <c r="B158" s="58"/>
      <c r="C158" s="65"/>
      <c r="D158" s="15"/>
      <c r="E158" s="15"/>
      <c r="F158" s="15"/>
      <c r="G158" s="411"/>
      <c r="H158" s="743" t="str">
        <f t="shared" si="22"/>
        <v/>
      </c>
      <c r="I158" s="18"/>
      <c r="J158" s="61"/>
      <c r="K158" s="399"/>
      <c r="L158" s="420" t="str">
        <f t="shared" si="23"/>
        <v/>
      </c>
      <c r="M158" s="401" t="str">
        <f t="shared" si="24"/>
        <v/>
      </c>
    </row>
    <row r="159" spans="2:13" x14ac:dyDescent="0.25">
      <c r="B159" s="58"/>
      <c r="C159" s="65"/>
      <c r="D159" s="15"/>
      <c r="E159" s="15"/>
      <c r="F159" s="15"/>
      <c r="G159" s="411"/>
      <c r="H159" s="743" t="str">
        <f t="shared" si="22"/>
        <v/>
      </c>
      <c r="I159" s="18"/>
      <c r="J159" s="61"/>
      <c r="K159" s="399"/>
      <c r="L159" s="420" t="str">
        <f t="shared" si="23"/>
        <v/>
      </c>
      <c r="M159" s="401" t="str">
        <f t="shared" si="24"/>
        <v/>
      </c>
    </row>
    <row r="160" spans="2:13" x14ac:dyDescent="0.25">
      <c r="B160" s="58"/>
      <c r="C160" s="386"/>
      <c r="D160" s="390"/>
      <c r="E160" s="390"/>
      <c r="F160" s="15"/>
      <c r="G160" s="411"/>
      <c r="H160" s="743" t="str">
        <f t="shared" si="22"/>
        <v/>
      </c>
      <c r="I160" s="18"/>
      <c r="J160" s="61"/>
      <c r="K160" s="399"/>
      <c r="L160" s="420" t="str">
        <f t="shared" si="23"/>
        <v/>
      </c>
      <c r="M160" s="401" t="str">
        <f t="shared" si="24"/>
        <v/>
      </c>
    </row>
    <row r="161" spans="2:13" x14ac:dyDescent="0.25">
      <c r="B161" s="58"/>
      <c r="C161" s="386"/>
      <c r="D161" s="390"/>
      <c r="E161" s="390"/>
      <c r="F161" s="15"/>
      <c r="G161" s="411"/>
      <c r="H161" s="17" t="str">
        <f t="shared" si="22"/>
        <v/>
      </c>
      <c r="I161" s="18"/>
      <c r="J161" s="62"/>
      <c r="K161" s="62"/>
      <c r="L161" s="420" t="str">
        <f t="shared" si="23"/>
        <v/>
      </c>
      <c r="M161" s="401" t="str">
        <f t="shared" si="24"/>
        <v/>
      </c>
    </row>
    <row r="162" spans="2:13" x14ac:dyDescent="0.25">
      <c r="B162" s="58"/>
      <c r="C162" s="65"/>
      <c r="D162" s="15"/>
      <c r="E162" s="15"/>
      <c r="F162" s="15"/>
      <c r="G162" s="411"/>
      <c r="H162" s="17" t="str">
        <f t="shared" si="22"/>
        <v/>
      </c>
      <c r="I162" s="18"/>
      <c r="J162" s="61"/>
      <c r="K162" s="399"/>
      <c r="L162" s="420" t="str">
        <f t="shared" si="23"/>
        <v/>
      </c>
      <c r="M162" s="401" t="str">
        <f t="shared" si="24"/>
        <v/>
      </c>
    </row>
    <row r="163" spans="2:13" x14ac:dyDescent="0.25">
      <c r="B163" s="58"/>
      <c r="C163" s="65"/>
      <c r="D163" s="15"/>
      <c r="E163" s="15"/>
      <c r="F163" s="15"/>
      <c r="G163" s="411"/>
      <c r="H163" s="389" t="str">
        <f t="shared" si="22"/>
        <v/>
      </c>
      <c r="I163" s="18"/>
      <c r="J163" s="61"/>
      <c r="K163" s="62"/>
      <c r="L163" s="420" t="str">
        <f t="shared" si="23"/>
        <v/>
      </c>
      <c r="M163" s="401" t="str">
        <f t="shared" si="24"/>
        <v/>
      </c>
    </row>
    <row r="164" spans="2:13" x14ac:dyDescent="0.25">
      <c r="B164" s="58"/>
      <c r="C164" s="65"/>
      <c r="D164" s="15"/>
      <c r="E164" s="15"/>
      <c r="F164" s="15"/>
      <c r="G164" s="411"/>
      <c r="H164" s="17" t="str">
        <f t="shared" si="22"/>
        <v/>
      </c>
      <c r="I164" s="18"/>
      <c r="J164" s="61"/>
      <c r="K164" s="62"/>
      <c r="L164" s="420" t="str">
        <f t="shared" si="23"/>
        <v/>
      </c>
      <c r="M164" s="401" t="str">
        <f t="shared" si="24"/>
        <v/>
      </c>
    </row>
    <row r="165" spans="2:13" x14ac:dyDescent="0.25">
      <c r="B165" s="58"/>
      <c r="C165" s="65"/>
      <c r="D165" s="15"/>
      <c r="E165" s="15"/>
      <c r="F165" s="15"/>
      <c r="G165" s="411"/>
      <c r="H165" s="17" t="str">
        <f t="shared" si="22"/>
        <v/>
      </c>
      <c r="I165" s="18"/>
      <c r="J165" s="62"/>
      <c r="K165" s="62"/>
      <c r="L165" s="420" t="str">
        <f t="shared" si="23"/>
        <v/>
      </c>
      <c r="M165" s="401" t="str">
        <f t="shared" si="24"/>
        <v/>
      </c>
    </row>
    <row r="166" spans="2:13" x14ac:dyDescent="0.25">
      <c r="B166" s="58"/>
      <c r="C166" s="751"/>
      <c r="D166" s="15"/>
      <c r="E166" s="15"/>
      <c r="F166" s="15"/>
      <c r="G166" s="411"/>
      <c r="H166" s="17" t="str">
        <f t="shared" si="22"/>
        <v/>
      </c>
      <c r="I166" s="18"/>
      <c r="J166" s="61"/>
      <c r="K166" s="399"/>
      <c r="L166" s="420" t="str">
        <f t="shared" si="23"/>
        <v/>
      </c>
      <c r="M166" s="401" t="str">
        <f t="shared" si="24"/>
        <v/>
      </c>
    </row>
    <row r="167" spans="2:13" x14ac:dyDescent="0.25">
      <c r="B167" s="58"/>
      <c r="C167" s="65"/>
      <c r="D167" s="15"/>
      <c r="E167" s="15"/>
      <c r="F167" s="15"/>
      <c r="G167" s="411"/>
      <c r="H167" s="17" t="str">
        <f t="shared" si="22"/>
        <v/>
      </c>
      <c r="I167" s="18"/>
      <c r="J167" s="62"/>
      <c r="K167" s="62"/>
      <c r="L167" s="420" t="str">
        <f t="shared" si="23"/>
        <v/>
      </c>
      <c r="M167" s="401" t="str">
        <f t="shared" si="24"/>
        <v/>
      </c>
    </row>
    <row r="168" spans="2:13" x14ac:dyDescent="0.25">
      <c r="B168" s="58"/>
      <c r="C168" s="65"/>
      <c r="D168" s="15"/>
      <c r="E168" s="15"/>
      <c r="F168" s="15"/>
      <c r="G168" s="411"/>
      <c r="H168" s="17" t="str">
        <f t="shared" si="22"/>
        <v/>
      </c>
      <c r="I168" s="18"/>
      <c r="J168" s="61"/>
      <c r="K168" s="399"/>
      <c r="L168" s="420" t="str">
        <f t="shared" si="23"/>
        <v/>
      </c>
      <c r="M168" s="401" t="str">
        <f t="shared" si="24"/>
        <v/>
      </c>
    </row>
    <row r="169" spans="2:13" x14ac:dyDescent="0.25">
      <c r="B169" s="58"/>
      <c r="C169" s="65"/>
      <c r="D169" s="15"/>
      <c r="E169" s="15"/>
      <c r="F169" s="15"/>
      <c r="G169" s="411"/>
      <c r="H169" s="743" t="str">
        <f t="shared" si="22"/>
        <v/>
      </c>
      <c r="I169" s="18"/>
      <c r="J169" s="61"/>
      <c r="K169" s="402"/>
      <c r="L169" s="420" t="str">
        <f t="shared" ref="L169:L208" si="25">IF(J169="","",F169*K169)</f>
        <v/>
      </c>
      <c r="M169" s="401" t="str">
        <f t="shared" ref="M169:M208" si="26">IF(J169="","",IF(SUM(H169)=0,"",L169/H169))</f>
        <v/>
      </c>
    </row>
    <row r="170" spans="2:13" x14ac:dyDescent="0.25">
      <c r="B170" s="58"/>
      <c r="C170" s="65"/>
      <c r="D170" s="15"/>
      <c r="E170" s="15"/>
      <c r="F170" s="15"/>
      <c r="G170" s="411"/>
      <c r="H170" s="743" t="str">
        <f t="shared" si="22"/>
        <v/>
      </c>
      <c r="I170" s="18"/>
      <c r="J170" s="61"/>
      <c r="K170" s="399"/>
      <c r="L170" s="420" t="str">
        <f t="shared" si="25"/>
        <v/>
      </c>
      <c r="M170" s="401" t="str">
        <f t="shared" si="26"/>
        <v/>
      </c>
    </row>
    <row r="171" spans="2:13" x14ac:dyDescent="0.25">
      <c r="B171" s="58"/>
      <c r="C171" s="65"/>
      <c r="D171" s="15"/>
      <c r="E171" s="15"/>
      <c r="F171" s="15"/>
      <c r="G171" s="411"/>
      <c r="H171" s="743" t="str">
        <f t="shared" si="22"/>
        <v/>
      </c>
      <c r="I171" s="18"/>
      <c r="J171" s="61"/>
      <c r="K171" s="402"/>
      <c r="L171" s="420" t="str">
        <f t="shared" si="25"/>
        <v/>
      </c>
      <c r="M171" s="401" t="str">
        <f t="shared" si="26"/>
        <v/>
      </c>
    </row>
    <row r="172" spans="2:13" x14ac:dyDescent="0.25">
      <c r="B172" s="58"/>
      <c r="C172" s="65"/>
      <c r="D172" s="15"/>
      <c r="E172" s="15"/>
      <c r="F172" s="15"/>
      <c r="G172" s="411"/>
      <c r="H172" s="743" t="str">
        <f t="shared" si="22"/>
        <v/>
      </c>
      <c r="I172" s="18"/>
      <c r="J172" s="61"/>
      <c r="K172" s="399"/>
      <c r="L172" s="420" t="str">
        <f t="shared" si="25"/>
        <v/>
      </c>
      <c r="M172" s="401" t="str">
        <f t="shared" si="26"/>
        <v/>
      </c>
    </row>
    <row r="173" spans="2:13" x14ac:dyDescent="0.25">
      <c r="B173" s="58"/>
      <c r="C173" s="65"/>
      <c r="D173" s="15"/>
      <c r="E173" s="15"/>
      <c r="F173" s="15"/>
      <c r="G173" s="411"/>
      <c r="H173" s="743" t="str">
        <f t="shared" si="22"/>
        <v/>
      </c>
      <c r="I173" s="18"/>
      <c r="J173" s="61"/>
      <c r="K173" s="399"/>
      <c r="L173" s="420" t="str">
        <f t="shared" si="25"/>
        <v/>
      </c>
      <c r="M173" s="401" t="str">
        <f t="shared" si="26"/>
        <v/>
      </c>
    </row>
    <row r="174" spans="2:13" x14ac:dyDescent="0.25">
      <c r="B174" s="58"/>
      <c r="C174" s="65"/>
      <c r="D174" s="15"/>
      <c r="E174" s="15"/>
      <c r="F174" s="15"/>
      <c r="G174" s="411"/>
      <c r="H174" s="743" t="str">
        <f t="shared" si="22"/>
        <v/>
      </c>
      <c r="I174" s="18"/>
      <c r="J174" s="61"/>
      <c r="K174" s="399"/>
      <c r="L174" s="420" t="str">
        <f t="shared" si="25"/>
        <v/>
      </c>
      <c r="M174" s="401" t="str">
        <f t="shared" si="26"/>
        <v/>
      </c>
    </row>
    <row r="175" spans="2:13" x14ac:dyDescent="0.25">
      <c r="B175" s="58"/>
      <c r="C175" s="65"/>
      <c r="D175" s="15"/>
      <c r="E175" s="15"/>
      <c r="F175" s="15"/>
      <c r="G175" s="411"/>
      <c r="H175" s="743" t="str">
        <f t="shared" si="22"/>
        <v/>
      </c>
      <c r="I175" s="18"/>
      <c r="J175" s="61"/>
      <c r="K175" s="399"/>
      <c r="L175" s="420" t="str">
        <f t="shared" si="25"/>
        <v/>
      </c>
      <c r="M175" s="401" t="str">
        <f t="shared" si="26"/>
        <v/>
      </c>
    </row>
    <row r="176" spans="2:13" x14ac:dyDescent="0.25">
      <c r="B176" s="58"/>
      <c r="C176" s="65"/>
      <c r="D176" s="15"/>
      <c r="E176" s="15"/>
      <c r="F176" s="15"/>
      <c r="G176" s="411"/>
      <c r="H176" s="743" t="str">
        <f t="shared" si="22"/>
        <v/>
      </c>
      <c r="I176" s="18"/>
      <c r="J176" s="61"/>
      <c r="K176" s="399"/>
      <c r="L176" s="420" t="str">
        <f t="shared" si="25"/>
        <v/>
      </c>
      <c r="M176" s="401" t="str">
        <f t="shared" si="26"/>
        <v/>
      </c>
    </row>
    <row r="177" spans="2:13" x14ac:dyDescent="0.25">
      <c r="B177" s="58"/>
      <c r="C177" s="65"/>
      <c r="D177" s="15"/>
      <c r="E177" s="15"/>
      <c r="F177" s="15"/>
      <c r="G177" s="411"/>
      <c r="H177" s="743" t="str">
        <f t="shared" si="22"/>
        <v/>
      </c>
      <c r="I177" s="18"/>
      <c r="J177" s="61"/>
      <c r="K177" s="399"/>
      <c r="L177" s="420" t="str">
        <f t="shared" si="25"/>
        <v/>
      </c>
      <c r="M177" s="401" t="str">
        <f t="shared" si="26"/>
        <v/>
      </c>
    </row>
    <row r="178" spans="2:13" x14ac:dyDescent="0.25">
      <c r="B178" s="58"/>
      <c r="C178" s="65"/>
      <c r="D178" s="15"/>
      <c r="E178" s="15"/>
      <c r="F178" s="15"/>
      <c r="G178" s="411"/>
      <c r="H178" s="743" t="str">
        <f t="shared" si="22"/>
        <v/>
      </c>
      <c r="I178" s="18"/>
      <c r="J178" s="61"/>
      <c r="K178" s="399"/>
      <c r="L178" s="420" t="str">
        <f t="shared" si="25"/>
        <v/>
      </c>
      <c r="M178" s="401" t="str">
        <f t="shared" si="26"/>
        <v/>
      </c>
    </row>
    <row r="179" spans="2:13" x14ac:dyDescent="0.25">
      <c r="B179" s="58"/>
      <c r="C179" s="65"/>
      <c r="D179" s="15"/>
      <c r="E179" s="15"/>
      <c r="F179" s="15"/>
      <c r="G179" s="411"/>
      <c r="H179" s="743" t="str">
        <f t="shared" si="22"/>
        <v/>
      </c>
      <c r="I179" s="18"/>
      <c r="J179" s="61"/>
      <c r="K179" s="399"/>
      <c r="L179" s="420" t="str">
        <f t="shared" si="25"/>
        <v/>
      </c>
      <c r="M179" s="401" t="str">
        <f t="shared" si="26"/>
        <v/>
      </c>
    </row>
    <row r="180" spans="2:13" x14ac:dyDescent="0.25">
      <c r="B180" s="58"/>
      <c r="C180" s="65"/>
      <c r="D180" s="15"/>
      <c r="E180" s="15"/>
      <c r="F180" s="15"/>
      <c r="G180" s="411"/>
      <c r="H180" s="743" t="str">
        <f t="shared" si="22"/>
        <v/>
      </c>
      <c r="I180" s="18"/>
      <c r="J180" s="61"/>
      <c r="K180" s="399"/>
      <c r="L180" s="420" t="str">
        <f t="shared" si="25"/>
        <v/>
      </c>
      <c r="M180" s="401" t="str">
        <f t="shared" si="26"/>
        <v/>
      </c>
    </row>
    <row r="181" spans="2:13" x14ac:dyDescent="0.25">
      <c r="B181" s="58"/>
      <c r="C181" s="65"/>
      <c r="D181" s="15"/>
      <c r="E181" s="15"/>
      <c r="F181" s="15"/>
      <c r="G181" s="411"/>
      <c r="H181" s="743" t="str">
        <f t="shared" si="22"/>
        <v/>
      </c>
      <c r="I181" s="18"/>
      <c r="J181" s="61"/>
      <c r="K181" s="399"/>
      <c r="L181" s="420" t="str">
        <f t="shared" si="25"/>
        <v/>
      </c>
      <c r="M181" s="401" t="str">
        <f t="shared" si="26"/>
        <v/>
      </c>
    </row>
    <row r="182" spans="2:13" x14ac:dyDescent="0.25">
      <c r="B182" s="58"/>
      <c r="C182" s="65"/>
      <c r="D182" s="15"/>
      <c r="E182" s="15"/>
      <c r="F182" s="15"/>
      <c r="G182" s="411"/>
      <c r="H182" s="743" t="str">
        <f t="shared" si="22"/>
        <v/>
      </c>
      <c r="I182" s="18"/>
      <c r="J182" s="61"/>
      <c r="K182" s="399"/>
      <c r="L182" s="420" t="str">
        <f t="shared" si="25"/>
        <v/>
      </c>
      <c r="M182" s="401" t="str">
        <f t="shared" si="26"/>
        <v/>
      </c>
    </row>
    <row r="183" spans="2:13" x14ac:dyDescent="0.25">
      <c r="B183" s="58"/>
      <c r="C183" s="65"/>
      <c r="D183" s="15"/>
      <c r="E183" s="15"/>
      <c r="F183" s="15"/>
      <c r="G183" s="411"/>
      <c r="H183" s="743" t="str">
        <f t="shared" si="22"/>
        <v/>
      </c>
      <c r="I183" s="18"/>
      <c r="J183" s="61"/>
      <c r="K183" s="399"/>
      <c r="L183" s="420" t="str">
        <f t="shared" si="25"/>
        <v/>
      </c>
      <c r="M183" s="401" t="str">
        <f t="shared" si="26"/>
        <v/>
      </c>
    </row>
    <row r="184" spans="2:13" x14ac:dyDescent="0.25">
      <c r="B184" s="58"/>
      <c r="C184" s="65"/>
      <c r="D184" s="15"/>
      <c r="E184" s="15"/>
      <c r="F184" s="15"/>
      <c r="G184" s="411"/>
      <c r="H184" s="743" t="str">
        <f t="shared" si="22"/>
        <v/>
      </c>
      <c r="I184" s="18"/>
      <c r="J184" s="61"/>
      <c r="K184" s="399"/>
      <c r="L184" s="420" t="str">
        <f t="shared" si="25"/>
        <v/>
      </c>
      <c r="M184" s="401" t="str">
        <f t="shared" si="26"/>
        <v/>
      </c>
    </row>
    <row r="185" spans="2:13" x14ac:dyDescent="0.25">
      <c r="B185" s="58"/>
      <c r="C185" s="65"/>
      <c r="D185" s="15"/>
      <c r="E185" s="15"/>
      <c r="F185" s="15"/>
      <c r="G185" s="411"/>
      <c r="H185" s="743" t="str">
        <f t="shared" si="22"/>
        <v/>
      </c>
      <c r="I185" s="18"/>
      <c r="J185" s="61"/>
      <c r="K185" s="399"/>
      <c r="L185" s="420" t="str">
        <f t="shared" si="25"/>
        <v/>
      </c>
      <c r="M185" s="401" t="str">
        <f t="shared" si="26"/>
        <v/>
      </c>
    </row>
    <row r="186" spans="2:13" x14ac:dyDescent="0.25">
      <c r="B186" s="58"/>
      <c r="C186" s="65"/>
      <c r="D186" s="15"/>
      <c r="E186" s="15"/>
      <c r="F186" s="15"/>
      <c r="G186" s="411"/>
      <c r="H186" s="743" t="str">
        <f t="shared" si="22"/>
        <v/>
      </c>
      <c r="I186" s="18"/>
      <c r="J186" s="61"/>
      <c r="K186" s="399"/>
      <c r="L186" s="420" t="str">
        <f t="shared" si="25"/>
        <v/>
      </c>
      <c r="M186" s="401" t="str">
        <f t="shared" si="26"/>
        <v/>
      </c>
    </row>
    <row r="187" spans="2:13" x14ac:dyDescent="0.25">
      <c r="B187" s="58"/>
      <c r="C187" s="386"/>
      <c r="D187" s="390"/>
      <c r="E187" s="390"/>
      <c r="F187" s="15"/>
      <c r="G187" s="411"/>
      <c r="H187" s="743" t="str">
        <f t="shared" si="22"/>
        <v/>
      </c>
      <c r="I187" s="18"/>
      <c r="J187" s="61"/>
      <c r="K187" s="399"/>
      <c r="L187" s="420" t="str">
        <f t="shared" si="25"/>
        <v/>
      </c>
      <c r="M187" s="401" t="str">
        <f t="shared" si="26"/>
        <v/>
      </c>
    </row>
    <row r="188" spans="2:13" x14ac:dyDescent="0.25">
      <c r="B188" s="58"/>
      <c r="C188" s="386"/>
      <c r="D188" s="390"/>
      <c r="E188" s="390"/>
      <c r="F188" s="15"/>
      <c r="G188" s="411"/>
      <c r="H188" s="17" t="str">
        <f t="shared" si="22"/>
        <v/>
      </c>
      <c r="I188" s="18"/>
      <c r="J188" s="62"/>
      <c r="K188" s="62"/>
      <c r="L188" s="420" t="str">
        <f t="shared" si="25"/>
        <v/>
      </c>
      <c r="M188" s="401" t="str">
        <f t="shared" si="26"/>
        <v/>
      </c>
    </row>
    <row r="189" spans="2:13" x14ac:dyDescent="0.25">
      <c r="B189" s="58"/>
      <c r="C189" s="65"/>
      <c r="D189" s="15"/>
      <c r="E189" s="15"/>
      <c r="F189" s="15"/>
      <c r="G189" s="411"/>
      <c r="H189" s="17" t="str">
        <f t="shared" si="22"/>
        <v/>
      </c>
      <c r="I189" s="18"/>
      <c r="J189" s="61"/>
      <c r="K189" s="399"/>
      <c r="L189" s="420" t="str">
        <f t="shared" si="25"/>
        <v/>
      </c>
      <c r="M189" s="401" t="str">
        <f t="shared" si="26"/>
        <v/>
      </c>
    </row>
    <row r="190" spans="2:13" x14ac:dyDescent="0.25">
      <c r="B190" s="58"/>
      <c r="C190" s="65"/>
      <c r="D190" s="15"/>
      <c r="E190" s="15"/>
      <c r="F190" s="15"/>
      <c r="G190" s="411"/>
      <c r="H190" s="389" t="str">
        <f t="shared" si="22"/>
        <v/>
      </c>
      <c r="I190" s="18"/>
      <c r="J190" s="61"/>
      <c r="K190" s="62"/>
      <c r="L190" s="420" t="str">
        <f t="shared" si="25"/>
        <v/>
      </c>
      <c r="M190" s="401" t="str">
        <f t="shared" si="26"/>
        <v/>
      </c>
    </row>
    <row r="191" spans="2:13" x14ac:dyDescent="0.25">
      <c r="B191" s="58"/>
      <c r="C191" s="65"/>
      <c r="D191" s="15"/>
      <c r="E191" s="15"/>
      <c r="F191" s="15"/>
      <c r="G191" s="411"/>
      <c r="H191" s="17" t="str">
        <f t="shared" si="22"/>
        <v/>
      </c>
      <c r="I191" s="18"/>
      <c r="J191" s="61"/>
      <c r="K191" s="62"/>
      <c r="L191" s="420" t="str">
        <f t="shared" si="25"/>
        <v/>
      </c>
      <c r="M191" s="401" t="str">
        <f t="shared" si="26"/>
        <v/>
      </c>
    </row>
    <row r="192" spans="2:13" x14ac:dyDescent="0.25">
      <c r="B192" s="58"/>
      <c r="C192" s="65"/>
      <c r="D192" s="15"/>
      <c r="E192" s="15"/>
      <c r="F192" s="15"/>
      <c r="G192" s="411"/>
      <c r="H192" s="17" t="str">
        <f t="shared" si="22"/>
        <v/>
      </c>
      <c r="I192" s="18"/>
      <c r="J192" s="62"/>
      <c r="K192" s="62"/>
      <c r="L192" s="420" t="str">
        <f t="shared" si="25"/>
        <v/>
      </c>
      <c r="M192" s="401" t="str">
        <f t="shared" si="26"/>
        <v/>
      </c>
    </row>
    <row r="193" spans="2:13" x14ac:dyDescent="0.25">
      <c r="B193" s="58"/>
      <c r="C193" s="751"/>
      <c r="D193" s="15"/>
      <c r="E193" s="15"/>
      <c r="F193" s="15"/>
      <c r="G193" s="411"/>
      <c r="H193" s="17" t="str">
        <f t="shared" si="22"/>
        <v/>
      </c>
      <c r="I193" s="18"/>
      <c r="J193" s="61"/>
      <c r="K193" s="399"/>
      <c r="L193" s="420" t="str">
        <f t="shared" si="25"/>
        <v/>
      </c>
      <c r="M193" s="401" t="str">
        <f t="shared" si="26"/>
        <v/>
      </c>
    </row>
    <row r="194" spans="2:13" x14ac:dyDescent="0.25">
      <c r="B194" s="58"/>
      <c r="C194" s="65"/>
      <c r="D194" s="15"/>
      <c r="E194" s="15"/>
      <c r="F194" s="15"/>
      <c r="G194" s="411"/>
      <c r="H194" s="17" t="str">
        <f t="shared" si="22"/>
        <v/>
      </c>
      <c r="I194" s="18"/>
      <c r="J194" s="62"/>
      <c r="K194" s="62"/>
      <c r="L194" s="420" t="str">
        <f t="shared" si="25"/>
        <v/>
      </c>
      <c r="M194" s="401" t="str">
        <f t="shared" si="26"/>
        <v/>
      </c>
    </row>
    <row r="195" spans="2:13" x14ac:dyDescent="0.25">
      <c r="B195" s="58"/>
      <c r="C195" s="65"/>
      <c r="D195" s="15"/>
      <c r="E195" s="15"/>
      <c r="F195" s="15"/>
      <c r="G195" s="411"/>
      <c r="H195" s="17" t="str">
        <f t="shared" si="22"/>
        <v/>
      </c>
      <c r="I195" s="18"/>
      <c r="J195" s="61"/>
      <c r="K195" s="399"/>
      <c r="L195" s="420" t="str">
        <f t="shared" si="25"/>
        <v/>
      </c>
      <c r="M195" s="401" t="str">
        <f t="shared" si="26"/>
        <v/>
      </c>
    </row>
    <row r="196" spans="2:13" x14ac:dyDescent="0.25">
      <c r="B196" s="58"/>
      <c r="C196" s="65"/>
      <c r="D196" s="15"/>
      <c r="E196" s="15"/>
      <c r="F196" s="15"/>
      <c r="G196" s="411"/>
      <c r="H196" s="743" t="str">
        <f t="shared" si="22"/>
        <v/>
      </c>
      <c r="I196" s="18"/>
      <c r="J196" s="61"/>
      <c r="K196" s="399"/>
      <c r="L196" s="420" t="str">
        <f t="shared" si="25"/>
        <v/>
      </c>
      <c r="M196" s="401" t="str">
        <f t="shared" si="26"/>
        <v/>
      </c>
    </row>
    <row r="197" spans="2:13" x14ac:dyDescent="0.25">
      <c r="B197" s="58"/>
      <c r="C197" s="65"/>
      <c r="D197" s="15"/>
      <c r="E197" s="15"/>
      <c r="F197" s="15"/>
      <c r="G197" s="411"/>
      <c r="H197" s="743" t="str">
        <f t="shared" si="22"/>
        <v/>
      </c>
      <c r="I197" s="18"/>
      <c r="J197" s="61"/>
      <c r="K197" s="399"/>
      <c r="L197" s="420" t="str">
        <f t="shared" si="25"/>
        <v/>
      </c>
      <c r="M197" s="401" t="str">
        <f t="shared" si="26"/>
        <v/>
      </c>
    </row>
    <row r="198" spans="2:13" x14ac:dyDescent="0.25">
      <c r="B198" s="58"/>
      <c r="C198" s="65"/>
      <c r="D198" s="15"/>
      <c r="E198" s="15"/>
      <c r="F198" s="15"/>
      <c r="G198" s="411"/>
      <c r="H198" s="743" t="str">
        <f t="shared" si="22"/>
        <v/>
      </c>
      <c r="I198" s="18"/>
      <c r="J198" s="61"/>
      <c r="K198" s="399"/>
      <c r="L198" s="420" t="str">
        <f t="shared" si="25"/>
        <v/>
      </c>
      <c r="M198" s="401" t="str">
        <f t="shared" si="26"/>
        <v/>
      </c>
    </row>
    <row r="199" spans="2:13" x14ac:dyDescent="0.25">
      <c r="B199" s="58"/>
      <c r="C199" s="65"/>
      <c r="D199" s="15"/>
      <c r="E199" s="15"/>
      <c r="F199" s="15"/>
      <c r="G199" s="411"/>
      <c r="H199" s="743" t="str">
        <f t="shared" si="22"/>
        <v/>
      </c>
      <c r="I199" s="18"/>
      <c r="J199" s="61"/>
      <c r="K199" s="402"/>
      <c r="L199" s="420" t="str">
        <f t="shared" si="25"/>
        <v/>
      </c>
      <c r="M199" s="401" t="str">
        <f t="shared" si="26"/>
        <v/>
      </c>
    </row>
    <row r="200" spans="2:13" x14ac:dyDescent="0.25">
      <c r="B200" s="58"/>
      <c r="C200" s="65"/>
      <c r="D200" s="15"/>
      <c r="E200" s="15"/>
      <c r="F200" s="15"/>
      <c r="G200" s="411"/>
      <c r="H200" s="743" t="str">
        <f t="shared" si="22"/>
        <v/>
      </c>
      <c r="I200" s="18"/>
      <c r="J200" s="61"/>
      <c r="K200" s="399"/>
      <c r="L200" s="420" t="str">
        <f t="shared" si="25"/>
        <v/>
      </c>
      <c r="M200" s="401" t="str">
        <f t="shared" si="26"/>
        <v/>
      </c>
    </row>
    <row r="201" spans="2:13" x14ac:dyDescent="0.25">
      <c r="B201" s="58"/>
      <c r="C201" s="65"/>
      <c r="D201" s="15"/>
      <c r="E201" s="15"/>
      <c r="F201" s="15"/>
      <c r="G201" s="411"/>
      <c r="H201" s="743" t="str">
        <f t="shared" si="22"/>
        <v/>
      </c>
      <c r="I201" s="18"/>
      <c r="J201" s="61"/>
      <c r="K201" s="399"/>
      <c r="L201" s="420" t="str">
        <f t="shared" si="25"/>
        <v/>
      </c>
      <c r="M201" s="401" t="str">
        <f t="shared" si="26"/>
        <v/>
      </c>
    </row>
    <row r="202" spans="2:13" x14ac:dyDescent="0.25">
      <c r="B202" s="58"/>
      <c r="C202" s="14"/>
      <c r="D202" s="15"/>
      <c r="E202" s="15"/>
      <c r="F202" s="580"/>
      <c r="G202" s="422"/>
      <c r="H202" s="17" t="str">
        <f t="shared" si="22"/>
        <v/>
      </c>
      <c r="I202" s="18"/>
      <c r="J202" s="62"/>
      <c r="K202" s="62"/>
      <c r="L202" s="420" t="str">
        <f t="shared" si="25"/>
        <v/>
      </c>
      <c r="M202" s="401" t="str">
        <f t="shared" si="26"/>
        <v/>
      </c>
    </row>
    <row r="203" spans="2:13" x14ac:dyDescent="0.25">
      <c r="B203" s="58"/>
      <c r="C203" s="14"/>
      <c r="D203" s="15"/>
      <c r="E203" s="15"/>
      <c r="F203" s="580"/>
      <c r="G203" s="422"/>
      <c r="H203" s="17" t="str">
        <f t="shared" si="22"/>
        <v/>
      </c>
      <c r="I203" s="18"/>
      <c r="J203" s="62"/>
      <c r="K203" s="62"/>
      <c r="L203" s="420" t="str">
        <f t="shared" si="25"/>
        <v/>
      </c>
      <c r="M203" s="401" t="str">
        <f t="shared" si="26"/>
        <v/>
      </c>
    </row>
    <row r="204" spans="2:13" x14ac:dyDescent="0.25">
      <c r="B204" s="58"/>
      <c r="C204" s="14"/>
      <c r="D204" s="15"/>
      <c r="E204" s="15"/>
      <c r="F204" s="580"/>
      <c r="G204" s="422"/>
      <c r="H204" s="17" t="str">
        <f t="shared" si="22"/>
        <v/>
      </c>
      <c r="I204" s="18"/>
      <c r="J204" s="62"/>
      <c r="K204" s="62"/>
      <c r="L204" s="420" t="str">
        <f t="shared" si="25"/>
        <v/>
      </c>
      <c r="M204" s="401" t="str">
        <f t="shared" si="26"/>
        <v/>
      </c>
    </row>
    <row r="205" spans="2:13" x14ac:dyDescent="0.25">
      <c r="B205" s="58"/>
      <c r="C205" s="14"/>
      <c r="D205" s="15"/>
      <c r="E205" s="15"/>
      <c r="F205" s="580"/>
      <c r="G205" s="422"/>
      <c r="H205" s="17" t="str">
        <f t="shared" si="22"/>
        <v/>
      </c>
      <c r="I205" s="18"/>
      <c r="J205" s="62"/>
      <c r="K205" s="62"/>
      <c r="L205" s="420" t="str">
        <f t="shared" si="25"/>
        <v/>
      </c>
      <c r="M205" s="401" t="str">
        <f t="shared" si="26"/>
        <v/>
      </c>
    </row>
    <row r="206" spans="2:13" x14ac:dyDescent="0.25">
      <c r="B206" s="58"/>
      <c r="C206" s="14"/>
      <c r="D206" s="15"/>
      <c r="E206" s="15"/>
      <c r="F206" s="580"/>
      <c r="G206" s="422"/>
      <c r="H206" s="17" t="str">
        <f t="shared" si="22"/>
        <v/>
      </c>
      <c r="I206" s="18"/>
      <c r="J206" s="62"/>
      <c r="K206" s="62"/>
      <c r="L206" s="420" t="str">
        <f t="shared" si="25"/>
        <v/>
      </c>
      <c r="M206" s="401" t="str">
        <f t="shared" si="26"/>
        <v/>
      </c>
    </row>
    <row r="207" spans="2:13" x14ac:dyDescent="0.25">
      <c r="B207" s="58"/>
      <c r="C207" s="14"/>
      <c r="D207" s="15"/>
      <c r="E207" s="15"/>
      <c r="F207" s="580"/>
      <c r="G207" s="422"/>
      <c r="H207" s="17" t="str">
        <f t="shared" si="22"/>
        <v/>
      </c>
      <c r="I207" s="18"/>
      <c r="J207" s="61"/>
      <c r="K207" s="695"/>
      <c r="L207" s="420" t="str">
        <f t="shared" si="25"/>
        <v/>
      </c>
      <c r="M207" s="401" t="str">
        <f t="shared" si="26"/>
        <v/>
      </c>
    </row>
    <row r="208" spans="2:13" x14ac:dyDescent="0.25">
      <c r="B208" s="58"/>
      <c r="C208" s="14"/>
      <c r="D208" s="15"/>
      <c r="E208" s="15"/>
      <c r="F208" s="580"/>
      <c r="G208" s="422"/>
      <c r="H208" s="17" t="str">
        <f t="shared" si="22"/>
        <v/>
      </c>
      <c r="I208" s="18"/>
      <c r="J208" s="61"/>
      <c r="K208" s="696"/>
      <c r="L208" s="420" t="str">
        <f t="shared" si="25"/>
        <v/>
      </c>
      <c r="M208" s="401" t="str">
        <f t="shared" si="26"/>
        <v/>
      </c>
    </row>
    <row r="209" spans="2:13" s="28" customFormat="1" ht="25" customHeight="1" x14ac:dyDescent="0.25">
      <c r="B209" s="84" t="str">
        <f>B12</f>
        <v>C1.5</v>
      </c>
      <c r="C209" s="498" t="str">
        <f>"TOTAL CARRIED FORWARD"&amp;IF(H209=H$1," TO SUMMARY (Page C"&amp;Page_A&amp;")","")</f>
        <v>TOTAL CARRIED FORWARD TO SUMMARY (Page C48)</v>
      </c>
      <c r="D209" s="31"/>
      <c r="E209" s="31"/>
      <c r="F209" s="32"/>
      <c r="G209" s="31"/>
      <c r="H209" s="33">
        <f>SUM(H148:H208)</f>
        <v>0</v>
      </c>
      <c r="I209" s="34"/>
      <c r="J209" s="408"/>
      <c r="K209" s="406"/>
      <c r="L209" s="418">
        <f>SUM(L148:L208)</f>
        <v>0</v>
      </c>
      <c r="M209" s="407" t="str">
        <f t="shared" ref="M209" si="27">IF(J209="","",IF(SUM(H209)=0,"",L209/H209))</f>
        <v/>
      </c>
    </row>
  </sheetData>
  <mergeCells count="18">
    <mergeCell ref="B140:D140"/>
    <mergeCell ref="F140:H142"/>
    <mergeCell ref="B141:D141"/>
    <mergeCell ref="B142:D142"/>
    <mergeCell ref="B143:G143"/>
    <mergeCell ref="H143:H146"/>
    <mergeCell ref="B144:G146"/>
    <mergeCell ref="F3:H3"/>
    <mergeCell ref="B7:G9"/>
    <mergeCell ref="H6:H9"/>
    <mergeCell ref="B6:G6"/>
    <mergeCell ref="B70:G70"/>
    <mergeCell ref="H70:H73"/>
    <mergeCell ref="B71:G73"/>
    <mergeCell ref="B67:D67"/>
    <mergeCell ref="F67:H69"/>
    <mergeCell ref="B68:D68"/>
    <mergeCell ref="B69:D69"/>
  </mergeCells>
  <phoneticPr fontId="15" type="noConversion"/>
  <conditionalFormatting sqref="G11:H66 G75:H139 G148:H209">
    <cfRule type="expression" dxfId="78"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66"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3">
    <tabColor rgb="FF0070C0"/>
  </sheetPr>
  <dimension ref="A1:N220"/>
  <sheetViews>
    <sheetView view="pageBreakPreview" zoomScale="90" zoomScaleNormal="125" zoomScaleSheetLayoutView="90" zoomScalePageLayoutView="125" workbookViewId="0">
      <pane ySplit="2" topLeftCell="A3" activePane="bottomLeft" state="frozen"/>
      <selection activeCell="G24" sqref="G24"/>
      <selection pane="bottomLeft" activeCell="G16" sqref="G16"/>
    </sheetView>
  </sheetViews>
  <sheetFormatPr defaultColWidth="6.81640625" defaultRowHeight="12.5" x14ac:dyDescent="0.25"/>
  <cols>
    <col min="1" max="1" width="0.81640625" style="1" customWidth="1"/>
    <col min="2" max="2" width="11.7265625" style="35" customWidth="1"/>
    <col min="3" max="3" width="46.26953125" style="50"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1</v>
      </c>
      <c r="H1" s="247">
        <f>MAX(H2:H215)</f>
        <v>100000</v>
      </c>
      <c r="I1" s="247">
        <f>MAX(I2:I215)</f>
        <v>0</v>
      </c>
      <c r="J1" s="248"/>
      <c r="K1" s="249"/>
      <c r="L1" s="247">
        <f>MAX(L2:L215)</f>
        <v>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90"/>
      <c r="D5" s="78"/>
      <c r="E5" s="78"/>
      <c r="F5" s="78"/>
      <c r="G5" s="79"/>
      <c r="H5" s="89"/>
    </row>
    <row r="6" spans="1:14" ht="13" x14ac:dyDescent="0.25">
      <c r="B6" s="1112" t="s">
        <v>8</v>
      </c>
      <c r="C6" s="1113"/>
      <c r="D6" s="1113"/>
      <c r="E6" s="1113"/>
      <c r="F6" s="1113"/>
      <c r="G6" s="1113"/>
      <c r="H6" s="1121" t="str">
        <f>"CHAPTER "&amp;B14</f>
        <v>CHAPTER C4.1.4</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777"/>
      <c r="C11" s="136"/>
      <c r="D11" s="82"/>
      <c r="E11" s="15"/>
      <c r="F11" s="580"/>
      <c r="G11" s="411"/>
      <c r="H11" s="17" t="str">
        <f t="shared" ref="H11:H70" si="0">IF(D11="","",F11*G11)</f>
        <v/>
      </c>
      <c r="I11" s="18"/>
      <c r="J11" s="61"/>
      <c r="K11" s="399"/>
      <c r="L11" s="420" t="str">
        <f t="shared" ref="L11" si="1">IF(J11="","",F11*K11)</f>
        <v/>
      </c>
      <c r="M11" s="401" t="str">
        <f t="shared" ref="M11" si="2">IF(J11="","",IF(SUM(H11)=0,"",L11/H11))</f>
        <v/>
      </c>
    </row>
    <row r="12" spans="1:14" ht="13" x14ac:dyDescent="0.25">
      <c r="B12" s="778" t="s">
        <v>795</v>
      </c>
      <c r="C12" s="132" t="s">
        <v>796</v>
      </c>
      <c r="D12" s="15"/>
      <c r="E12" s="15"/>
      <c r="F12" s="580"/>
      <c r="G12" s="411"/>
      <c r="H12" s="17" t="str">
        <f t="shared" si="0"/>
        <v/>
      </c>
      <c r="I12" s="18"/>
      <c r="J12" s="61"/>
      <c r="K12" s="399"/>
      <c r="L12" s="420" t="str">
        <f t="shared" ref="L12:L34" si="3">IF(J12="","",F12*K12)</f>
        <v/>
      </c>
      <c r="M12" s="401" t="str">
        <f t="shared" ref="M12:M34" si="4">IF(J12="","",IF(SUM(H12)=0,"",L12/H12))</f>
        <v/>
      </c>
    </row>
    <row r="13" spans="1:14" x14ac:dyDescent="0.25">
      <c r="B13" s="150"/>
      <c r="D13" s="15"/>
      <c r="E13" s="15"/>
      <c r="F13" s="580"/>
      <c r="G13" s="411"/>
      <c r="H13" s="17" t="str">
        <f t="shared" si="0"/>
        <v/>
      </c>
      <c r="I13" s="18"/>
      <c r="J13" s="61"/>
      <c r="K13" s="399"/>
      <c r="L13" s="420" t="str">
        <f t="shared" si="3"/>
        <v/>
      </c>
      <c r="M13" s="401" t="str">
        <f t="shared" si="4"/>
        <v/>
      </c>
    </row>
    <row r="14" spans="1:14" ht="13" x14ac:dyDescent="0.3">
      <c r="B14" s="779" t="s">
        <v>538</v>
      </c>
      <c r="C14" s="618" t="s">
        <v>537</v>
      </c>
      <c r="D14" s="15"/>
      <c r="E14" s="15"/>
      <c r="F14" s="24"/>
      <c r="G14" s="423"/>
      <c r="H14" s="17" t="str">
        <f t="shared" si="0"/>
        <v/>
      </c>
      <c r="I14" s="18"/>
      <c r="J14" s="61"/>
      <c r="K14" s="399"/>
      <c r="L14" s="420" t="str">
        <f t="shared" si="3"/>
        <v/>
      </c>
      <c r="M14" s="401" t="str">
        <f t="shared" si="4"/>
        <v/>
      </c>
    </row>
    <row r="15" spans="1:14" x14ac:dyDescent="0.25">
      <c r="B15" s="150"/>
      <c r="D15" s="61"/>
      <c r="E15" s="61"/>
      <c r="F15" s="24"/>
      <c r="G15" s="411"/>
      <c r="H15" s="17" t="str">
        <f t="shared" si="0"/>
        <v/>
      </c>
      <c r="I15" s="18"/>
      <c r="J15" s="61"/>
      <c r="K15" s="399"/>
      <c r="L15" s="420" t="str">
        <f t="shared" si="3"/>
        <v/>
      </c>
      <c r="M15" s="401" t="str">
        <f t="shared" si="4"/>
        <v/>
      </c>
    </row>
    <row r="16" spans="1:14" x14ac:dyDescent="0.25">
      <c r="B16" s="780" t="s">
        <v>536</v>
      </c>
      <c r="C16" s="55" t="s">
        <v>535</v>
      </c>
      <c r="D16" s="15" t="s">
        <v>577</v>
      </c>
      <c r="E16" s="15"/>
      <c r="F16" s="24">
        <v>1000</v>
      </c>
      <c r="G16" s="411"/>
      <c r="H16" s="17">
        <f t="shared" si="0"/>
        <v>0</v>
      </c>
      <c r="I16" s="18"/>
      <c r="J16" s="61" t="s">
        <v>1721</v>
      </c>
      <c r="K16" s="399">
        <f>IF(D16="","",ROUND(Labour_perc_roads*G16,1))</f>
        <v>0</v>
      </c>
      <c r="L16" s="420">
        <f t="shared" si="3"/>
        <v>0</v>
      </c>
      <c r="M16" s="401" t="str">
        <f t="shared" si="4"/>
        <v/>
      </c>
    </row>
    <row r="17" spans="2:13" x14ac:dyDescent="0.25">
      <c r="B17" s="150"/>
      <c r="D17" s="15"/>
      <c r="E17" s="15"/>
      <c r="F17" s="580"/>
      <c r="G17" s="411"/>
      <c r="H17" s="17" t="str">
        <f t="shared" si="0"/>
        <v/>
      </c>
      <c r="I17" s="18"/>
      <c r="J17" s="61"/>
      <c r="K17" s="399"/>
      <c r="L17" s="420" t="str">
        <f t="shared" si="3"/>
        <v/>
      </c>
      <c r="M17" s="401" t="str">
        <f t="shared" si="4"/>
        <v/>
      </c>
    </row>
    <row r="18" spans="2:13" ht="13" x14ac:dyDescent="0.3">
      <c r="B18" s="779" t="s">
        <v>533</v>
      </c>
      <c r="C18" s="618" t="s">
        <v>532</v>
      </c>
      <c r="D18" s="15"/>
      <c r="E18" s="15"/>
      <c r="F18" s="580"/>
      <c r="G18" s="422"/>
      <c r="H18" s="17" t="str">
        <f t="shared" si="0"/>
        <v/>
      </c>
      <c r="I18" s="57"/>
      <c r="J18" s="61"/>
      <c r="K18" s="399"/>
      <c r="L18" s="420" t="str">
        <f t="shared" si="3"/>
        <v/>
      </c>
      <c r="M18" s="401" t="str">
        <f t="shared" si="4"/>
        <v/>
      </c>
    </row>
    <row r="19" spans="2:13" x14ac:dyDescent="0.25">
      <c r="B19" s="150"/>
      <c r="D19" s="15"/>
      <c r="E19" s="15"/>
      <c r="F19" s="580"/>
      <c r="G19" s="422"/>
      <c r="H19" s="17" t="str">
        <f t="shared" si="0"/>
        <v/>
      </c>
      <c r="I19" s="57"/>
      <c r="J19" s="61"/>
      <c r="K19" s="399"/>
      <c r="L19" s="420" t="str">
        <f t="shared" si="3"/>
        <v/>
      </c>
      <c r="M19" s="401" t="str">
        <f t="shared" si="4"/>
        <v/>
      </c>
    </row>
    <row r="20" spans="2:13" x14ac:dyDescent="0.25">
      <c r="B20" s="780" t="s">
        <v>531</v>
      </c>
      <c r="C20" s="55" t="s">
        <v>524</v>
      </c>
      <c r="D20" s="61" t="s">
        <v>34</v>
      </c>
      <c r="E20" s="61"/>
      <c r="F20" s="580">
        <v>1</v>
      </c>
      <c r="G20" s="422"/>
      <c r="H20" s="17">
        <f t="shared" si="0"/>
        <v>0</v>
      </c>
      <c r="I20" s="57"/>
      <c r="J20" s="61"/>
      <c r="K20" s="402"/>
      <c r="L20" s="420" t="str">
        <f t="shared" si="3"/>
        <v/>
      </c>
      <c r="M20" s="401" t="str">
        <f t="shared" si="4"/>
        <v/>
      </c>
    </row>
    <row r="21" spans="2:13" x14ac:dyDescent="0.25">
      <c r="B21" s="150"/>
      <c r="D21" s="15"/>
      <c r="E21" s="15"/>
      <c r="F21" s="580"/>
      <c r="G21" s="422"/>
      <c r="H21" s="17" t="str">
        <f t="shared" si="0"/>
        <v/>
      </c>
      <c r="I21" s="18"/>
      <c r="J21" s="61"/>
      <c r="K21" s="402"/>
      <c r="L21" s="420" t="str">
        <f t="shared" si="3"/>
        <v/>
      </c>
      <c r="M21" s="401" t="str">
        <f t="shared" si="4"/>
        <v/>
      </c>
    </row>
    <row r="22" spans="2:13" x14ac:dyDescent="0.25">
      <c r="B22" s="780"/>
      <c r="C22" s="55"/>
      <c r="D22" s="61"/>
      <c r="E22" s="61"/>
      <c r="F22" s="580"/>
      <c r="G22" s="422"/>
      <c r="H22" s="17" t="str">
        <f t="shared" si="0"/>
        <v/>
      </c>
      <c r="I22" s="18"/>
      <c r="J22" s="61"/>
      <c r="K22" s="402"/>
      <c r="L22" s="420" t="str">
        <f t="shared" si="3"/>
        <v/>
      </c>
      <c r="M22" s="401" t="str">
        <f t="shared" si="4"/>
        <v/>
      </c>
    </row>
    <row r="23" spans="2:13" x14ac:dyDescent="0.25">
      <c r="B23" s="150"/>
      <c r="D23" s="61"/>
      <c r="E23" s="61"/>
      <c r="F23" s="24"/>
      <c r="G23" s="411"/>
      <c r="H23" s="17" t="str">
        <f t="shared" si="0"/>
        <v/>
      </c>
      <c r="I23" s="60"/>
      <c r="J23" s="61"/>
      <c r="K23" s="402"/>
      <c r="L23" s="420" t="str">
        <f t="shared" si="3"/>
        <v/>
      </c>
      <c r="M23" s="401" t="str">
        <f t="shared" si="4"/>
        <v/>
      </c>
    </row>
    <row r="24" spans="2:13" ht="13" x14ac:dyDescent="0.3">
      <c r="B24" s="779" t="s">
        <v>1878</v>
      </c>
      <c r="C24" s="618" t="s">
        <v>530</v>
      </c>
      <c r="D24" s="15"/>
      <c r="E24" s="15"/>
      <c r="F24" s="580"/>
      <c r="G24" s="422"/>
      <c r="H24" s="17" t="str">
        <f t="shared" si="0"/>
        <v/>
      </c>
      <c r="I24" s="63"/>
      <c r="J24" s="61"/>
      <c r="K24" s="402"/>
      <c r="L24" s="420" t="str">
        <f t="shared" si="3"/>
        <v/>
      </c>
      <c r="M24" s="401" t="str">
        <f t="shared" si="4"/>
        <v/>
      </c>
    </row>
    <row r="25" spans="2:13" x14ac:dyDescent="0.25">
      <c r="B25" s="150"/>
      <c r="D25" s="15"/>
      <c r="E25" s="15"/>
      <c r="F25" s="580"/>
      <c r="G25" s="422"/>
      <c r="H25" s="17" t="str">
        <f t="shared" si="0"/>
        <v/>
      </c>
      <c r="I25" s="63"/>
      <c r="J25" s="61"/>
      <c r="K25" s="402"/>
      <c r="L25" s="420" t="str">
        <f t="shared" si="3"/>
        <v/>
      </c>
      <c r="M25" s="401" t="str">
        <f t="shared" si="4"/>
        <v/>
      </c>
    </row>
    <row r="26" spans="2:13" x14ac:dyDescent="0.25">
      <c r="B26" s="780" t="s">
        <v>529</v>
      </c>
      <c r="C26" s="55" t="s">
        <v>528</v>
      </c>
      <c r="D26" s="15" t="s">
        <v>577</v>
      </c>
      <c r="E26" s="15"/>
      <c r="F26" s="580">
        <v>17500</v>
      </c>
      <c r="G26" s="424"/>
      <c r="H26" s="743">
        <f t="shared" si="0"/>
        <v>0</v>
      </c>
      <c r="I26" s="63"/>
      <c r="J26" s="61"/>
      <c r="K26" s="399"/>
      <c r="L26" s="420" t="str">
        <f t="shared" si="3"/>
        <v/>
      </c>
      <c r="M26" s="401" t="str">
        <f t="shared" si="4"/>
        <v/>
      </c>
    </row>
    <row r="27" spans="2:13" x14ac:dyDescent="0.25">
      <c r="B27" s="780"/>
      <c r="C27" s="55"/>
      <c r="D27" s="15"/>
      <c r="E27" s="15"/>
      <c r="F27" s="580"/>
      <c r="G27" s="424"/>
      <c r="H27" s="743" t="str">
        <f t="shared" si="0"/>
        <v/>
      </c>
      <c r="I27" s="63"/>
      <c r="J27" s="61"/>
      <c r="K27" s="399"/>
      <c r="L27" s="420" t="str">
        <f t="shared" si="3"/>
        <v/>
      </c>
      <c r="M27" s="401" t="str">
        <f t="shared" si="4"/>
        <v/>
      </c>
    </row>
    <row r="28" spans="2:13" x14ac:dyDescent="0.25">
      <c r="B28" s="780"/>
      <c r="C28" s="55"/>
      <c r="D28" s="15"/>
      <c r="E28" s="15"/>
      <c r="F28" s="580"/>
      <c r="G28" s="422"/>
      <c r="H28" s="17" t="str">
        <f t="shared" ref="H28" si="5">IF(D28="","",F28*G28)</f>
        <v/>
      </c>
      <c r="I28" s="57"/>
      <c r="J28" s="61"/>
      <c r="K28" s="399"/>
      <c r="L28" s="420" t="str">
        <f t="shared" si="3"/>
        <v/>
      </c>
      <c r="M28" s="401" t="str">
        <f t="shared" si="4"/>
        <v/>
      </c>
    </row>
    <row r="29" spans="2:13" x14ac:dyDescent="0.25">
      <c r="B29" s="150"/>
      <c r="D29" s="15"/>
      <c r="E29" s="15"/>
      <c r="F29" s="580"/>
      <c r="G29" s="422"/>
      <c r="H29" s="17" t="str">
        <f t="shared" si="0"/>
        <v/>
      </c>
      <c r="I29" s="18"/>
      <c r="J29" s="61"/>
      <c r="K29" s="399"/>
      <c r="L29" s="420" t="str">
        <f t="shared" si="3"/>
        <v/>
      </c>
      <c r="M29" s="401" t="str">
        <f t="shared" si="4"/>
        <v/>
      </c>
    </row>
    <row r="30" spans="2:13" ht="26" x14ac:dyDescent="0.3">
      <c r="B30" s="779" t="s">
        <v>527</v>
      </c>
      <c r="C30" s="618" t="s">
        <v>526</v>
      </c>
      <c r="D30" s="15"/>
      <c r="E30" s="15"/>
      <c r="F30" s="580"/>
      <c r="G30" s="422"/>
      <c r="H30" s="17" t="str">
        <f t="shared" si="0"/>
        <v/>
      </c>
      <c r="I30" s="18"/>
      <c r="J30" s="61"/>
      <c r="K30" s="399"/>
      <c r="L30" s="420" t="str">
        <f t="shared" si="3"/>
        <v/>
      </c>
      <c r="M30" s="401" t="str">
        <f t="shared" si="4"/>
        <v/>
      </c>
    </row>
    <row r="31" spans="2:13" s="36" customFormat="1" x14ac:dyDescent="0.25">
      <c r="B31" s="150"/>
      <c r="C31" s="50"/>
      <c r="D31" s="15"/>
      <c r="E31" s="15"/>
      <c r="F31" s="580"/>
      <c r="G31" s="422"/>
      <c r="H31" s="17" t="str">
        <f t="shared" si="0"/>
        <v/>
      </c>
      <c r="I31" s="18"/>
      <c r="J31" s="61"/>
      <c r="K31" s="399"/>
      <c r="L31" s="420" t="str">
        <f t="shared" si="3"/>
        <v/>
      </c>
      <c r="M31" s="401" t="str">
        <f t="shared" si="4"/>
        <v/>
      </c>
    </row>
    <row r="32" spans="2:13" x14ac:dyDescent="0.25">
      <c r="B32" s="780" t="s">
        <v>525</v>
      </c>
      <c r="C32" s="55" t="s">
        <v>524</v>
      </c>
      <c r="D32" s="61" t="s">
        <v>34</v>
      </c>
      <c r="E32" s="61"/>
      <c r="F32" s="580">
        <v>1</v>
      </c>
      <c r="G32" s="422"/>
      <c r="H32" s="17">
        <f t="shared" si="0"/>
        <v>0</v>
      </c>
      <c r="I32" s="57"/>
      <c r="J32" s="61"/>
      <c r="K32" s="399"/>
      <c r="L32" s="420" t="str">
        <f t="shared" si="3"/>
        <v/>
      </c>
      <c r="M32" s="401" t="str">
        <f t="shared" si="4"/>
        <v/>
      </c>
    </row>
    <row r="33" spans="2:13" x14ac:dyDescent="0.25">
      <c r="B33" s="150"/>
      <c r="D33" s="15"/>
      <c r="E33" s="15"/>
      <c r="F33" s="580"/>
      <c r="G33" s="422"/>
      <c r="H33" s="17" t="str">
        <f t="shared" si="0"/>
        <v/>
      </c>
      <c r="I33" s="57"/>
      <c r="J33" s="61"/>
      <c r="K33" s="399"/>
      <c r="L33" s="420" t="str">
        <f t="shared" si="3"/>
        <v/>
      </c>
      <c r="M33" s="401" t="str">
        <f t="shared" si="4"/>
        <v/>
      </c>
    </row>
    <row r="34" spans="2:13" x14ac:dyDescent="0.25">
      <c r="B34" s="780"/>
      <c r="C34" s="55"/>
      <c r="D34" s="61"/>
      <c r="E34" s="61"/>
      <c r="F34" s="580"/>
      <c r="G34" s="422"/>
      <c r="H34" s="17" t="str">
        <f t="shared" si="0"/>
        <v/>
      </c>
      <c r="I34" s="18"/>
      <c r="J34" s="61"/>
      <c r="K34" s="399"/>
      <c r="L34" s="420" t="str">
        <f t="shared" si="3"/>
        <v/>
      </c>
      <c r="M34" s="401" t="str">
        <f t="shared" si="4"/>
        <v/>
      </c>
    </row>
    <row r="35" spans="2:13" x14ac:dyDescent="0.25">
      <c r="B35" s="150"/>
      <c r="D35" s="15"/>
      <c r="E35" s="15"/>
      <c r="F35" s="24"/>
      <c r="G35" s="411"/>
      <c r="H35" s="17" t="str">
        <f t="shared" si="0"/>
        <v/>
      </c>
      <c r="I35" s="18"/>
      <c r="J35" s="61"/>
      <c r="K35" s="399"/>
      <c r="L35" s="420" t="str">
        <f t="shared" ref="L35:L47" si="6">IF(J35="","",F35*K35)</f>
        <v/>
      </c>
      <c r="M35" s="401" t="str">
        <f t="shared" ref="M35:M47" si="7">IF(J35="","",IF(SUM(H35)=0,"",L35/H35))</f>
        <v/>
      </c>
    </row>
    <row r="36" spans="2:13" ht="13" x14ac:dyDescent="0.3">
      <c r="B36" s="142" t="s">
        <v>2024</v>
      </c>
      <c r="C36" s="8" t="s">
        <v>2025</v>
      </c>
      <c r="D36" s="21" t="s">
        <v>577</v>
      </c>
      <c r="E36" s="21"/>
      <c r="F36" s="24">
        <v>200</v>
      </c>
      <c r="G36" s="411"/>
      <c r="H36" s="17">
        <f t="shared" si="0"/>
        <v>0</v>
      </c>
      <c r="I36" s="18"/>
      <c r="J36" s="61"/>
      <c r="K36" s="399"/>
      <c r="L36" s="420" t="str">
        <f t="shared" si="6"/>
        <v/>
      </c>
      <c r="M36" s="401" t="str">
        <f t="shared" si="7"/>
        <v/>
      </c>
    </row>
    <row r="37" spans="2:13" x14ac:dyDescent="0.25">
      <c r="B37" s="150"/>
      <c r="D37" s="15"/>
      <c r="E37" s="15"/>
      <c r="F37" s="24"/>
      <c r="G37" s="411"/>
      <c r="H37" s="17" t="str">
        <f t="shared" si="0"/>
        <v/>
      </c>
      <c r="I37" s="18"/>
      <c r="J37" s="61"/>
      <c r="K37" s="399"/>
      <c r="L37" s="420" t="str">
        <f t="shared" si="6"/>
        <v/>
      </c>
      <c r="M37" s="401" t="str">
        <f t="shared" si="7"/>
        <v/>
      </c>
    </row>
    <row r="38" spans="2:13" ht="13" x14ac:dyDescent="0.3">
      <c r="B38" s="779" t="s">
        <v>1879</v>
      </c>
      <c r="C38" s="618" t="s">
        <v>523</v>
      </c>
      <c r="D38" s="15"/>
      <c r="E38" s="15"/>
      <c r="F38" s="580"/>
      <c r="G38" s="422"/>
      <c r="H38" s="17" t="str">
        <f t="shared" si="0"/>
        <v/>
      </c>
      <c r="I38" s="18"/>
      <c r="J38" s="61"/>
      <c r="K38" s="399"/>
      <c r="L38" s="420" t="str">
        <f t="shared" si="6"/>
        <v/>
      </c>
      <c r="M38" s="401" t="str">
        <f t="shared" si="7"/>
        <v/>
      </c>
    </row>
    <row r="39" spans="2:13" x14ac:dyDescent="0.25">
      <c r="B39" s="150"/>
      <c r="D39" s="15"/>
      <c r="E39" s="15"/>
      <c r="F39" s="580"/>
      <c r="G39" s="422"/>
      <c r="H39" s="17" t="str">
        <f t="shared" si="0"/>
        <v/>
      </c>
      <c r="I39" s="18"/>
      <c r="J39" s="61"/>
      <c r="K39" s="399"/>
      <c r="L39" s="420" t="str">
        <f t="shared" si="6"/>
        <v/>
      </c>
      <c r="M39" s="401" t="str">
        <f t="shared" si="7"/>
        <v/>
      </c>
    </row>
    <row r="40" spans="2:13" x14ac:dyDescent="0.25">
      <c r="B40" s="780" t="s">
        <v>522</v>
      </c>
      <c r="C40" s="55" t="s">
        <v>521</v>
      </c>
      <c r="D40" s="15" t="s">
        <v>577</v>
      </c>
      <c r="E40" s="15"/>
      <c r="F40" s="580">
        <f>F26</f>
        <v>17500</v>
      </c>
      <c r="G40" s="422"/>
      <c r="H40" s="17">
        <f t="shared" si="0"/>
        <v>0</v>
      </c>
      <c r="I40" s="18"/>
      <c r="J40" s="61"/>
      <c r="K40" s="399"/>
      <c r="L40" s="420" t="str">
        <f t="shared" si="6"/>
        <v/>
      </c>
      <c r="M40" s="401" t="str">
        <f t="shared" si="7"/>
        <v/>
      </c>
    </row>
    <row r="41" spans="2:13" x14ac:dyDescent="0.25">
      <c r="B41" s="150"/>
      <c r="D41" s="15"/>
      <c r="E41" s="15"/>
      <c r="F41" s="580"/>
      <c r="G41" s="411"/>
      <c r="H41" s="17" t="str">
        <f t="shared" si="0"/>
        <v/>
      </c>
      <c r="I41" s="18"/>
      <c r="J41" s="61"/>
      <c r="K41" s="399"/>
      <c r="L41" s="420" t="str">
        <f t="shared" si="6"/>
        <v/>
      </c>
      <c r="M41" s="401" t="str">
        <f t="shared" si="7"/>
        <v/>
      </c>
    </row>
    <row r="42" spans="2:13" ht="25" x14ac:dyDescent="0.25">
      <c r="B42" s="58" t="s">
        <v>2026</v>
      </c>
      <c r="C42" s="65" t="s">
        <v>181</v>
      </c>
      <c r="D42" s="15" t="s">
        <v>577</v>
      </c>
      <c r="E42" s="15"/>
      <c r="F42" s="580">
        <f>$F$16</f>
        <v>1000</v>
      </c>
      <c r="G42" s="411"/>
      <c r="H42" s="17">
        <f t="shared" si="0"/>
        <v>0</v>
      </c>
      <c r="I42" s="18"/>
      <c r="J42" s="61"/>
      <c r="K42" s="399"/>
      <c r="L42" s="420"/>
      <c r="M42" s="401"/>
    </row>
    <row r="43" spans="2:13" x14ac:dyDescent="0.25">
      <c r="B43" s="150"/>
      <c r="D43" s="15"/>
      <c r="E43" s="15"/>
      <c r="F43" s="580"/>
      <c r="G43" s="411"/>
      <c r="H43" s="17"/>
      <c r="I43" s="18"/>
      <c r="J43" s="61"/>
      <c r="K43" s="399"/>
      <c r="L43" s="420"/>
      <c r="M43" s="401"/>
    </row>
    <row r="44" spans="2:13" ht="26" x14ac:dyDescent="0.3">
      <c r="B44" s="779" t="s">
        <v>1834</v>
      </c>
      <c r="C44" s="618" t="s">
        <v>1835</v>
      </c>
      <c r="D44" s="15"/>
      <c r="E44" s="15"/>
      <c r="F44" s="580"/>
      <c r="G44" s="411"/>
      <c r="H44" s="17" t="str">
        <f t="shared" si="0"/>
        <v/>
      </c>
      <c r="I44" s="18"/>
      <c r="J44" s="61"/>
      <c r="K44" s="399"/>
      <c r="L44" s="420" t="str">
        <f t="shared" si="6"/>
        <v/>
      </c>
      <c r="M44" s="401" t="str">
        <f t="shared" si="7"/>
        <v/>
      </c>
    </row>
    <row r="45" spans="2:13" x14ac:dyDescent="0.25">
      <c r="B45" s="150"/>
      <c r="D45" s="15"/>
      <c r="E45" s="15"/>
      <c r="F45" s="580"/>
      <c r="G45" s="411"/>
      <c r="H45" s="17" t="str">
        <f t="shared" si="0"/>
        <v/>
      </c>
      <c r="I45" s="18"/>
      <c r="J45" s="61"/>
      <c r="K45" s="399"/>
      <c r="L45" s="420" t="str">
        <f t="shared" si="6"/>
        <v/>
      </c>
      <c r="M45" s="401" t="str">
        <f t="shared" si="7"/>
        <v/>
      </c>
    </row>
    <row r="46" spans="2:13" ht="25" x14ac:dyDescent="0.25">
      <c r="B46" s="780" t="s">
        <v>520</v>
      </c>
      <c r="C46" s="55" t="s">
        <v>519</v>
      </c>
      <c r="D46" s="15"/>
      <c r="E46" s="15"/>
      <c r="F46" s="580"/>
      <c r="G46" s="422"/>
      <c r="H46" s="17" t="str">
        <f t="shared" si="0"/>
        <v/>
      </c>
      <c r="I46" s="18"/>
      <c r="J46" s="61"/>
      <c r="K46" s="402"/>
      <c r="L46" s="420" t="str">
        <f t="shared" si="6"/>
        <v/>
      </c>
      <c r="M46" s="401" t="str">
        <f t="shared" si="7"/>
        <v/>
      </c>
    </row>
    <row r="47" spans="2:13" x14ac:dyDescent="0.25">
      <c r="B47" s="150"/>
      <c r="D47" s="15"/>
      <c r="E47" s="15"/>
      <c r="F47" s="580"/>
      <c r="G47" s="422"/>
      <c r="H47" s="17" t="str">
        <f t="shared" si="0"/>
        <v/>
      </c>
      <c r="I47" s="18"/>
      <c r="J47" s="61"/>
      <c r="K47" s="399"/>
      <c r="L47" s="420" t="str">
        <f t="shared" si="6"/>
        <v/>
      </c>
      <c r="M47" s="401" t="str">
        <f t="shared" si="7"/>
        <v/>
      </c>
    </row>
    <row r="48" spans="2:13" x14ac:dyDescent="0.25">
      <c r="B48" s="780" t="s">
        <v>39</v>
      </c>
      <c r="C48" s="55" t="s">
        <v>1908</v>
      </c>
      <c r="D48" s="61" t="s">
        <v>21</v>
      </c>
      <c r="E48" s="61"/>
      <c r="F48" s="580">
        <v>2</v>
      </c>
      <c r="G48" s="424"/>
      <c r="H48" s="743">
        <f t="shared" ref="H48" si="8">IF(D48="","",F48*G48)</f>
        <v>0</v>
      </c>
      <c r="I48" s="18"/>
      <c r="J48" s="61" t="s">
        <v>1721</v>
      </c>
      <c r="K48" s="399">
        <f>IF(D48="","",ROUND(Labour_perc_roads*G48,1))</f>
        <v>0</v>
      </c>
      <c r="L48" s="420">
        <f t="shared" ref="L48" si="9">IF(J48="","",F48*K48)</f>
        <v>0</v>
      </c>
      <c r="M48" s="401" t="str">
        <f t="shared" ref="M48" si="10">IF(J48="","",IF(SUM(H48)=0,"",L48/H48))</f>
        <v/>
      </c>
    </row>
    <row r="49" spans="2:13" x14ac:dyDescent="0.25">
      <c r="B49" s="780"/>
      <c r="C49" s="55"/>
      <c r="D49" s="15"/>
      <c r="E49" s="15"/>
      <c r="F49" s="580"/>
      <c r="G49" s="422"/>
      <c r="H49" s="17" t="str">
        <f t="shared" si="0"/>
        <v/>
      </c>
      <c r="I49" s="18"/>
      <c r="J49" s="61"/>
      <c r="K49" s="399"/>
      <c r="L49" s="420" t="str">
        <f t="shared" ref="L49:L70" si="11">IF(J49="","",F49*K49)</f>
        <v/>
      </c>
      <c r="M49" s="401" t="str">
        <f t="shared" ref="M49:M70" si="12">IF(J49="","",IF(SUM(H49)=0,"",L49/H49))</f>
        <v/>
      </c>
    </row>
    <row r="50" spans="2:13" ht="39" x14ac:dyDescent="0.3">
      <c r="B50" s="779" t="s">
        <v>1951</v>
      </c>
      <c r="C50" s="618" t="s">
        <v>518</v>
      </c>
      <c r="D50" s="15"/>
      <c r="E50" s="15"/>
      <c r="F50" s="580"/>
      <c r="G50" s="422"/>
      <c r="H50" s="17" t="str">
        <f t="shared" si="0"/>
        <v/>
      </c>
      <c r="I50" s="18"/>
      <c r="J50" s="62"/>
      <c r="K50" s="62"/>
      <c r="L50" s="420" t="str">
        <f t="shared" si="11"/>
        <v/>
      </c>
      <c r="M50" s="401" t="str">
        <f t="shared" si="12"/>
        <v/>
      </c>
    </row>
    <row r="51" spans="2:13" x14ac:dyDescent="0.25">
      <c r="B51" s="150"/>
      <c r="D51" s="15"/>
      <c r="E51" s="15"/>
      <c r="F51" s="580"/>
      <c r="G51" s="422"/>
      <c r="H51" s="17" t="str">
        <f t="shared" si="0"/>
        <v/>
      </c>
      <c r="I51" s="18"/>
      <c r="J51" s="61"/>
      <c r="K51" s="62"/>
      <c r="L51" s="420" t="str">
        <f t="shared" si="11"/>
        <v/>
      </c>
      <c r="M51" s="401" t="str">
        <f t="shared" si="12"/>
        <v/>
      </c>
    </row>
    <row r="52" spans="2:13" ht="25" x14ac:dyDescent="0.25">
      <c r="B52" s="780" t="s">
        <v>517</v>
      </c>
      <c r="C52" s="55" t="s">
        <v>516</v>
      </c>
      <c r="D52" s="61" t="s">
        <v>556</v>
      </c>
      <c r="E52" s="61"/>
      <c r="F52" s="580">
        <v>100000</v>
      </c>
      <c r="G52" s="422">
        <v>1</v>
      </c>
      <c r="H52" s="17">
        <f t="shared" si="0"/>
        <v>100000</v>
      </c>
      <c r="I52" s="18"/>
      <c r="J52" s="61"/>
      <c r="K52" s="62"/>
      <c r="L52" s="420" t="str">
        <f t="shared" si="11"/>
        <v/>
      </c>
      <c r="M52" s="401" t="str">
        <f t="shared" si="12"/>
        <v/>
      </c>
    </row>
    <row r="53" spans="2:13" x14ac:dyDescent="0.25">
      <c r="B53" s="150"/>
      <c r="D53" s="61"/>
      <c r="E53" s="61"/>
      <c r="F53" s="580"/>
      <c r="G53" s="422"/>
      <c r="H53" s="17" t="str">
        <f t="shared" si="0"/>
        <v/>
      </c>
      <c r="I53" s="18"/>
      <c r="J53" s="61"/>
      <c r="K53" s="62"/>
      <c r="L53" s="420" t="str">
        <f t="shared" si="11"/>
        <v/>
      </c>
      <c r="M53" s="401" t="str">
        <f t="shared" si="12"/>
        <v/>
      </c>
    </row>
    <row r="54" spans="2:13" x14ac:dyDescent="0.25">
      <c r="B54" s="780" t="s">
        <v>515</v>
      </c>
      <c r="C54" s="55" t="s">
        <v>514</v>
      </c>
      <c r="D54" s="61" t="s">
        <v>26</v>
      </c>
      <c r="E54" s="61"/>
      <c r="F54" s="580">
        <f>F52</f>
        <v>100000</v>
      </c>
      <c r="G54" s="425"/>
      <c r="H54" s="17">
        <f t="shared" si="0"/>
        <v>0</v>
      </c>
      <c r="I54" s="18"/>
      <c r="J54" s="61"/>
      <c r="K54" s="62"/>
      <c r="L54" s="420" t="str">
        <f t="shared" si="11"/>
        <v/>
      </c>
      <c r="M54" s="401" t="str">
        <f t="shared" si="12"/>
        <v/>
      </c>
    </row>
    <row r="55" spans="2:13" x14ac:dyDescent="0.25">
      <c r="B55" s="150"/>
      <c r="D55" s="15"/>
      <c r="E55" s="15"/>
      <c r="F55" s="580"/>
      <c r="G55" s="422"/>
      <c r="H55" s="17" t="str">
        <f t="shared" si="0"/>
        <v/>
      </c>
      <c r="I55" s="18"/>
      <c r="J55" s="62"/>
      <c r="K55" s="62"/>
      <c r="L55" s="420" t="str">
        <f t="shared" si="11"/>
        <v/>
      </c>
      <c r="M55" s="401" t="str">
        <f t="shared" si="12"/>
        <v/>
      </c>
    </row>
    <row r="56" spans="2:13" ht="25" x14ac:dyDescent="0.25">
      <c r="B56" s="58" t="s">
        <v>1997</v>
      </c>
      <c r="C56" s="14" t="s">
        <v>188</v>
      </c>
      <c r="D56" s="21"/>
      <c r="E56" s="21"/>
      <c r="F56" s="580"/>
      <c r="G56" s="422"/>
      <c r="H56" s="17" t="str">
        <f t="shared" si="0"/>
        <v/>
      </c>
      <c r="I56" s="18"/>
      <c r="J56" s="62"/>
      <c r="K56" s="62"/>
      <c r="L56" s="420" t="str">
        <f t="shared" si="11"/>
        <v/>
      </c>
      <c r="M56" s="401" t="str">
        <f t="shared" si="12"/>
        <v/>
      </c>
    </row>
    <row r="57" spans="2:13" x14ac:dyDescent="0.25">
      <c r="B57" s="58"/>
      <c r="C57" s="14"/>
      <c r="D57" s="21"/>
      <c r="E57" s="21"/>
      <c r="F57" s="580"/>
      <c r="G57" s="422"/>
      <c r="H57" s="17" t="str">
        <f t="shared" si="0"/>
        <v/>
      </c>
      <c r="I57" s="18"/>
      <c r="J57" s="62"/>
      <c r="K57" s="62"/>
      <c r="L57" s="420" t="str">
        <f t="shared" si="11"/>
        <v/>
      </c>
      <c r="M57" s="401" t="str">
        <f t="shared" si="12"/>
        <v/>
      </c>
    </row>
    <row r="58" spans="2:13" x14ac:dyDescent="0.25">
      <c r="B58" s="58" t="s">
        <v>52</v>
      </c>
      <c r="C58" s="134" t="s">
        <v>190</v>
      </c>
      <c r="D58" s="21" t="s">
        <v>2211</v>
      </c>
      <c r="E58" s="21"/>
      <c r="F58" s="580">
        <v>10000</v>
      </c>
      <c r="G58" s="422"/>
      <c r="H58" s="17">
        <f t="shared" si="0"/>
        <v>0</v>
      </c>
      <c r="I58" s="18"/>
      <c r="J58" s="62"/>
      <c r="K58" s="62"/>
      <c r="L58" s="420" t="str">
        <f t="shared" si="11"/>
        <v/>
      </c>
      <c r="M58" s="401" t="str">
        <f t="shared" si="12"/>
        <v/>
      </c>
    </row>
    <row r="59" spans="2:13" x14ac:dyDescent="0.25">
      <c r="B59" s="58"/>
      <c r="C59" s="134"/>
      <c r="D59" s="21"/>
      <c r="E59" s="21"/>
      <c r="F59" s="580"/>
      <c r="G59" s="422"/>
      <c r="H59" s="17" t="str">
        <f t="shared" si="0"/>
        <v/>
      </c>
      <c r="I59" s="18"/>
      <c r="J59" s="62"/>
      <c r="K59" s="62"/>
      <c r="L59" s="420" t="str">
        <f t="shared" si="11"/>
        <v/>
      </c>
      <c r="M59" s="401" t="str">
        <f t="shared" si="12"/>
        <v/>
      </c>
    </row>
    <row r="60" spans="2:13" x14ac:dyDescent="0.25">
      <c r="B60" s="150"/>
      <c r="D60" s="15"/>
      <c r="E60" s="15"/>
      <c r="F60" s="580"/>
      <c r="G60" s="422"/>
      <c r="H60" s="17" t="str">
        <f t="shared" si="0"/>
        <v/>
      </c>
      <c r="I60" s="18"/>
      <c r="J60" s="62"/>
      <c r="K60" s="62"/>
      <c r="L60" s="420" t="str">
        <f t="shared" si="11"/>
        <v/>
      </c>
      <c r="M60" s="401" t="str">
        <f t="shared" si="12"/>
        <v/>
      </c>
    </row>
    <row r="61" spans="2:13" x14ac:dyDescent="0.25">
      <c r="B61" s="150"/>
      <c r="D61" s="15"/>
      <c r="E61" s="15"/>
      <c r="F61" s="580"/>
      <c r="G61" s="422"/>
      <c r="H61" s="17" t="str">
        <f t="shared" si="0"/>
        <v/>
      </c>
      <c r="I61" s="18"/>
      <c r="J61" s="62"/>
      <c r="K61" s="62"/>
      <c r="L61" s="420" t="str">
        <f t="shared" si="11"/>
        <v/>
      </c>
      <c r="M61" s="401" t="str">
        <f t="shared" si="12"/>
        <v/>
      </c>
    </row>
    <row r="62" spans="2:13" x14ac:dyDescent="0.25">
      <c r="B62" s="150"/>
      <c r="D62" s="15"/>
      <c r="E62" s="15"/>
      <c r="F62" s="580"/>
      <c r="G62" s="422"/>
      <c r="H62" s="17" t="str">
        <f t="shared" si="0"/>
        <v/>
      </c>
      <c r="I62" s="18"/>
      <c r="J62" s="62"/>
      <c r="K62" s="62"/>
      <c r="L62" s="420" t="str">
        <f t="shared" si="11"/>
        <v/>
      </c>
      <c r="M62" s="401" t="str">
        <f t="shared" si="12"/>
        <v/>
      </c>
    </row>
    <row r="63" spans="2:13" x14ac:dyDescent="0.25">
      <c r="B63" s="150"/>
      <c r="D63" s="15"/>
      <c r="E63" s="15"/>
      <c r="F63" s="580"/>
      <c r="G63" s="422"/>
      <c r="H63" s="17" t="str">
        <f t="shared" si="0"/>
        <v/>
      </c>
      <c r="I63" s="18"/>
      <c r="J63" s="62"/>
      <c r="K63" s="62"/>
      <c r="L63" s="420" t="str">
        <f t="shared" si="11"/>
        <v/>
      </c>
      <c r="M63" s="401" t="str">
        <f t="shared" si="12"/>
        <v/>
      </c>
    </row>
    <row r="64" spans="2:13" x14ac:dyDescent="0.25">
      <c r="B64" s="150"/>
      <c r="D64" s="15"/>
      <c r="E64" s="15"/>
      <c r="F64" s="580"/>
      <c r="G64" s="422"/>
      <c r="H64" s="17" t="str">
        <f t="shared" si="0"/>
        <v/>
      </c>
      <c r="I64" s="18"/>
      <c r="J64" s="62"/>
      <c r="K64" s="62"/>
      <c r="L64" s="420" t="str">
        <f t="shared" si="11"/>
        <v/>
      </c>
      <c r="M64" s="401" t="str">
        <f t="shared" si="12"/>
        <v/>
      </c>
    </row>
    <row r="65" spans="2:13" x14ac:dyDescent="0.25">
      <c r="B65" s="150"/>
      <c r="D65" s="15"/>
      <c r="E65" s="15"/>
      <c r="F65" s="580"/>
      <c r="G65" s="422"/>
      <c r="H65" s="17" t="str">
        <f t="shared" si="0"/>
        <v/>
      </c>
      <c r="I65" s="18"/>
      <c r="J65" s="62"/>
      <c r="K65" s="62"/>
      <c r="L65" s="420" t="str">
        <f t="shared" si="11"/>
        <v/>
      </c>
      <c r="M65" s="401" t="str">
        <f t="shared" si="12"/>
        <v/>
      </c>
    </row>
    <row r="66" spans="2:13" x14ac:dyDescent="0.25">
      <c r="B66" s="150"/>
      <c r="D66" s="15"/>
      <c r="E66" s="15"/>
      <c r="F66" s="580"/>
      <c r="G66" s="422"/>
      <c r="H66" s="17" t="str">
        <f t="shared" si="0"/>
        <v/>
      </c>
      <c r="I66" s="18"/>
      <c r="J66" s="62"/>
      <c r="K66" s="62"/>
      <c r="L66" s="420" t="str">
        <f t="shared" si="11"/>
        <v/>
      </c>
      <c r="M66" s="401" t="str">
        <f t="shared" si="12"/>
        <v/>
      </c>
    </row>
    <row r="67" spans="2:13" x14ac:dyDescent="0.25">
      <c r="B67" s="150"/>
      <c r="D67" s="15"/>
      <c r="E67" s="15"/>
      <c r="F67" s="580"/>
      <c r="G67" s="422"/>
      <c r="H67" s="17" t="str">
        <f t="shared" si="0"/>
        <v/>
      </c>
      <c r="I67" s="18"/>
      <c r="J67" s="62"/>
      <c r="K67" s="62"/>
      <c r="L67" s="420" t="str">
        <f t="shared" si="11"/>
        <v/>
      </c>
      <c r="M67" s="401" t="str">
        <f t="shared" si="12"/>
        <v/>
      </c>
    </row>
    <row r="68" spans="2:13" x14ac:dyDescent="0.25">
      <c r="B68" s="150"/>
      <c r="D68" s="15"/>
      <c r="E68" s="15"/>
      <c r="F68" s="580"/>
      <c r="G68" s="422"/>
      <c r="H68" s="17" t="str">
        <f t="shared" si="0"/>
        <v/>
      </c>
      <c r="I68" s="18"/>
      <c r="J68" s="62"/>
      <c r="K68" s="62"/>
      <c r="L68" s="420" t="str">
        <f t="shared" si="11"/>
        <v/>
      </c>
      <c r="M68" s="401" t="str">
        <f t="shared" si="12"/>
        <v/>
      </c>
    </row>
    <row r="69" spans="2:13" x14ac:dyDescent="0.25">
      <c r="B69" s="780"/>
      <c r="C69" s="55"/>
      <c r="D69" s="61"/>
      <c r="E69" s="61"/>
      <c r="F69" s="580"/>
      <c r="G69" s="422"/>
      <c r="H69" s="17" t="str">
        <f t="shared" si="0"/>
        <v/>
      </c>
      <c r="I69" s="18"/>
      <c r="J69" s="62"/>
      <c r="K69" s="62"/>
      <c r="L69" s="420" t="str">
        <f t="shared" si="11"/>
        <v/>
      </c>
      <c r="M69" s="401" t="str">
        <f t="shared" si="12"/>
        <v/>
      </c>
    </row>
    <row r="70" spans="2:13" x14ac:dyDescent="0.25">
      <c r="B70" s="58"/>
      <c r="D70" s="15"/>
      <c r="E70" s="15"/>
      <c r="F70" s="580"/>
      <c r="G70" s="422"/>
      <c r="H70" s="17" t="str">
        <f t="shared" si="0"/>
        <v/>
      </c>
      <c r="I70" s="18"/>
      <c r="J70" s="61"/>
      <c r="K70" s="696"/>
      <c r="L70" s="420" t="str">
        <f t="shared" si="11"/>
        <v/>
      </c>
      <c r="M70" s="401" t="str">
        <f t="shared" si="12"/>
        <v/>
      </c>
    </row>
    <row r="71" spans="2:13" s="28" customFormat="1" ht="19.5" customHeight="1" x14ac:dyDescent="0.25">
      <c r="B71" s="135" t="str">
        <f>$B$12</f>
        <v>C4.1</v>
      </c>
      <c r="C71" s="498" t="str">
        <f>"TOTAL CARRIED FORWARD"&amp;IF(H71=H$1," TO SUMMARY (Page C"&amp;Page_A&amp;")","")</f>
        <v>TOTAL CARRIED FORWARD TO SUMMARY (Page C48)</v>
      </c>
      <c r="D71" s="32"/>
      <c r="E71" s="32"/>
      <c r="F71" s="32"/>
      <c r="G71" s="31"/>
      <c r="H71" s="33">
        <f>SUM(H16:H70)</f>
        <v>100000</v>
      </c>
      <c r="I71" s="34"/>
      <c r="J71" s="408"/>
      <c r="K71" s="406"/>
      <c r="L71" s="418">
        <f>SUM(L11:L70)</f>
        <v>0</v>
      </c>
      <c r="M71" s="407" t="str">
        <f t="shared" ref="M71" si="13">IF(J71="","",IF(SUM(H71)=0,"",L71/H71))</f>
        <v/>
      </c>
    </row>
    <row r="72" spans="2:13" ht="13" x14ac:dyDescent="0.25">
      <c r="B72" s="1108" t="str">
        <f>Client1</f>
        <v>Province of KwaZulu-Natal</v>
      </c>
      <c r="C72" s="1108"/>
      <c r="D72" s="1108"/>
      <c r="E72" s="87"/>
      <c r="F72" s="1109" t="str">
        <f>"Contract No. "&amp;ContractNo</f>
        <v>Contract No. ZNB 00399/00000/HOD/INF/21/T</v>
      </c>
      <c r="G72" s="1109"/>
      <c r="H72" s="1109"/>
    </row>
    <row r="73" spans="2:13" ht="13" x14ac:dyDescent="0.25">
      <c r="B73" s="1108" t="str">
        <f>Client2</f>
        <v>Department of Transport</v>
      </c>
      <c r="C73" s="1108"/>
      <c r="D73" s="1108"/>
      <c r="E73" s="87"/>
      <c r="F73" s="1109"/>
      <c r="G73" s="1109"/>
      <c r="H73" s="1109"/>
    </row>
    <row r="74" spans="2:13" x14ac:dyDescent="0.25">
      <c r="B74" s="1111"/>
      <c r="C74" s="1111"/>
      <c r="D74" s="1111"/>
      <c r="E74" s="78"/>
      <c r="F74" s="1110"/>
      <c r="G74" s="1110"/>
      <c r="H74" s="1110"/>
    </row>
    <row r="75" spans="2:13" ht="13" x14ac:dyDescent="0.25">
      <c r="B75" s="1112" t="s">
        <v>8</v>
      </c>
      <c r="C75" s="1113"/>
      <c r="D75" s="1113"/>
      <c r="E75" s="1113"/>
      <c r="F75" s="1113"/>
      <c r="G75" s="1113"/>
      <c r="H75" s="1125" t="str">
        <f>$H$6</f>
        <v>CHAPTER C4.1.4</v>
      </c>
      <c r="I75" s="6"/>
    </row>
    <row r="76" spans="2:13" ht="13" x14ac:dyDescent="0.25">
      <c r="B76" s="1117" t="str">
        <f>ContractDescription</f>
        <v>THE CONSTRUCTION OF EARTHWORKS, LAYERWORKS, SURFACING, CULVERTS AND CWAKA RIVER BRIDGE FROM KM 11.600 TO KM 14.000 ON MAIN ROAD P494 IN THE KING CETSHWAYO DISTRICT UNDER EMPANGENI REGION</v>
      </c>
      <c r="C76" s="1118"/>
      <c r="D76" s="1118"/>
      <c r="E76" s="1118"/>
      <c r="F76" s="1118"/>
      <c r="G76" s="1118"/>
      <c r="H76" s="1126"/>
      <c r="I76" s="8"/>
    </row>
    <row r="77" spans="2:13" ht="13" x14ac:dyDescent="0.25">
      <c r="B77" s="1117"/>
      <c r="C77" s="1118"/>
      <c r="D77" s="1118"/>
      <c r="E77" s="1118"/>
      <c r="F77" s="1118"/>
      <c r="G77" s="1118"/>
      <c r="H77" s="1126"/>
      <c r="I77" s="8"/>
    </row>
    <row r="78" spans="2:13" ht="13" x14ac:dyDescent="0.25">
      <c r="B78" s="1119"/>
      <c r="C78" s="1120"/>
      <c r="D78" s="1120"/>
      <c r="E78" s="1120"/>
      <c r="F78" s="1120"/>
      <c r="G78" s="1120"/>
      <c r="H78" s="1127"/>
      <c r="I78" s="8"/>
    </row>
    <row r="79" spans="2:13" s="9" customFormat="1" ht="25" customHeight="1" x14ac:dyDescent="0.25">
      <c r="B79" s="74" t="s">
        <v>0</v>
      </c>
      <c r="C79" s="11" t="s">
        <v>1</v>
      </c>
      <c r="D79" s="11" t="s">
        <v>2</v>
      </c>
      <c r="E79" s="11"/>
      <c r="F79" s="11" t="s">
        <v>3</v>
      </c>
      <c r="G79" s="11" t="s">
        <v>4</v>
      </c>
      <c r="H79" s="11" t="s">
        <v>5</v>
      </c>
      <c r="I79" s="12"/>
      <c r="J79" s="408" t="s">
        <v>996</v>
      </c>
      <c r="K79" s="253" t="s">
        <v>997</v>
      </c>
      <c r="L79" s="253" t="s">
        <v>998</v>
      </c>
      <c r="M79" s="253" t="s">
        <v>999</v>
      </c>
    </row>
    <row r="80" spans="2:13" s="28" customFormat="1" ht="19.5" customHeight="1" x14ac:dyDescent="0.25">
      <c r="B80" s="80"/>
      <c r="C80" s="30" t="s">
        <v>27</v>
      </c>
      <c r="D80" s="32"/>
      <c r="E80" s="32"/>
      <c r="F80" s="32"/>
      <c r="G80" s="31"/>
      <c r="H80" s="33">
        <f>H71</f>
        <v>100000</v>
      </c>
      <c r="I80" s="34"/>
      <c r="J80" s="416"/>
      <c r="K80" s="409"/>
      <c r="L80" s="419">
        <f>L71</f>
        <v>0</v>
      </c>
      <c r="M80" s="410" t="str">
        <f t="shared" ref="M80:M81" si="14">IF(J80="","",IF(SUM(H80)=0,"",L80/H80))</f>
        <v/>
      </c>
    </row>
    <row r="81" spans="2:13" x14ac:dyDescent="0.25">
      <c r="B81" s="46"/>
      <c r="D81" s="15"/>
      <c r="E81" s="15"/>
      <c r="F81" s="15"/>
      <c r="G81" s="422"/>
      <c r="H81" s="17"/>
      <c r="I81" s="18"/>
      <c r="J81" s="61"/>
      <c r="K81" s="399"/>
      <c r="L81" s="420" t="str">
        <f t="shared" ref="L81" si="15">IF(J81="","",F81*K81)</f>
        <v/>
      </c>
      <c r="M81" s="401" t="str">
        <f t="shared" si="14"/>
        <v/>
      </c>
    </row>
    <row r="82" spans="2:13" x14ac:dyDescent="0.25">
      <c r="B82" s="138"/>
      <c r="C82" s="55"/>
      <c r="D82" s="15"/>
      <c r="E82" s="15"/>
      <c r="F82" s="15"/>
      <c r="G82" s="422"/>
      <c r="H82" s="17" t="str">
        <f t="shared" ref="H82:H119" si="16">IF(D82="","",F82*G82)</f>
        <v/>
      </c>
      <c r="I82" s="18"/>
      <c r="J82" s="61"/>
      <c r="K82" s="399"/>
      <c r="L82" s="420" t="str">
        <f t="shared" ref="L82:L145" si="17">IF(J82="","",F82*K82)</f>
        <v/>
      </c>
      <c r="M82" s="401" t="str">
        <f t="shared" ref="M82:M145" si="18">IF(J82="","",IF(SUM(H82)=0,"",L82/H82))</f>
        <v/>
      </c>
    </row>
    <row r="83" spans="2:13" x14ac:dyDescent="0.25">
      <c r="B83" s="137"/>
      <c r="D83" s="15"/>
      <c r="E83" s="15"/>
      <c r="F83" s="15"/>
      <c r="G83" s="422"/>
      <c r="H83" s="17" t="str">
        <f t="shared" si="16"/>
        <v/>
      </c>
      <c r="I83" s="18"/>
      <c r="J83" s="61"/>
      <c r="K83" s="399"/>
      <c r="L83" s="420" t="str">
        <f t="shared" si="17"/>
        <v/>
      </c>
      <c r="M83" s="401" t="str">
        <f t="shared" si="18"/>
        <v/>
      </c>
    </row>
    <row r="84" spans="2:13" x14ac:dyDescent="0.25">
      <c r="B84" s="138"/>
      <c r="C84" s="55"/>
      <c r="D84" s="15"/>
      <c r="E84" s="15"/>
      <c r="F84" s="15"/>
      <c r="G84" s="422"/>
      <c r="H84" s="17" t="str">
        <f t="shared" si="16"/>
        <v/>
      </c>
      <c r="I84" s="18"/>
      <c r="J84" s="61"/>
      <c r="K84" s="399"/>
      <c r="L84" s="420" t="str">
        <f t="shared" si="17"/>
        <v/>
      </c>
      <c r="M84" s="401" t="str">
        <f t="shared" si="18"/>
        <v/>
      </c>
    </row>
    <row r="85" spans="2:13" x14ac:dyDescent="0.25">
      <c r="B85" s="138"/>
      <c r="C85" s="55"/>
      <c r="D85" s="15"/>
      <c r="E85" s="15"/>
      <c r="F85" s="15"/>
      <c r="G85" s="422"/>
      <c r="H85" s="17"/>
      <c r="I85" s="18"/>
      <c r="J85" s="61"/>
      <c r="K85" s="400"/>
      <c r="L85" s="420" t="str">
        <f t="shared" si="17"/>
        <v/>
      </c>
      <c r="M85" s="401" t="str">
        <f t="shared" si="18"/>
        <v/>
      </c>
    </row>
    <row r="86" spans="2:13" x14ac:dyDescent="0.25">
      <c r="B86" s="138"/>
      <c r="C86" s="55"/>
      <c r="D86" s="15"/>
      <c r="E86" s="15"/>
      <c r="F86" s="15"/>
      <c r="G86" s="422"/>
      <c r="H86" s="17" t="str">
        <f t="shared" si="16"/>
        <v/>
      </c>
      <c r="I86" s="18"/>
      <c r="J86" s="61"/>
      <c r="K86" s="399"/>
      <c r="L86" s="420" t="str">
        <f t="shared" si="17"/>
        <v/>
      </c>
      <c r="M86" s="401" t="str">
        <f t="shared" si="18"/>
        <v/>
      </c>
    </row>
    <row r="87" spans="2:13" x14ac:dyDescent="0.25">
      <c r="B87" s="138"/>
      <c r="C87" s="55"/>
      <c r="D87" s="15"/>
      <c r="E87" s="15"/>
      <c r="F87" s="15"/>
      <c r="G87" s="422"/>
      <c r="H87" s="17"/>
      <c r="I87" s="18"/>
      <c r="J87" s="61"/>
      <c r="K87" s="399"/>
      <c r="L87" s="420" t="str">
        <f t="shared" si="17"/>
        <v/>
      </c>
      <c r="M87" s="401" t="str">
        <f t="shared" si="18"/>
        <v/>
      </c>
    </row>
    <row r="88" spans="2:13" x14ac:dyDescent="0.25">
      <c r="B88" s="138"/>
      <c r="C88" s="55"/>
      <c r="D88" s="15"/>
      <c r="E88" s="15"/>
      <c r="F88" s="15"/>
      <c r="G88" s="422"/>
      <c r="H88" s="17" t="str">
        <f t="shared" ref="H88" si="19">IF(D88="","",F88*G88)</f>
        <v/>
      </c>
      <c r="I88" s="18"/>
      <c r="J88" s="61"/>
      <c r="K88" s="399"/>
      <c r="L88" s="420" t="str">
        <f t="shared" si="17"/>
        <v/>
      </c>
      <c r="M88" s="401" t="str">
        <f t="shared" si="18"/>
        <v/>
      </c>
    </row>
    <row r="89" spans="2:13" x14ac:dyDescent="0.25">
      <c r="B89" s="137"/>
      <c r="D89" s="15"/>
      <c r="E89" s="15"/>
      <c r="F89" s="15"/>
      <c r="G89" s="422"/>
      <c r="H89" s="17" t="str">
        <f t="shared" si="16"/>
        <v/>
      </c>
      <c r="I89" s="18"/>
      <c r="J89" s="61"/>
      <c r="K89" s="402"/>
      <c r="L89" s="420" t="str">
        <f t="shared" si="17"/>
        <v/>
      </c>
      <c r="M89" s="401" t="str">
        <f t="shared" si="18"/>
        <v/>
      </c>
    </row>
    <row r="90" spans="2:13" x14ac:dyDescent="0.25">
      <c r="B90" s="138"/>
      <c r="C90" s="55"/>
      <c r="D90" s="15"/>
      <c r="E90" s="15"/>
      <c r="F90" s="15"/>
      <c r="G90" s="422"/>
      <c r="H90" s="17" t="str">
        <f t="shared" si="16"/>
        <v/>
      </c>
      <c r="I90" s="18"/>
      <c r="J90" s="61"/>
      <c r="K90" s="402"/>
      <c r="L90" s="420" t="str">
        <f t="shared" si="17"/>
        <v/>
      </c>
      <c r="M90" s="401" t="str">
        <f t="shared" si="18"/>
        <v/>
      </c>
    </row>
    <row r="91" spans="2:13" x14ac:dyDescent="0.25">
      <c r="B91" s="137"/>
      <c r="D91" s="15"/>
      <c r="E91" s="15"/>
      <c r="F91" s="15"/>
      <c r="G91" s="422"/>
      <c r="H91" s="17" t="str">
        <f t="shared" si="16"/>
        <v/>
      </c>
      <c r="I91" s="18"/>
      <c r="J91" s="61"/>
      <c r="K91" s="402"/>
      <c r="L91" s="420" t="str">
        <f t="shared" si="17"/>
        <v/>
      </c>
      <c r="M91" s="401" t="str">
        <f t="shared" si="18"/>
        <v/>
      </c>
    </row>
    <row r="92" spans="2:13" x14ac:dyDescent="0.25">
      <c r="B92" s="137"/>
      <c r="D92" s="15"/>
      <c r="E92" s="15"/>
      <c r="F92" s="15"/>
      <c r="G92" s="422"/>
      <c r="H92" s="17" t="str">
        <f t="shared" si="16"/>
        <v/>
      </c>
      <c r="I92" s="18"/>
      <c r="J92" s="61"/>
      <c r="K92" s="402"/>
      <c r="L92" s="420" t="str">
        <f t="shared" si="17"/>
        <v/>
      </c>
      <c r="M92" s="401" t="str">
        <f t="shared" si="18"/>
        <v/>
      </c>
    </row>
    <row r="93" spans="2:13" x14ac:dyDescent="0.25">
      <c r="B93" s="137"/>
      <c r="D93" s="15"/>
      <c r="E93" s="15"/>
      <c r="F93" s="15"/>
      <c r="G93" s="422"/>
      <c r="H93" s="17"/>
      <c r="I93" s="18"/>
      <c r="J93" s="61"/>
      <c r="K93" s="402"/>
      <c r="L93" s="420" t="str">
        <f t="shared" si="17"/>
        <v/>
      </c>
      <c r="M93" s="401" t="str">
        <f t="shared" si="18"/>
        <v/>
      </c>
    </row>
    <row r="94" spans="2:13" x14ac:dyDescent="0.25">
      <c r="B94" s="138"/>
      <c r="C94" s="55"/>
      <c r="D94" s="15"/>
      <c r="E94" s="15"/>
      <c r="F94" s="15"/>
      <c r="G94" s="422"/>
      <c r="H94" s="17" t="str">
        <f t="shared" si="16"/>
        <v/>
      </c>
      <c r="I94" s="18"/>
      <c r="J94" s="61"/>
      <c r="K94" s="402"/>
      <c r="L94" s="420" t="str">
        <f t="shared" si="17"/>
        <v/>
      </c>
      <c r="M94" s="401" t="str">
        <f t="shared" si="18"/>
        <v/>
      </c>
    </row>
    <row r="95" spans="2:13" x14ac:dyDescent="0.25">
      <c r="B95" s="137"/>
      <c r="D95" s="15"/>
      <c r="E95" s="15"/>
      <c r="F95" s="15"/>
      <c r="G95" s="422"/>
      <c r="H95" s="17" t="str">
        <f t="shared" si="16"/>
        <v/>
      </c>
      <c r="I95" s="18"/>
      <c r="J95" s="61"/>
      <c r="K95" s="399"/>
      <c r="L95" s="420" t="str">
        <f t="shared" si="17"/>
        <v/>
      </c>
      <c r="M95" s="401" t="str">
        <f t="shared" si="18"/>
        <v/>
      </c>
    </row>
    <row r="96" spans="2:13" x14ac:dyDescent="0.25">
      <c r="B96" s="138"/>
      <c r="C96" s="55"/>
      <c r="D96" s="15"/>
      <c r="E96" s="15"/>
      <c r="F96" s="15"/>
      <c r="G96" s="422"/>
      <c r="H96" s="17" t="str">
        <f t="shared" si="16"/>
        <v/>
      </c>
      <c r="I96" s="18"/>
      <c r="J96" s="61"/>
      <c r="K96" s="399"/>
      <c r="L96" s="420" t="str">
        <f t="shared" si="17"/>
        <v/>
      </c>
      <c r="M96" s="401" t="str">
        <f t="shared" si="18"/>
        <v/>
      </c>
    </row>
    <row r="97" spans="2:13" x14ac:dyDescent="0.25">
      <c r="B97" s="137"/>
      <c r="D97" s="15"/>
      <c r="E97" s="15"/>
      <c r="F97" s="15"/>
      <c r="G97" s="422"/>
      <c r="H97" s="17" t="str">
        <f t="shared" si="16"/>
        <v/>
      </c>
      <c r="I97" s="18"/>
      <c r="J97" s="61"/>
      <c r="K97" s="400"/>
      <c r="L97" s="420" t="str">
        <f t="shared" si="17"/>
        <v/>
      </c>
      <c r="M97" s="401" t="str">
        <f t="shared" si="18"/>
        <v/>
      </c>
    </row>
    <row r="98" spans="2:13" x14ac:dyDescent="0.25">
      <c r="B98" s="138"/>
      <c r="C98" s="55"/>
      <c r="D98" s="15"/>
      <c r="E98" s="15"/>
      <c r="F98" s="15"/>
      <c r="G98" s="422"/>
      <c r="H98" s="17" t="str">
        <f t="shared" si="16"/>
        <v/>
      </c>
      <c r="I98" s="18"/>
      <c r="J98" s="61"/>
      <c r="K98" s="399"/>
      <c r="L98" s="420" t="str">
        <f t="shared" si="17"/>
        <v/>
      </c>
      <c r="M98" s="401" t="str">
        <f t="shared" si="18"/>
        <v/>
      </c>
    </row>
    <row r="99" spans="2:13" x14ac:dyDescent="0.25">
      <c r="B99" s="46"/>
      <c r="D99" s="15"/>
      <c r="E99" s="15"/>
      <c r="F99" s="15"/>
      <c r="G99" s="422"/>
      <c r="H99" s="17" t="str">
        <f t="shared" si="16"/>
        <v/>
      </c>
      <c r="I99" s="18"/>
      <c r="J99" s="61"/>
      <c r="K99" s="399"/>
      <c r="L99" s="420" t="str">
        <f t="shared" si="17"/>
        <v/>
      </c>
      <c r="M99" s="401" t="str">
        <f t="shared" si="18"/>
        <v/>
      </c>
    </row>
    <row r="100" spans="2:13" x14ac:dyDescent="0.25">
      <c r="B100" s="138"/>
      <c r="C100" s="55"/>
      <c r="D100" s="15"/>
      <c r="E100" s="15"/>
      <c r="F100" s="15"/>
      <c r="G100" s="422"/>
      <c r="H100" s="17" t="str">
        <f t="shared" si="16"/>
        <v/>
      </c>
      <c r="I100" s="18"/>
      <c r="J100" s="61"/>
      <c r="K100" s="399"/>
      <c r="L100" s="420" t="str">
        <f t="shared" si="17"/>
        <v/>
      </c>
      <c r="M100" s="401" t="str">
        <f t="shared" si="18"/>
        <v/>
      </c>
    </row>
    <row r="101" spans="2:13" x14ac:dyDescent="0.25">
      <c r="B101" s="137"/>
      <c r="D101" s="15"/>
      <c r="E101" s="15"/>
      <c r="F101" s="15"/>
      <c r="G101" s="422"/>
      <c r="H101" s="17" t="str">
        <f t="shared" si="16"/>
        <v/>
      </c>
      <c r="I101" s="18"/>
      <c r="J101" s="61"/>
      <c r="K101" s="399"/>
      <c r="L101" s="420" t="str">
        <f t="shared" si="17"/>
        <v/>
      </c>
      <c r="M101" s="401" t="str">
        <f t="shared" si="18"/>
        <v/>
      </c>
    </row>
    <row r="102" spans="2:13" x14ac:dyDescent="0.25">
      <c r="B102" s="138"/>
      <c r="C102" s="55"/>
      <c r="D102" s="61"/>
      <c r="E102" s="61"/>
      <c r="F102" s="15"/>
      <c r="G102" s="422"/>
      <c r="H102" s="17" t="str">
        <f t="shared" si="16"/>
        <v/>
      </c>
      <c r="I102" s="18"/>
      <c r="J102" s="61"/>
      <c r="K102" s="399"/>
      <c r="L102" s="420" t="str">
        <f t="shared" si="17"/>
        <v/>
      </c>
      <c r="M102" s="401" t="str">
        <f t="shared" si="18"/>
        <v/>
      </c>
    </row>
    <row r="103" spans="2:13" x14ac:dyDescent="0.25">
      <c r="B103" s="137"/>
      <c r="D103" s="15"/>
      <c r="E103" s="15"/>
      <c r="F103" s="15"/>
      <c r="G103" s="422"/>
      <c r="H103" s="17" t="str">
        <f t="shared" si="16"/>
        <v/>
      </c>
      <c r="I103" s="18"/>
      <c r="J103" s="61"/>
      <c r="K103" s="400"/>
      <c r="L103" s="420" t="str">
        <f t="shared" si="17"/>
        <v/>
      </c>
      <c r="M103" s="401" t="str">
        <f t="shared" si="18"/>
        <v/>
      </c>
    </row>
    <row r="104" spans="2:13" x14ac:dyDescent="0.25">
      <c r="B104" s="138"/>
      <c r="C104" s="55"/>
      <c r="D104" s="61"/>
      <c r="E104" s="61"/>
      <c r="F104" s="15"/>
      <c r="G104" s="422"/>
      <c r="H104" s="17" t="str">
        <f t="shared" si="16"/>
        <v/>
      </c>
      <c r="I104" s="18"/>
      <c r="J104" s="61"/>
      <c r="K104" s="399"/>
      <c r="L104" s="420" t="str">
        <f t="shared" si="17"/>
        <v/>
      </c>
      <c r="M104" s="401" t="str">
        <f t="shared" si="18"/>
        <v/>
      </c>
    </row>
    <row r="105" spans="2:13" x14ac:dyDescent="0.25">
      <c r="B105" s="137"/>
      <c r="D105" s="15"/>
      <c r="E105" s="15"/>
      <c r="F105" s="15"/>
      <c r="G105" s="422"/>
      <c r="H105" s="17" t="str">
        <f t="shared" si="16"/>
        <v/>
      </c>
      <c r="I105" s="18"/>
      <c r="J105" s="61"/>
      <c r="K105" s="399"/>
      <c r="L105" s="420" t="str">
        <f t="shared" si="17"/>
        <v/>
      </c>
      <c r="M105" s="401" t="str">
        <f t="shared" si="18"/>
        <v/>
      </c>
    </row>
    <row r="106" spans="2:13" x14ac:dyDescent="0.25">
      <c r="B106" s="138"/>
      <c r="C106" s="55"/>
      <c r="D106" s="61"/>
      <c r="E106" s="61"/>
      <c r="F106" s="15"/>
      <c r="G106" s="422"/>
      <c r="H106" s="17" t="str">
        <f t="shared" si="16"/>
        <v/>
      </c>
      <c r="I106" s="18"/>
      <c r="J106" s="61"/>
      <c r="K106" s="399"/>
      <c r="L106" s="420" t="str">
        <f t="shared" si="17"/>
        <v/>
      </c>
      <c r="M106" s="401" t="str">
        <f t="shared" si="18"/>
        <v/>
      </c>
    </row>
    <row r="107" spans="2:13" x14ac:dyDescent="0.25">
      <c r="B107" s="137"/>
      <c r="D107" s="15"/>
      <c r="E107" s="15"/>
      <c r="F107" s="15"/>
      <c r="G107" s="422"/>
      <c r="H107" s="17" t="str">
        <f t="shared" si="16"/>
        <v/>
      </c>
      <c r="I107" s="18"/>
      <c r="J107" s="61"/>
      <c r="K107" s="399"/>
      <c r="L107" s="420" t="str">
        <f t="shared" si="17"/>
        <v/>
      </c>
      <c r="M107" s="401" t="str">
        <f t="shared" si="18"/>
        <v/>
      </c>
    </row>
    <row r="108" spans="2:13" x14ac:dyDescent="0.25">
      <c r="B108" s="138"/>
      <c r="C108" s="55"/>
      <c r="D108" s="61"/>
      <c r="E108" s="61"/>
      <c r="F108" s="15"/>
      <c r="G108" s="422"/>
      <c r="H108" s="17" t="str">
        <f t="shared" si="16"/>
        <v/>
      </c>
      <c r="I108" s="18"/>
      <c r="J108" s="61"/>
      <c r="K108" s="399"/>
      <c r="L108" s="420" t="str">
        <f t="shared" si="17"/>
        <v/>
      </c>
      <c r="M108" s="401" t="str">
        <f t="shared" si="18"/>
        <v/>
      </c>
    </row>
    <row r="109" spans="2:13" x14ac:dyDescent="0.25">
      <c r="B109" s="137"/>
      <c r="D109" s="15"/>
      <c r="E109" s="15"/>
      <c r="F109" s="15"/>
      <c r="G109" s="422"/>
      <c r="H109" s="17" t="str">
        <f t="shared" si="16"/>
        <v/>
      </c>
      <c r="I109" s="18"/>
      <c r="J109" s="61"/>
      <c r="K109" s="399"/>
      <c r="L109" s="420" t="str">
        <f t="shared" si="17"/>
        <v/>
      </c>
      <c r="M109" s="401" t="str">
        <f t="shared" si="18"/>
        <v/>
      </c>
    </row>
    <row r="110" spans="2:13" x14ac:dyDescent="0.25">
      <c r="B110" s="138"/>
      <c r="C110" s="55"/>
      <c r="D110" s="61"/>
      <c r="E110" s="61"/>
      <c r="F110" s="15"/>
      <c r="G110" s="422"/>
      <c r="H110" s="17" t="str">
        <f t="shared" si="16"/>
        <v/>
      </c>
      <c r="I110" s="18"/>
      <c r="J110" s="61"/>
      <c r="K110" s="399"/>
      <c r="L110" s="420" t="str">
        <f t="shared" si="17"/>
        <v/>
      </c>
      <c r="M110" s="401" t="str">
        <f t="shared" si="18"/>
        <v/>
      </c>
    </row>
    <row r="111" spans="2:13" x14ac:dyDescent="0.25">
      <c r="B111" s="137"/>
      <c r="D111" s="15"/>
      <c r="E111" s="15"/>
      <c r="F111" s="15"/>
      <c r="G111" s="422"/>
      <c r="H111" s="17" t="str">
        <f t="shared" si="16"/>
        <v/>
      </c>
      <c r="I111" s="18"/>
      <c r="J111" s="61"/>
      <c r="K111" s="399"/>
      <c r="L111" s="420" t="str">
        <f t="shared" si="17"/>
        <v/>
      </c>
      <c r="M111" s="401" t="str">
        <f t="shared" si="18"/>
        <v/>
      </c>
    </row>
    <row r="112" spans="2:13" x14ac:dyDescent="0.25">
      <c r="B112" s="138"/>
      <c r="C112" s="51"/>
      <c r="D112" s="15"/>
      <c r="E112" s="15"/>
      <c r="F112" s="15"/>
      <c r="G112" s="422"/>
      <c r="H112" s="17" t="str">
        <f t="shared" si="16"/>
        <v/>
      </c>
      <c r="I112" s="18"/>
      <c r="J112" s="61"/>
      <c r="K112" s="399"/>
      <c r="L112" s="420" t="str">
        <f t="shared" si="17"/>
        <v/>
      </c>
      <c r="M112" s="401" t="str">
        <f t="shared" si="18"/>
        <v/>
      </c>
    </row>
    <row r="113" spans="2:13" x14ac:dyDescent="0.25">
      <c r="B113" s="137"/>
      <c r="D113" s="15"/>
      <c r="E113" s="15"/>
      <c r="F113" s="15"/>
      <c r="G113" s="422"/>
      <c r="H113" s="17" t="str">
        <f t="shared" si="16"/>
        <v/>
      </c>
      <c r="I113" s="18"/>
      <c r="J113" s="61"/>
      <c r="K113" s="399"/>
      <c r="L113" s="420" t="str">
        <f t="shared" si="17"/>
        <v/>
      </c>
      <c r="M113" s="401" t="str">
        <f t="shared" si="18"/>
        <v/>
      </c>
    </row>
    <row r="114" spans="2:13" x14ac:dyDescent="0.25">
      <c r="B114" s="138"/>
      <c r="C114" s="51"/>
      <c r="D114" s="15"/>
      <c r="E114" s="15"/>
      <c r="F114" s="15"/>
      <c r="G114" s="422"/>
      <c r="H114" s="17" t="str">
        <f t="shared" si="16"/>
        <v/>
      </c>
      <c r="I114" s="18"/>
      <c r="J114" s="61"/>
      <c r="K114" s="399"/>
      <c r="L114" s="420" t="str">
        <f t="shared" si="17"/>
        <v/>
      </c>
      <c r="M114" s="401" t="str">
        <f t="shared" si="18"/>
        <v/>
      </c>
    </row>
    <row r="115" spans="2:13" x14ac:dyDescent="0.25">
      <c r="B115" s="137"/>
      <c r="D115" s="15"/>
      <c r="E115" s="15"/>
      <c r="F115" s="15"/>
      <c r="G115" s="422"/>
      <c r="H115" s="17" t="str">
        <f t="shared" si="16"/>
        <v/>
      </c>
      <c r="I115" s="18"/>
      <c r="J115" s="61"/>
      <c r="K115" s="402"/>
      <c r="L115" s="420" t="str">
        <f t="shared" si="17"/>
        <v/>
      </c>
      <c r="M115" s="401" t="str">
        <f t="shared" si="18"/>
        <v/>
      </c>
    </row>
    <row r="116" spans="2:13" x14ac:dyDescent="0.25">
      <c r="B116" s="138"/>
      <c r="C116" s="51"/>
      <c r="D116" s="15"/>
      <c r="E116" s="15"/>
      <c r="F116" s="15"/>
      <c r="G116" s="422"/>
      <c r="H116" s="17" t="str">
        <f t="shared" si="16"/>
        <v/>
      </c>
      <c r="I116" s="18"/>
      <c r="J116" s="61"/>
      <c r="K116" s="399"/>
      <c r="L116" s="420" t="str">
        <f t="shared" si="17"/>
        <v/>
      </c>
      <c r="M116" s="401" t="str">
        <f t="shared" si="18"/>
        <v/>
      </c>
    </row>
    <row r="117" spans="2:13" x14ac:dyDescent="0.25">
      <c r="B117" s="137"/>
      <c r="D117" s="15"/>
      <c r="E117" s="15"/>
      <c r="F117" s="15"/>
      <c r="G117" s="422"/>
      <c r="H117" s="17" t="str">
        <f t="shared" si="16"/>
        <v/>
      </c>
      <c r="I117" s="18"/>
      <c r="J117" s="61"/>
      <c r="K117" s="402"/>
      <c r="L117" s="420" t="str">
        <f t="shared" si="17"/>
        <v/>
      </c>
      <c r="M117" s="401" t="str">
        <f t="shared" si="18"/>
        <v/>
      </c>
    </row>
    <row r="118" spans="2:13" x14ac:dyDescent="0.25">
      <c r="B118" s="138"/>
      <c r="C118" s="55"/>
      <c r="D118" s="15"/>
      <c r="E118" s="15"/>
      <c r="F118" s="15"/>
      <c r="G118" s="422"/>
      <c r="H118" s="17" t="str">
        <f t="shared" si="16"/>
        <v/>
      </c>
      <c r="I118" s="18"/>
      <c r="J118" s="61"/>
      <c r="K118" s="402"/>
      <c r="L118" s="420" t="str">
        <f t="shared" si="17"/>
        <v/>
      </c>
      <c r="M118" s="401" t="str">
        <f t="shared" si="18"/>
        <v/>
      </c>
    </row>
    <row r="119" spans="2:13" x14ac:dyDescent="0.25">
      <c r="B119" s="137"/>
      <c r="D119" s="15"/>
      <c r="E119" s="15"/>
      <c r="F119" s="15"/>
      <c r="G119" s="422"/>
      <c r="H119" s="17" t="str">
        <f t="shared" si="16"/>
        <v/>
      </c>
      <c r="I119" s="18"/>
      <c r="J119" s="61"/>
      <c r="K119" s="399"/>
      <c r="L119" s="420" t="str">
        <f t="shared" si="17"/>
        <v/>
      </c>
      <c r="M119" s="401" t="str">
        <f t="shared" si="18"/>
        <v/>
      </c>
    </row>
    <row r="120" spans="2:13" x14ac:dyDescent="0.25">
      <c r="B120" s="138"/>
      <c r="C120" s="55"/>
      <c r="D120" s="15"/>
      <c r="E120" s="15"/>
      <c r="F120" s="15"/>
      <c r="G120" s="422"/>
      <c r="H120" s="17" t="str">
        <f t="shared" ref="H120:H140" si="20">IF(D120="","",F120*G120)</f>
        <v/>
      </c>
      <c r="I120" s="18"/>
      <c r="J120" s="61"/>
      <c r="K120" s="399"/>
      <c r="L120" s="420" t="str">
        <f t="shared" si="17"/>
        <v/>
      </c>
      <c r="M120" s="401" t="str">
        <f t="shared" si="18"/>
        <v/>
      </c>
    </row>
    <row r="121" spans="2:13" x14ac:dyDescent="0.25">
      <c r="B121" s="137"/>
      <c r="D121" s="15"/>
      <c r="E121" s="15"/>
      <c r="F121" s="15"/>
      <c r="G121" s="422"/>
      <c r="H121" s="17" t="str">
        <f t="shared" si="20"/>
        <v/>
      </c>
      <c r="I121" s="18"/>
      <c r="J121" s="61"/>
      <c r="K121" s="399"/>
      <c r="L121" s="420" t="str">
        <f t="shared" si="17"/>
        <v/>
      </c>
      <c r="M121" s="401" t="str">
        <f t="shared" si="18"/>
        <v/>
      </c>
    </row>
    <row r="122" spans="2:13" x14ac:dyDescent="0.25">
      <c r="B122" s="138"/>
      <c r="C122" s="55"/>
      <c r="D122" s="15"/>
      <c r="E122" s="15"/>
      <c r="F122" s="15"/>
      <c r="G122" s="422"/>
      <c r="H122" s="17" t="str">
        <f t="shared" si="20"/>
        <v/>
      </c>
      <c r="I122" s="18"/>
      <c r="J122" s="61"/>
      <c r="K122" s="399"/>
      <c r="L122" s="420" t="str">
        <f t="shared" si="17"/>
        <v/>
      </c>
      <c r="M122" s="401" t="str">
        <f t="shared" si="18"/>
        <v/>
      </c>
    </row>
    <row r="123" spans="2:13" x14ac:dyDescent="0.25">
      <c r="B123" s="137"/>
      <c r="D123" s="15"/>
      <c r="E123" s="15"/>
      <c r="F123" s="15"/>
      <c r="G123" s="422"/>
      <c r="H123" s="17" t="str">
        <f t="shared" si="20"/>
        <v/>
      </c>
      <c r="I123" s="18"/>
      <c r="J123" s="62"/>
      <c r="K123" s="62"/>
      <c r="L123" s="420" t="str">
        <f t="shared" si="17"/>
        <v/>
      </c>
      <c r="M123" s="401" t="str">
        <f t="shared" si="18"/>
        <v/>
      </c>
    </row>
    <row r="124" spans="2:13" x14ac:dyDescent="0.25">
      <c r="B124" s="138"/>
      <c r="C124" s="51"/>
      <c r="D124" s="15"/>
      <c r="E124" s="15"/>
      <c r="F124" s="15"/>
      <c r="G124" s="422"/>
      <c r="H124" s="17" t="str">
        <f t="shared" si="20"/>
        <v/>
      </c>
      <c r="I124" s="18"/>
      <c r="J124" s="61"/>
      <c r="K124" s="62"/>
      <c r="L124" s="420" t="str">
        <f t="shared" si="17"/>
        <v/>
      </c>
      <c r="M124" s="401" t="str">
        <f t="shared" si="18"/>
        <v/>
      </c>
    </row>
    <row r="125" spans="2:13" x14ac:dyDescent="0.25">
      <c r="B125" s="137"/>
      <c r="D125" s="15"/>
      <c r="E125" s="15"/>
      <c r="F125" s="15"/>
      <c r="G125" s="422"/>
      <c r="H125" s="17" t="str">
        <f t="shared" si="20"/>
        <v/>
      </c>
      <c r="I125" s="18"/>
      <c r="J125" s="61"/>
      <c r="K125" s="62"/>
      <c r="L125" s="420" t="str">
        <f t="shared" si="17"/>
        <v/>
      </c>
      <c r="M125" s="401" t="str">
        <f t="shared" si="18"/>
        <v/>
      </c>
    </row>
    <row r="126" spans="2:13" x14ac:dyDescent="0.25">
      <c r="B126" s="138"/>
      <c r="C126" s="51"/>
      <c r="D126" s="61"/>
      <c r="E126" s="61"/>
      <c r="F126" s="15"/>
      <c r="G126" s="422"/>
      <c r="H126" s="17" t="str">
        <f t="shared" si="20"/>
        <v/>
      </c>
      <c r="I126" s="18"/>
      <c r="J126" s="61"/>
      <c r="K126" s="62"/>
      <c r="L126" s="420" t="str">
        <f t="shared" si="17"/>
        <v/>
      </c>
      <c r="M126" s="401" t="str">
        <f t="shared" si="18"/>
        <v/>
      </c>
    </row>
    <row r="127" spans="2:13" x14ac:dyDescent="0.25">
      <c r="B127" s="137"/>
      <c r="D127" s="15"/>
      <c r="E127" s="15"/>
      <c r="F127" s="15"/>
      <c r="G127" s="422"/>
      <c r="H127" s="17" t="str">
        <f t="shared" si="20"/>
        <v/>
      </c>
      <c r="I127" s="18"/>
      <c r="J127" s="61"/>
      <c r="K127" s="62"/>
      <c r="L127" s="420" t="str">
        <f t="shared" si="17"/>
        <v/>
      </c>
      <c r="M127" s="401" t="str">
        <f t="shared" si="18"/>
        <v/>
      </c>
    </row>
    <row r="128" spans="2:13" x14ac:dyDescent="0.25">
      <c r="B128" s="138"/>
      <c r="C128" s="51"/>
      <c r="D128" s="15"/>
      <c r="E128" s="15"/>
      <c r="F128" s="15"/>
      <c r="G128" s="422"/>
      <c r="H128" s="17" t="str">
        <f t="shared" si="20"/>
        <v/>
      </c>
      <c r="I128" s="18"/>
      <c r="J128" s="62"/>
      <c r="K128" s="62"/>
      <c r="L128" s="420" t="str">
        <f t="shared" si="17"/>
        <v/>
      </c>
      <c r="M128" s="401" t="str">
        <f t="shared" si="18"/>
        <v/>
      </c>
    </row>
    <row r="129" spans="2:13" x14ac:dyDescent="0.25">
      <c r="B129" s="137"/>
      <c r="D129" s="15"/>
      <c r="E129" s="15"/>
      <c r="F129" s="15"/>
      <c r="G129" s="422"/>
      <c r="H129" s="17" t="str">
        <f t="shared" si="20"/>
        <v/>
      </c>
      <c r="I129" s="18"/>
      <c r="J129" s="62"/>
      <c r="K129" s="62"/>
      <c r="L129" s="420" t="str">
        <f t="shared" si="17"/>
        <v/>
      </c>
      <c r="M129" s="401" t="str">
        <f t="shared" si="18"/>
        <v/>
      </c>
    </row>
    <row r="130" spans="2:13" x14ac:dyDescent="0.25">
      <c r="B130" s="137"/>
      <c r="C130" s="55"/>
      <c r="D130" s="15"/>
      <c r="E130" s="15"/>
      <c r="F130" s="15"/>
      <c r="G130" s="422"/>
      <c r="H130" s="17" t="str">
        <f t="shared" si="20"/>
        <v/>
      </c>
      <c r="I130" s="18"/>
      <c r="J130" s="62"/>
      <c r="K130" s="62"/>
      <c r="L130" s="420" t="str">
        <f t="shared" si="17"/>
        <v/>
      </c>
      <c r="M130" s="401" t="str">
        <f t="shared" si="18"/>
        <v/>
      </c>
    </row>
    <row r="131" spans="2:13" x14ac:dyDescent="0.25">
      <c r="B131" s="137"/>
      <c r="D131" s="15"/>
      <c r="E131" s="15"/>
      <c r="F131" s="15"/>
      <c r="G131" s="422"/>
      <c r="H131" s="17" t="str">
        <f t="shared" si="20"/>
        <v/>
      </c>
      <c r="I131" s="18"/>
      <c r="J131" s="62"/>
      <c r="K131" s="62"/>
      <c r="L131" s="420" t="str">
        <f t="shared" si="17"/>
        <v/>
      </c>
      <c r="M131" s="401" t="str">
        <f t="shared" si="18"/>
        <v/>
      </c>
    </row>
    <row r="132" spans="2:13" x14ac:dyDescent="0.25">
      <c r="B132" s="138"/>
      <c r="C132" s="55"/>
      <c r="D132" s="15"/>
      <c r="E132" s="15"/>
      <c r="F132" s="15"/>
      <c r="G132" s="422"/>
      <c r="H132" s="17" t="str">
        <f t="shared" si="20"/>
        <v/>
      </c>
      <c r="I132" s="18"/>
      <c r="J132" s="62"/>
      <c r="K132" s="62"/>
      <c r="L132" s="420" t="str">
        <f t="shared" si="17"/>
        <v/>
      </c>
      <c r="M132" s="401" t="str">
        <f t="shared" si="18"/>
        <v/>
      </c>
    </row>
    <row r="133" spans="2:13" x14ac:dyDescent="0.25">
      <c r="B133" s="137"/>
      <c r="D133" s="15"/>
      <c r="E133" s="15"/>
      <c r="F133" s="15"/>
      <c r="G133" s="422"/>
      <c r="H133" s="17" t="str">
        <f t="shared" si="20"/>
        <v/>
      </c>
      <c r="I133" s="18"/>
      <c r="J133" s="62"/>
      <c r="K133" s="62"/>
      <c r="L133" s="420" t="str">
        <f t="shared" si="17"/>
        <v/>
      </c>
      <c r="M133" s="401" t="str">
        <f t="shared" si="18"/>
        <v/>
      </c>
    </row>
    <row r="134" spans="2:13" x14ac:dyDescent="0.25">
      <c r="B134" s="138"/>
      <c r="C134" s="55"/>
      <c r="D134" s="15"/>
      <c r="E134" s="15"/>
      <c r="F134" s="15"/>
      <c r="G134" s="422"/>
      <c r="H134" s="17" t="str">
        <f t="shared" si="20"/>
        <v/>
      </c>
      <c r="I134" s="18"/>
      <c r="J134" s="62"/>
      <c r="K134" s="62"/>
      <c r="L134" s="420" t="str">
        <f t="shared" si="17"/>
        <v/>
      </c>
      <c r="M134" s="401" t="str">
        <f t="shared" si="18"/>
        <v/>
      </c>
    </row>
    <row r="135" spans="2:13" x14ac:dyDescent="0.25">
      <c r="B135" s="137"/>
      <c r="D135" s="15"/>
      <c r="E135" s="15"/>
      <c r="F135" s="15"/>
      <c r="G135" s="422"/>
      <c r="H135" s="17" t="str">
        <f t="shared" si="20"/>
        <v/>
      </c>
      <c r="I135" s="18"/>
      <c r="J135" s="62"/>
      <c r="K135" s="62"/>
      <c r="L135" s="420" t="str">
        <f t="shared" si="17"/>
        <v/>
      </c>
      <c r="M135" s="401" t="str">
        <f t="shared" si="18"/>
        <v/>
      </c>
    </row>
    <row r="136" spans="2:13" x14ac:dyDescent="0.25">
      <c r="B136" s="138"/>
      <c r="C136" s="55"/>
      <c r="D136" s="61"/>
      <c r="E136" s="61"/>
      <c r="F136" s="15"/>
      <c r="G136" s="422"/>
      <c r="H136" s="17" t="str">
        <f t="shared" si="20"/>
        <v/>
      </c>
      <c r="I136" s="18"/>
      <c r="J136" s="62"/>
      <c r="K136" s="62"/>
      <c r="L136" s="420" t="str">
        <f t="shared" si="17"/>
        <v/>
      </c>
      <c r="M136" s="401" t="str">
        <f t="shared" si="18"/>
        <v/>
      </c>
    </row>
    <row r="137" spans="2:13" x14ac:dyDescent="0.25">
      <c r="B137" s="138"/>
      <c r="C137" s="55"/>
      <c r="D137" s="61"/>
      <c r="E137" s="61"/>
      <c r="F137" s="15"/>
      <c r="G137" s="422"/>
      <c r="H137" s="17"/>
      <c r="I137" s="18"/>
      <c r="J137" s="62"/>
      <c r="K137" s="62"/>
      <c r="L137" s="420" t="str">
        <f t="shared" si="17"/>
        <v/>
      </c>
      <c r="M137" s="401" t="str">
        <f t="shared" si="18"/>
        <v/>
      </c>
    </row>
    <row r="138" spans="2:13" x14ac:dyDescent="0.25">
      <c r="B138" s="616"/>
      <c r="C138" s="617"/>
      <c r="D138" s="61"/>
      <c r="E138" s="61"/>
      <c r="F138" s="15"/>
      <c r="G138" s="422"/>
      <c r="H138" s="17" t="str">
        <f t="shared" si="20"/>
        <v/>
      </c>
      <c r="I138" s="18"/>
      <c r="J138" s="62"/>
      <c r="K138" s="62"/>
      <c r="L138" s="420" t="str">
        <f t="shared" si="17"/>
        <v/>
      </c>
      <c r="M138" s="401" t="str">
        <f t="shared" si="18"/>
        <v/>
      </c>
    </row>
    <row r="139" spans="2:13" x14ac:dyDescent="0.25">
      <c r="B139" s="46"/>
      <c r="D139" s="15"/>
      <c r="E139" s="15"/>
      <c r="F139" s="15"/>
      <c r="G139" s="422"/>
      <c r="H139" s="17" t="str">
        <f t="shared" si="20"/>
        <v/>
      </c>
      <c r="I139" s="18"/>
      <c r="J139" s="62"/>
      <c r="K139" s="62"/>
      <c r="L139" s="420" t="str">
        <f t="shared" si="17"/>
        <v/>
      </c>
      <c r="M139" s="401" t="str">
        <f t="shared" si="18"/>
        <v/>
      </c>
    </row>
    <row r="140" spans="2:13" x14ac:dyDescent="0.25">
      <c r="B140" s="46"/>
      <c r="C140" s="55"/>
      <c r="D140" s="61"/>
      <c r="E140" s="61"/>
      <c r="F140" s="15"/>
      <c r="G140" s="422"/>
      <c r="H140" s="17" t="str">
        <f t="shared" si="20"/>
        <v/>
      </c>
      <c r="I140" s="18"/>
      <c r="J140" s="62"/>
      <c r="K140" s="62"/>
      <c r="L140" s="420" t="str">
        <f t="shared" si="17"/>
        <v/>
      </c>
      <c r="M140" s="401" t="str">
        <f t="shared" si="18"/>
        <v/>
      </c>
    </row>
    <row r="141" spans="2:13" x14ac:dyDescent="0.25">
      <c r="B141" s="46"/>
      <c r="C141" s="55"/>
      <c r="D141" s="61"/>
      <c r="E141" s="61"/>
      <c r="F141" s="15"/>
      <c r="G141" s="422"/>
      <c r="H141" s="17"/>
      <c r="I141" s="18"/>
      <c r="J141" s="62"/>
      <c r="K141" s="62"/>
      <c r="L141" s="420" t="str">
        <f t="shared" si="17"/>
        <v/>
      </c>
      <c r="M141" s="401" t="str">
        <f t="shared" si="18"/>
        <v/>
      </c>
    </row>
    <row r="142" spans="2:13" x14ac:dyDescent="0.25">
      <c r="B142" s="46"/>
      <c r="C142" s="55"/>
      <c r="D142" s="61"/>
      <c r="E142" s="61"/>
      <c r="F142" s="15"/>
      <c r="G142" s="422"/>
      <c r="H142" s="17"/>
      <c r="I142" s="18"/>
      <c r="J142" s="62"/>
      <c r="K142" s="62"/>
      <c r="L142" s="420" t="str">
        <f t="shared" si="17"/>
        <v/>
      </c>
      <c r="M142" s="401" t="str">
        <f t="shared" si="18"/>
        <v/>
      </c>
    </row>
    <row r="143" spans="2:13" x14ac:dyDescent="0.25">
      <c r="B143" s="46"/>
      <c r="C143" s="55"/>
      <c r="D143" s="61"/>
      <c r="E143" s="61"/>
      <c r="F143" s="15"/>
      <c r="G143" s="422"/>
      <c r="H143" s="17"/>
      <c r="I143" s="18"/>
      <c r="J143" s="62"/>
      <c r="K143" s="62"/>
      <c r="L143" s="420" t="str">
        <f t="shared" si="17"/>
        <v/>
      </c>
      <c r="M143" s="401" t="str">
        <f t="shared" si="18"/>
        <v/>
      </c>
    </row>
    <row r="144" spans="2:13" x14ac:dyDescent="0.25">
      <c r="B144" s="46"/>
      <c r="C144" s="55"/>
      <c r="D144" s="61"/>
      <c r="E144" s="61"/>
      <c r="F144" s="15"/>
      <c r="G144" s="422"/>
      <c r="H144" s="17"/>
      <c r="I144" s="18"/>
      <c r="J144" s="62"/>
      <c r="K144" s="62"/>
      <c r="L144" s="420" t="str">
        <f t="shared" si="17"/>
        <v/>
      </c>
      <c r="M144" s="401" t="str">
        <f t="shared" si="18"/>
        <v/>
      </c>
    </row>
    <row r="145" spans="2:13" x14ac:dyDescent="0.25">
      <c r="B145" s="46"/>
      <c r="C145" s="55"/>
      <c r="D145" s="61"/>
      <c r="E145" s="61"/>
      <c r="F145" s="15"/>
      <c r="G145" s="422"/>
      <c r="H145" s="17"/>
      <c r="I145" s="18"/>
      <c r="J145" s="61"/>
      <c r="K145" s="62"/>
      <c r="L145" s="420" t="str">
        <f t="shared" si="17"/>
        <v/>
      </c>
      <c r="M145" s="401" t="str">
        <f t="shared" si="18"/>
        <v/>
      </c>
    </row>
    <row r="146" spans="2:13" x14ac:dyDescent="0.25">
      <c r="B146" s="46"/>
      <c r="C146" s="55"/>
      <c r="D146" s="61"/>
      <c r="E146" s="61"/>
      <c r="F146" s="15"/>
      <c r="G146" s="422"/>
      <c r="H146" s="17"/>
      <c r="I146" s="18"/>
      <c r="J146" s="61"/>
      <c r="K146" s="695"/>
      <c r="L146" s="420" t="str">
        <f t="shared" ref="L146:L147" si="21">IF(J146="","",F146*K146)</f>
        <v/>
      </c>
      <c r="M146" s="401" t="str">
        <f t="shared" ref="M146:M148" si="22">IF(J146="","",IF(SUM(H146)=0,"",L146/H146))</f>
        <v/>
      </c>
    </row>
    <row r="147" spans="2:13" x14ac:dyDescent="0.25">
      <c r="B147" s="137"/>
      <c r="D147" s="15"/>
      <c r="E147" s="15"/>
      <c r="F147" s="15"/>
      <c r="G147" s="422"/>
      <c r="H147" s="17" t="str">
        <f>IF(D147="","",F147*G147)</f>
        <v/>
      </c>
      <c r="I147" s="18"/>
      <c r="J147" s="61"/>
      <c r="K147" s="696"/>
      <c r="L147" s="420" t="str">
        <f t="shared" si="21"/>
        <v/>
      </c>
      <c r="M147" s="401" t="str">
        <f t="shared" si="22"/>
        <v/>
      </c>
    </row>
    <row r="148" spans="2:13" s="28" customFormat="1" ht="19.5" customHeight="1" x14ac:dyDescent="0.25">
      <c r="B148" s="135" t="str">
        <f>$B$12</f>
        <v>C4.1</v>
      </c>
      <c r="C148" s="498" t="str">
        <f>"TOTAL CARRIED FORWARD"&amp;IF(H148=H$1," TO SUMMARY (Page C"&amp;Page_A&amp;")","")</f>
        <v>TOTAL CARRIED FORWARD TO SUMMARY (Page C48)</v>
      </c>
      <c r="D148" s="32"/>
      <c r="E148" s="32"/>
      <c r="F148" s="32"/>
      <c r="G148" s="31"/>
      <c r="H148" s="33">
        <f>SUM(H77:H147)</f>
        <v>100000</v>
      </c>
      <c r="I148" s="34"/>
      <c r="J148" s="408"/>
      <c r="K148" s="406"/>
      <c r="L148" s="418">
        <f>SUM(L80:L147)</f>
        <v>0</v>
      </c>
      <c r="M148" s="407" t="str">
        <f t="shared" si="22"/>
        <v/>
      </c>
    </row>
    <row r="149" spans="2:13" ht="13" x14ac:dyDescent="0.25">
      <c r="B149" s="1108" t="str">
        <f>Client1</f>
        <v>Province of KwaZulu-Natal</v>
      </c>
      <c r="C149" s="1108"/>
      <c r="D149" s="1108"/>
      <c r="E149" s="87"/>
      <c r="F149" s="1109" t="str">
        <f>"Contract No. "&amp;ContractNo</f>
        <v>Contract No. ZNB 00399/00000/HOD/INF/21/T</v>
      </c>
      <c r="G149" s="1109"/>
      <c r="H149" s="1109"/>
    </row>
    <row r="150" spans="2:13" ht="13" x14ac:dyDescent="0.25">
      <c r="B150" s="1108" t="str">
        <f>Client2</f>
        <v>Department of Transport</v>
      </c>
      <c r="C150" s="1108"/>
      <c r="D150" s="1108"/>
      <c r="E150" s="87"/>
      <c r="F150" s="1109"/>
      <c r="G150" s="1109"/>
      <c r="H150" s="1109"/>
    </row>
    <row r="151" spans="2:13" x14ac:dyDescent="0.25">
      <c r="B151" s="1111"/>
      <c r="C151" s="1111"/>
      <c r="D151" s="1111"/>
      <c r="E151" s="78"/>
      <c r="F151" s="1110"/>
      <c r="G151" s="1110"/>
      <c r="H151" s="1110"/>
    </row>
    <row r="152" spans="2:13" ht="13" x14ac:dyDescent="0.25">
      <c r="B152" s="1112" t="s">
        <v>8</v>
      </c>
      <c r="C152" s="1113"/>
      <c r="D152" s="1113"/>
      <c r="E152" s="1113"/>
      <c r="F152" s="1113"/>
      <c r="G152" s="1113"/>
      <c r="H152" s="1125" t="str">
        <f>$H$6</f>
        <v>CHAPTER C4.1.4</v>
      </c>
      <c r="I152" s="6"/>
    </row>
    <row r="153" spans="2:13" ht="13" x14ac:dyDescent="0.25">
      <c r="B153" s="1117" t="str">
        <f>ContractDescription</f>
        <v>THE CONSTRUCTION OF EARTHWORKS, LAYERWORKS, SURFACING, CULVERTS AND CWAKA RIVER BRIDGE FROM KM 11.600 TO KM 14.000 ON MAIN ROAD P494 IN THE KING CETSHWAYO DISTRICT UNDER EMPANGENI REGION</v>
      </c>
      <c r="C153" s="1118"/>
      <c r="D153" s="1118"/>
      <c r="E153" s="1118"/>
      <c r="F153" s="1118"/>
      <c r="G153" s="1118"/>
      <c r="H153" s="1126"/>
      <c r="I153" s="8"/>
    </row>
    <row r="154" spans="2:13" ht="13" x14ac:dyDescent="0.25">
      <c r="B154" s="1117"/>
      <c r="C154" s="1118"/>
      <c r="D154" s="1118"/>
      <c r="E154" s="1118"/>
      <c r="F154" s="1118"/>
      <c r="G154" s="1118"/>
      <c r="H154" s="1126"/>
      <c r="I154" s="8"/>
    </row>
    <row r="155" spans="2:13" ht="13" x14ac:dyDescent="0.25">
      <c r="B155" s="1119"/>
      <c r="C155" s="1120"/>
      <c r="D155" s="1120"/>
      <c r="E155" s="1120"/>
      <c r="F155" s="1120"/>
      <c r="G155" s="1120"/>
      <c r="H155" s="1127"/>
      <c r="I155" s="8"/>
    </row>
    <row r="156" spans="2:13" s="9" customFormat="1" ht="25" customHeight="1" x14ac:dyDescent="0.25">
      <c r="B156" s="74" t="s">
        <v>0</v>
      </c>
      <c r="C156" s="11" t="s">
        <v>1</v>
      </c>
      <c r="D156" s="11" t="s">
        <v>2</v>
      </c>
      <c r="E156" s="11"/>
      <c r="F156" s="11" t="s">
        <v>3</v>
      </c>
      <c r="G156" s="11" t="s">
        <v>4</v>
      </c>
      <c r="H156" s="11" t="s">
        <v>5</v>
      </c>
      <c r="I156" s="12"/>
      <c r="J156" s="408" t="s">
        <v>996</v>
      </c>
      <c r="K156" s="253" t="s">
        <v>997</v>
      </c>
      <c r="L156" s="253" t="s">
        <v>998</v>
      </c>
      <c r="M156" s="253" t="s">
        <v>999</v>
      </c>
    </row>
    <row r="157" spans="2:13" s="28" customFormat="1" ht="19.5" customHeight="1" x14ac:dyDescent="0.25">
      <c r="B157" s="80"/>
      <c r="C157" s="30" t="s">
        <v>27</v>
      </c>
      <c r="D157" s="32"/>
      <c r="E157" s="32"/>
      <c r="F157" s="32"/>
      <c r="G157" s="31"/>
      <c r="H157" s="33">
        <f>H148</f>
        <v>100000</v>
      </c>
      <c r="I157" s="34"/>
      <c r="J157" s="416"/>
      <c r="K157" s="409"/>
      <c r="L157" s="419">
        <f>L148</f>
        <v>0</v>
      </c>
      <c r="M157" s="410" t="str">
        <f t="shared" ref="M157:M158" si="23">IF(J157="","",IF(SUM(H157)=0,"",L157/H157))</f>
        <v/>
      </c>
    </row>
    <row r="158" spans="2:13" x14ac:dyDescent="0.25">
      <c r="B158" s="138"/>
      <c r="C158" s="55"/>
      <c r="D158" s="15"/>
      <c r="E158" s="15"/>
      <c r="F158" s="15"/>
      <c r="G158" s="422"/>
      <c r="H158" s="17" t="str">
        <f t="shared" ref="H158:H196" si="24">IF(D158="","",F158*G158)</f>
        <v/>
      </c>
      <c r="I158" s="18"/>
      <c r="J158" s="61"/>
      <c r="K158" s="399"/>
      <c r="L158" s="420" t="str">
        <f t="shared" ref="L158" si="25">IF(J158="","",F158*K158)</f>
        <v/>
      </c>
      <c r="M158" s="401" t="str">
        <f t="shared" si="23"/>
        <v/>
      </c>
    </row>
    <row r="159" spans="2:13" x14ac:dyDescent="0.25">
      <c r="B159" s="138"/>
      <c r="C159" s="55"/>
      <c r="D159" s="15"/>
      <c r="E159" s="15"/>
      <c r="F159" s="15"/>
      <c r="G159" s="422"/>
      <c r="H159" s="17" t="str">
        <f t="shared" si="24"/>
        <v/>
      </c>
      <c r="I159" s="18"/>
      <c r="J159" s="61"/>
      <c r="K159" s="399"/>
      <c r="L159" s="420" t="str">
        <f t="shared" ref="L159:L218" si="26">IF(J159="","",F159*K159)</f>
        <v/>
      </c>
      <c r="M159" s="401" t="str">
        <f t="shared" ref="M159:M218" si="27">IF(J159="","",IF(SUM(H159)=0,"",L159/H159))</f>
        <v/>
      </c>
    </row>
    <row r="160" spans="2:13" x14ac:dyDescent="0.25">
      <c r="B160" s="137"/>
      <c r="D160" s="15"/>
      <c r="E160" s="15"/>
      <c r="F160" s="15"/>
      <c r="G160" s="422"/>
      <c r="H160" s="17" t="str">
        <f t="shared" si="24"/>
        <v/>
      </c>
      <c r="I160" s="18"/>
      <c r="J160" s="61"/>
      <c r="K160" s="399"/>
      <c r="L160" s="420" t="str">
        <f t="shared" si="26"/>
        <v/>
      </c>
      <c r="M160" s="401" t="str">
        <f t="shared" si="27"/>
        <v/>
      </c>
    </row>
    <row r="161" spans="2:13" x14ac:dyDescent="0.25">
      <c r="B161" s="137"/>
      <c r="C161" s="55"/>
      <c r="D161" s="61"/>
      <c r="E161" s="61"/>
      <c r="F161" s="15"/>
      <c r="G161" s="422"/>
      <c r="H161" s="17" t="str">
        <f t="shared" si="24"/>
        <v/>
      </c>
      <c r="I161" s="18"/>
      <c r="J161" s="61"/>
      <c r="K161" s="399"/>
      <c r="L161" s="420" t="str">
        <f t="shared" si="26"/>
        <v/>
      </c>
      <c r="M161" s="401" t="str">
        <f t="shared" si="27"/>
        <v/>
      </c>
    </row>
    <row r="162" spans="2:13" x14ac:dyDescent="0.25">
      <c r="B162" s="137"/>
      <c r="C162" s="55"/>
      <c r="D162" s="61"/>
      <c r="E162" s="61"/>
      <c r="F162" s="15"/>
      <c r="G162" s="422"/>
      <c r="H162" s="17"/>
      <c r="I162" s="18"/>
      <c r="J162" s="61"/>
      <c r="K162" s="400"/>
      <c r="L162" s="420" t="str">
        <f t="shared" si="26"/>
        <v/>
      </c>
      <c r="M162" s="401" t="str">
        <f t="shared" si="27"/>
        <v/>
      </c>
    </row>
    <row r="163" spans="2:13" x14ac:dyDescent="0.25">
      <c r="B163" s="137"/>
      <c r="C163" s="55"/>
      <c r="D163" s="61"/>
      <c r="E163" s="61"/>
      <c r="F163" s="15"/>
      <c r="G163" s="422"/>
      <c r="H163" s="17" t="str">
        <f t="shared" si="24"/>
        <v/>
      </c>
      <c r="I163" s="18"/>
      <c r="J163" s="61"/>
      <c r="K163" s="399"/>
      <c r="L163" s="420" t="str">
        <f t="shared" si="26"/>
        <v/>
      </c>
      <c r="M163" s="401" t="str">
        <f t="shared" si="27"/>
        <v/>
      </c>
    </row>
    <row r="164" spans="2:13" x14ac:dyDescent="0.25">
      <c r="B164" s="46"/>
      <c r="D164" s="15"/>
      <c r="E164" s="15"/>
      <c r="F164" s="15"/>
      <c r="G164" s="422"/>
      <c r="H164" s="17" t="str">
        <f t="shared" si="24"/>
        <v/>
      </c>
      <c r="I164" s="18"/>
      <c r="J164" s="61"/>
      <c r="K164" s="399"/>
      <c r="L164" s="420" t="str">
        <f t="shared" si="26"/>
        <v/>
      </c>
      <c r="M164" s="401" t="str">
        <f t="shared" si="27"/>
        <v/>
      </c>
    </row>
    <row r="165" spans="2:13" x14ac:dyDescent="0.25">
      <c r="B165" s="46"/>
      <c r="C165" s="55"/>
      <c r="D165" s="61"/>
      <c r="E165" s="61"/>
      <c r="F165" s="15"/>
      <c r="G165" s="422"/>
      <c r="H165" s="17" t="str">
        <f t="shared" si="24"/>
        <v/>
      </c>
      <c r="I165" s="18"/>
      <c r="J165" s="61"/>
      <c r="K165" s="399"/>
      <c r="L165" s="420" t="str">
        <f t="shared" si="26"/>
        <v/>
      </c>
      <c r="M165" s="401" t="str">
        <f t="shared" si="27"/>
        <v/>
      </c>
    </row>
    <row r="166" spans="2:13" x14ac:dyDescent="0.25">
      <c r="B166" s="46"/>
      <c r="C166" s="55"/>
      <c r="D166" s="15"/>
      <c r="E166" s="15"/>
      <c r="F166" s="15"/>
      <c r="G166" s="422"/>
      <c r="H166" s="17" t="str">
        <f t="shared" si="24"/>
        <v/>
      </c>
      <c r="I166" s="18"/>
      <c r="J166" s="61"/>
      <c r="K166" s="402"/>
      <c r="L166" s="420" t="str">
        <f t="shared" si="26"/>
        <v/>
      </c>
      <c r="M166" s="401" t="str">
        <f t="shared" si="27"/>
        <v/>
      </c>
    </row>
    <row r="167" spans="2:13" x14ac:dyDescent="0.25">
      <c r="B167" s="138"/>
      <c r="C167" s="55"/>
      <c r="D167" s="15"/>
      <c r="E167" s="15"/>
      <c r="F167" s="15"/>
      <c r="G167" s="422"/>
      <c r="H167" s="17" t="str">
        <f t="shared" si="24"/>
        <v/>
      </c>
      <c r="I167" s="18"/>
      <c r="J167" s="61"/>
      <c r="K167" s="402"/>
      <c r="L167" s="420" t="str">
        <f t="shared" si="26"/>
        <v/>
      </c>
      <c r="M167" s="401" t="str">
        <f t="shared" si="27"/>
        <v/>
      </c>
    </row>
    <row r="168" spans="2:13" x14ac:dyDescent="0.25">
      <c r="B168" s="137"/>
      <c r="D168" s="15"/>
      <c r="E168" s="15"/>
      <c r="F168" s="15"/>
      <c r="G168" s="422"/>
      <c r="H168" s="17" t="str">
        <f t="shared" si="24"/>
        <v/>
      </c>
      <c r="I168" s="18"/>
      <c r="J168" s="61"/>
      <c r="K168" s="402"/>
      <c r="L168" s="420" t="str">
        <f t="shared" si="26"/>
        <v/>
      </c>
      <c r="M168" s="401" t="str">
        <f t="shared" si="27"/>
        <v/>
      </c>
    </row>
    <row r="169" spans="2:13" x14ac:dyDescent="0.25">
      <c r="B169" s="138"/>
      <c r="C169" s="55"/>
      <c r="D169" s="61"/>
      <c r="E169" s="61"/>
      <c r="F169" s="15"/>
      <c r="G169" s="422"/>
      <c r="H169" s="17" t="str">
        <f t="shared" si="24"/>
        <v/>
      </c>
      <c r="I169" s="18"/>
      <c r="J169" s="61"/>
      <c r="K169" s="402"/>
      <c r="L169" s="420" t="str">
        <f t="shared" si="26"/>
        <v/>
      </c>
      <c r="M169" s="401" t="str">
        <f t="shared" si="27"/>
        <v/>
      </c>
    </row>
    <row r="170" spans="2:13" x14ac:dyDescent="0.25">
      <c r="B170" s="137"/>
      <c r="D170" s="15"/>
      <c r="E170" s="15"/>
      <c r="F170" s="15"/>
      <c r="G170" s="422"/>
      <c r="H170" s="17" t="str">
        <f t="shared" si="24"/>
        <v/>
      </c>
      <c r="I170" s="18"/>
      <c r="J170" s="61"/>
      <c r="K170" s="402"/>
      <c r="L170" s="420" t="str">
        <f t="shared" si="26"/>
        <v/>
      </c>
      <c r="M170" s="401" t="str">
        <f t="shared" si="27"/>
        <v/>
      </c>
    </row>
    <row r="171" spans="2:13" x14ac:dyDescent="0.25">
      <c r="B171" s="138"/>
      <c r="C171" s="55"/>
      <c r="D171" s="61"/>
      <c r="E171" s="61"/>
      <c r="F171" s="15"/>
      <c r="G171" s="422"/>
      <c r="H171" s="17" t="str">
        <f t="shared" si="24"/>
        <v/>
      </c>
      <c r="I171" s="18"/>
      <c r="J171" s="61"/>
      <c r="K171" s="402"/>
      <c r="L171" s="420" t="str">
        <f t="shared" si="26"/>
        <v/>
      </c>
      <c r="M171" s="401" t="str">
        <f t="shared" si="27"/>
        <v/>
      </c>
    </row>
    <row r="172" spans="2:13" x14ac:dyDescent="0.25">
      <c r="B172" s="137"/>
      <c r="D172" s="15"/>
      <c r="E172" s="15"/>
      <c r="F172" s="15"/>
      <c r="G172" s="422"/>
      <c r="H172" s="17" t="str">
        <f t="shared" si="24"/>
        <v/>
      </c>
      <c r="I172" s="18"/>
      <c r="J172" s="61"/>
      <c r="K172" s="399"/>
      <c r="L172" s="420" t="str">
        <f t="shared" si="26"/>
        <v/>
      </c>
      <c r="M172" s="401" t="str">
        <f t="shared" si="27"/>
        <v/>
      </c>
    </row>
    <row r="173" spans="2:13" x14ac:dyDescent="0.25">
      <c r="B173" s="138"/>
      <c r="C173" s="55"/>
      <c r="D173" s="61"/>
      <c r="E173" s="61"/>
      <c r="F173" s="15"/>
      <c r="G173" s="422"/>
      <c r="H173" s="17" t="str">
        <f t="shared" si="24"/>
        <v/>
      </c>
      <c r="I173" s="18"/>
      <c r="J173" s="61"/>
      <c r="K173" s="399"/>
      <c r="L173" s="420" t="str">
        <f t="shared" si="26"/>
        <v/>
      </c>
      <c r="M173" s="401" t="str">
        <f t="shared" si="27"/>
        <v/>
      </c>
    </row>
    <row r="174" spans="2:13" x14ac:dyDescent="0.25">
      <c r="B174" s="46"/>
      <c r="D174" s="15"/>
      <c r="E174" s="15"/>
      <c r="F174" s="15"/>
      <c r="G174" s="422"/>
      <c r="H174" s="17" t="str">
        <f t="shared" si="24"/>
        <v/>
      </c>
      <c r="I174" s="18"/>
      <c r="J174" s="61"/>
      <c r="K174" s="400"/>
      <c r="L174" s="420" t="str">
        <f t="shared" si="26"/>
        <v/>
      </c>
      <c r="M174" s="401" t="str">
        <f t="shared" si="27"/>
        <v/>
      </c>
    </row>
    <row r="175" spans="2:13" x14ac:dyDescent="0.25">
      <c r="B175" s="138"/>
      <c r="C175" s="55"/>
      <c r="D175" s="15"/>
      <c r="E175" s="15"/>
      <c r="F175" s="15"/>
      <c r="G175" s="422"/>
      <c r="H175" s="17" t="str">
        <f t="shared" si="24"/>
        <v/>
      </c>
      <c r="I175" s="18"/>
      <c r="J175" s="61"/>
      <c r="K175" s="399"/>
      <c r="L175" s="420" t="str">
        <f t="shared" si="26"/>
        <v/>
      </c>
      <c r="M175" s="401" t="str">
        <f t="shared" si="27"/>
        <v/>
      </c>
    </row>
    <row r="176" spans="2:13" x14ac:dyDescent="0.25">
      <c r="B176" s="137"/>
      <c r="D176" s="15"/>
      <c r="E176" s="15"/>
      <c r="F176" s="15"/>
      <c r="G176" s="422"/>
      <c r="H176" s="17" t="str">
        <f t="shared" si="24"/>
        <v/>
      </c>
      <c r="I176" s="18"/>
      <c r="J176" s="61"/>
      <c r="K176" s="399"/>
      <c r="L176" s="420" t="str">
        <f t="shared" si="26"/>
        <v/>
      </c>
      <c r="M176" s="401" t="str">
        <f t="shared" si="27"/>
        <v/>
      </c>
    </row>
    <row r="177" spans="2:13" x14ac:dyDescent="0.25">
      <c r="B177" s="138"/>
      <c r="C177" s="55"/>
      <c r="D177" s="61"/>
      <c r="E177" s="61"/>
      <c r="F177" s="15"/>
      <c r="G177" s="422"/>
      <c r="H177" s="17" t="str">
        <f t="shared" si="24"/>
        <v/>
      </c>
      <c r="I177" s="18"/>
      <c r="J177" s="61"/>
      <c r="K177" s="399"/>
      <c r="L177" s="420" t="str">
        <f t="shared" si="26"/>
        <v/>
      </c>
      <c r="M177" s="401" t="str">
        <f t="shared" si="27"/>
        <v/>
      </c>
    </row>
    <row r="178" spans="2:13" x14ac:dyDescent="0.25">
      <c r="B178" s="137"/>
      <c r="D178" s="61"/>
      <c r="E178" s="61"/>
      <c r="F178" s="15"/>
      <c r="G178" s="422"/>
      <c r="H178" s="17" t="str">
        <f t="shared" si="24"/>
        <v/>
      </c>
      <c r="I178" s="18"/>
      <c r="J178" s="61"/>
      <c r="K178" s="399"/>
      <c r="L178" s="420" t="str">
        <f t="shared" si="26"/>
        <v/>
      </c>
      <c r="M178" s="401" t="str">
        <f t="shared" si="27"/>
        <v/>
      </c>
    </row>
    <row r="179" spans="2:13" x14ac:dyDescent="0.25">
      <c r="B179" s="138"/>
      <c r="C179" s="55"/>
      <c r="D179" s="61"/>
      <c r="E179" s="61"/>
      <c r="F179" s="15"/>
      <c r="G179" s="422"/>
      <c r="H179" s="17" t="str">
        <f t="shared" si="24"/>
        <v/>
      </c>
      <c r="I179" s="18"/>
      <c r="J179" s="61"/>
      <c r="K179" s="399"/>
      <c r="L179" s="420" t="str">
        <f t="shared" si="26"/>
        <v/>
      </c>
      <c r="M179" s="401" t="str">
        <f t="shared" si="27"/>
        <v/>
      </c>
    </row>
    <row r="180" spans="2:13" x14ac:dyDescent="0.25">
      <c r="B180" s="138"/>
      <c r="C180" s="55"/>
      <c r="D180" s="61"/>
      <c r="E180" s="61"/>
      <c r="F180" s="15"/>
      <c r="G180" s="422"/>
      <c r="H180" s="17" t="str">
        <f t="shared" si="24"/>
        <v/>
      </c>
      <c r="I180" s="18"/>
      <c r="J180" s="61"/>
      <c r="K180" s="400"/>
      <c r="L180" s="420" t="str">
        <f t="shared" si="26"/>
        <v/>
      </c>
      <c r="M180" s="401" t="str">
        <f t="shared" si="27"/>
        <v/>
      </c>
    </row>
    <row r="181" spans="2:13" x14ac:dyDescent="0.25">
      <c r="B181" s="138"/>
      <c r="C181" s="55"/>
      <c r="D181" s="15"/>
      <c r="E181" s="15"/>
      <c r="F181" s="15"/>
      <c r="G181" s="422"/>
      <c r="H181" s="17" t="str">
        <f t="shared" si="24"/>
        <v/>
      </c>
      <c r="I181" s="18"/>
      <c r="J181" s="61"/>
      <c r="K181" s="399"/>
      <c r="L181" s="420" t="str">
        <f t="shared" si="26"/>
        <v/>
      </c>
      <c r="M181" s="401" t="str">
        <f t="shared" si="27"/>
        <v/>
      </c>
    </row>
    <row r="182" spans="2:13" x14ac:dyDescent="0.25">
      <c r="B182" s="137"/>
      <c r="D182" s="15"/>
      <c r="E182" s="15"/>
      <c r="F182" s="15"/>
      <c r="G182" s="422"/>
      <c r="H182" s="17" t="str">
        <f t="shared" si="24"/>
        <v/>
      </c>
      <c r="I182" s="18"/>
      <c r="J182" s="61"/>
      <c r="K182" s="399"/>
      <c r="L182" s="420" t="str">
        <f t="shared" si="26"/>
        <v/>
      </c>
      <c r="M182" s="401" t="str">
        <f t="shared" si="27"/>
        <v/>
      </c>
    </row>
    <row r="183" spans="2:13" x14ac:dyDescent="0.25">
      <c r="B183" s="138"/>
      <c r="C183" s="55"/>
      <c r="D183" s="61"/>
      <c r="E183" s="61"/>
      <c r="F183" s="15"/>
      <c r="G183" s="422"/>
      <c r="H183" s="17" t="str">
        <f t="shared" si="24"/>
        <v/>
      </c>
      <c r="I183" s="18"/>
      <c r="J183" s="61"/>
      <c r="K183" s="399"/>
      <c r="L183" s="420" t="str">
        <f t="shared" si="26"/>
        <v/>
      </c>
      <c r="M183" s="401" t="str">
        <f t="shared" si="27"/>
        <v/>
      </c>
    </row>
    <row r="184" spans="2:13" x14ac:dyDescent="0.25">
      <c r="B184" s="137"/>
      <c r="D184" s="61"/>
      <c r="E184" s="61"/>
      <c r="F184" s="15"/>
      <c r="G184" s="422"/>
      <c r="H184" s="17" t="str">
        <f t="shared" si="24"/>
        <v/>
      </c>
      <c r="I184" s="18"/>
      <c r="J184" s="61"/>
      <c r="K184" s="399"/>
      <c r="L184" s="420" t="str">
        <f t="shared" si="26"/>
        <v/>
      </c>
      <c r="M184" s="401" t="str">
        <f t="shared" si="27"/>
        <v/>
      </c>
    </row>
    <row r="185" spans="2:13" ht="16.5" customHeight="1" x14ac:dyDescent="0.25">
      <c r="B185" s="138"/>
      <c r="C185" s="55"/>
      <c r="D185" s="61"/>
      <c r="E185" s="61"/>
      <c r="F185" s="15"/>
      <c r="G185" s="422"/>
      <c r="H185" s="17" t="str">
        <f t="shared" si="24"/>
        <v/>
      </c>
      <c r="I185" s="18"/>
      <c r="J185" s="61"/>
      <c r="K185" s="399"/>
      <c r="L185" s="420" t="str">
        <f t="shared" si="26"/>
        <v/>
      </c>
      <c r="M185" s="401" t="str">
        <f t="shared" si="27"/>
        <v/>
      </c>
    </row>
    <row r="186" spans="2:13" x14ac:dyDescent="0.25">
      <c r="B186" s="46"/>
      <c r="D186" s="15"/>
      <c r="E186" s="15"/>
      <c r="F186" s="15"/>
      <c r="G186" s="422"/>
      <c r="H186" s="17" t="str">
        <f t="shared" si="24"/>
        <v/>
      </c>
      <c r="I186" s="18"/>
      <c r="J186" s="61"/>
      <c r="K186" s="399"/>
      <c r="L186" s="420" t="str">
        <f t="shared" si="26"/>
        <v/>
      </c>
      <c r="M186" s="401" t="str">
        <f t="shared" si="27"/>
        <v/>
      </c>
    </row>
    <row r="187" spans="2:13" x14ac:dyDescent="0.25">
      <c r="B187" s="138"/>
      <c r="C187" s="51"/>
      <c r="D187" s="15"/>
      <c r="E187" s="15"/>
      <c r="F187" s="15"/>
      <c r="G187" s="422"/>
      <c r="H187" s="17" t="str">
        <f t="shared" si="24"/>
        <v/>
      </c>
      <c r="I187" s="18"/>
      <c r="J187" s="61"/>
      <c r="K187" s="399"/>
      <c r="L187" s="420" t="str">
        <f t="shared" si="26"/>
        <v/>
      </c>
      <c r="M187" s="401" t="str">
        <f t="shared" si="27"/>
        <v/>
      </c>
    </row>
    <row r="188" spans="2:13" x14ac:dyDescent="0.25">
      <c r="B188" s="137"/>
      <c r="D188" s="15"/>
      <c r="E188" s="15"/>
      <c r="F188" s="15"/>
      <c r="G188" s="422"/>
      <c r="H188" s="17" t="str">
        <f t="shared" si="24"/>
        <v/>
      </c>
      <c r="I188" s="18"/>
      <c r="J188" s="61"/>
      <c r="K188" s="399"/>
      <c r="L188" s="420" t="str">
        <f t="shared" si="26"/>
        <v/>
      </c>
      <c r="M188" s="401" t="str">
        <f t="shared" si="27"/>
        <v/>
      </c>
    </row>
    <row r="189" spans="2:13" x14ac:dyDescent="0.25">
      <c r="B189" s="138"/>
      <c r="C189" s="55"/>
      <c r="D189" s="15"/>
      <c r="E189" s="15"/>
      <c r="F189" s="15"/>
      <c r="G189" s="422"/>
      <c r="H189" s="17" t="str">
        <f t="shared" si="24"/>
        <v/>
      </c>
      <c r="I189" s="18"/>
      <c r="J189" s="61"/>
      <c r="K189" s="399"/>
      <c r="L189" s="420" t="str">
        <f t="shared" si="26"/>
        <v/>
      </c>
      <c r="M189" s="401" t="str">
        <f t="shared" si="27"/>
        <v/>
      </c>
    </row>
    <row r="190" spans="2:13" x14ac:dyDescent="0.25">
      <c r="B190" s="137"/>
      <c r="D190" s="61"/>
      <c r="E190" s="61"/>
      <c r="F190" s="15"/>
      <c r="G190" s="422"/>
      <c r="H190" s="17" t="str">
        <f t="shared" si="24"/>
        <v/>
      </c>
      <c r="I190" s="18"/>
      <c r="J190" s="61"/>
      <c r="K190" s="399"/>
      <c r="L190" s="420" t="str">
        <f t="shared" si="26"/>
        <v/>
      </c>
      <c r="M190" s="401" t="str">
        <f t="shared" si="27"/>
        <v/>
      </c>
    </row>
    <row r="191" spans="2:13" x14ac:dyDescent="0.25">
      <c r="B191" s="138"/>
      <c r="C191" s="55"/>
      <c r="D191" s="15"/>
      <c r="E191" s="15"/>
      <c r="F191" s="15"/>
      <c r="G191" s="422"/>
      <c r="H191" s="17" t="str">
        <f t="shared" si="24"/>
        <v/>
      </c>
      <c r="I191" s="18"/>
      <c r="J191" s="61"/>
      <c r="K191" s="399"/>
      <c r="L191" s="420" t="str">
        <f t="shared" si="26"/>
        <v/>
      </c>
      <c r="M191" s="401" t="str">
        <f t="shared" si="27"/>
        <v/>
      </c>
    </row>
    <row r="192" spans="2:13" x14ac:dyDescent="0.25">
      <c r="B192" s="137"/>
      <c r="D192" s="61"/>
      <c r="E192" s="61"/>
      <c r="F192" s="15"/>
      <c r="G192" s="422"/>
      <c r="H192" s="17" t="str">
        <f t="shared" si="24"/>
        <v/>
      </c>
      <c r="I192" s="18"/>
      <c r="J192" s="61"/>
      <c r="K192" s="402"/>
      <c r="L192" s="420" t="str">
        <f t="shared" si="26"/>
        <v/>
      </c>
      <c r="M192" s="401" t="str">
        <f t="shared" si="27"/>
        <v/>
      </c>
    </row>
    <row r="193" spans="2:13" x14ac:dyDescent="0.25">
      <c r="B193" s="138"/>
      <c r="C193" s="55"/>
      <c r="D193" s="15"/>
      <c r="E193" s="15"/>
      <c r="F193" s="15"/>
      <c r="G193" s="422"/>
      <c r="H193" s="17" t="str">
        <f t="shared" si="24"/>
        <v/>
      </c>
      <c r="I193" s="18"/>
      <c r="J193" s="61"/>
      <c r="K193" s="399"/>
      <c r="L193" s="420" t="str">
        <f t="shared" si="26"/>
        <v/>
      </c>
      <c r="M193" s="401" t="str">
        <f t="shared" si="27"/>
        <v/>
      </c>
    </row>
    <row r="194" spans="2:13" x14ac:dyDescent="0.25">
      <c r="B194" s="137"/>
      <c r="D194" s="61"/>
      <c r="E194" s="61"/>
      <c r="F194" s="15"/>
      <c r="G194" s="422"/>
      <c r="H194" s="17" t="str">
        <f t="shared" si="24"/>
        <v/>
      </c>
      <c r="I194" s="18"/>
      <c r="J194" s="61"/>
      <c r="K194" s="402"/>
      <c r="L194" s="420" t="str">
        <f t="shared" si="26"/>
        <v/>
      </c>
      <c r="M194" s="401" t="str">
        <f t="shared" si="27"/>
        <v/>
      </c>
    </row>
    <row r="195" spans="2:13" x14ac:dyDescent="0.25">
      <c r="B195" s="137"/>
      <c r="C195" s="51"/>
      <c r="D195" s="15"/>
      <c r="E195" s="15"/>
      <c r="F195" s="15"/>
      <c r="G195" s="422"/>
      <c r="H195" s="17" t="str">
        <f t="shared" si="24"/>
        <v/>
      </c>
      <c r="I195" s="18"/>
      <c r="J195" s="61"/>
      <c r="K195" s="402"/>
      <c r="L195" s="420" t="str">
        <f t="shared" si="26"/>
        <v/>
      </c>
      <c r="M195" s="401" t="str">
        <f t="shared" si="27"/>
        <v/>
      </c>
    </row>
    <row r="196" spans="2:13" x14ac:dyDescent="0.25">
      <c r="B196" s="46"/>
      <c r="D196" s="15"/>
      <c r="E196" s="15"/>
      <c r="F196" s="15"/>
      <c r="G196" s="422"/>
      <c r="H196" s="17" t="str">
        <f t="shared" si="24"/>
        <v/>
      </c>
      <c r="I196" s="18"/>
      <c r="J196" s="61"/>
      <c r="K196" s="399"/>
      <c r="L196" s="420" t="str">
        <f t="shared" si="26"/>
        <v/>
      </c>
      <c r="M196" s="401" t="str">
        <f t="shared" si="27"/>
        <v/>
      </c>
    </row>
    <row r="197" spans="2:13" x14ac:dyDescent="0.25">
      <c r="B197" s="46"/>
      <c r="D197" s="15"/>
      <c r="E197" s="15"/>
      <c r="F197" s="15"/>
      <c r="G197" s="422"/>
      <c r="H197" s="17"/>
      <c r="I197" s="18"/>
      <c r="J197" s="61"/>
      <c r="K197" s="399"/>
      <c r="L197" s="420" t="str">
        <f t="shared" si="26"/>
        <v/>
      </c>
      <c r="M197" s="401" t="str">
        <f t="shared" si="27"/>
        <v/>
      </c>
    </row>
    <row r="198" spans="2:13" x14ac:dyDescent="0.25">
      <c r="B198" s="46"/>
      <c r="D198" s="15"/>
      <c r="E198" s="15"/>
      <c r="F198" s="15"/>
      <c r="G198" s="422"/>
      <c r="H198" s="17"/>
      <c r="I198" s="18"/>
      <c r="J198" s="61"/>
      <c r="K198" s="399"/>
      <c r="L198" s="420" t="str">
        <f t="shared" si="26"/>
        <v/>
      </c>
      <c r="M198" s="401" t="str">
        <f t="shared" si="27"/>
        <v/>
      </c>
    </row>
    <row r="199" spans="2:13" x14ac:dyDescent="0.25">
      <c r="B199" s="46"/>
      <c r="D199" s="15"/>
      <c r="E199" s="15"/>
      <c r="F199" s="15"/>
      <c r="G199" s="422"/>
      <c r="H199" s="17"/>
      <c r="I199" s="18"/>
      <c r="J199" s="61"/>
      <c r="K199" s="399"/>
      <c r="L199" s="420" t="str">
        <f t="shared" si="26"/>
        <v/>
      </c>
      <c r="M199" s="401" t="str">
        <f t="shared" si="27"/>
        <v/>
      </c>
    </row>
    <row r="200" spans="2:13" x14ac:dyDescent="0.25">
      <c r="B200" s="46"/>
      <c r="D200" s="15"/>
      <c r="E200" s="15"/>
      <c r="F200" s="15"/>
      <c r="G200" s="422"/>
      <c r="H200" s="17"/>
      <c r="I200" s="18"/>
      <c r="J200" s="62"/>
      <c r="K200" s="62"/>
      <c r="L200" s="420" t="str">
        <f t="shared" si="26"/>
        <v/>
      </c>
      <c r="M200" s="401" t="str">
        <f t="shared" si="27"/>
        <v/>
      </c>
    </row>
    <row r="201" spans="2:13" x14ac:dyDescent="0.25">
      <c r="B201" s="46"/>
      <c r="D201" s="15"/>
      <c r="E201" s="15"/>
      <c r="F201" s="15"/>
      <c r="G201" s="422"/>
      <c r="H201" s="17"/>
      <c r="I201" s="18"/>
      <c r="J201" s="61"/>
      <c r="K201" s="62"/>
      <c r="L201" s="420" t="str">
        <f t="shared" si="26"/>
        <v/>
      </c>
      <c r="M201" s="401" t="str">
        <f t="shared" si="27"/>
        <v/>
      </c>
    </row>
    <row r="202" spans="2:13" x14ac:dyDescent="0.25">
      <c r="B202" s="46"/>
      <c r="D202" s="15"/>
      <c r="E202" s="15"/>
      <c r="F202" s="15"/>
      <c r="G202" s="422"/>
      <c r="H202" s="17"/>
      <c r="I202" s="18"/>
      <c r="J202" s="61"/>
      <c r="K202" s="62"/>
      <c r="L202" s="420" t="str">
        <f t="shared" si="26"/>
        <v/>
      </c>
      <c r="M202" s="401" t="str">
        <f t="shared" si="27"/>
        <v/>
      </c>
    </row>
    <row r="203" spans="2:13" x14ac:dyDescent="0.25">
      <c r="B203" s="46"/>
      <c r="D203" s="15"/>
      <c r="E203" s="15"/>
      <c r="F203" s="15"/>
      <c r="G203" s="422"/>
      <c r="H203" s="17"/>
      <c r="I203" s="18"/>
      <c r="J203" s="61"/>
      <c r="K203" s="62"/>
      <c r="L203" s="420" t="str">
        <f t="shared" si="26"/>
        <v/>
      </c>
      <c r="M203" s="401" t="str">
        <f t="shared" si="27"/>
        <v/>
      </c>
    </row>
    <row r="204" spans="2:13" x14ac:dyDescent="0.25">
      <c r="B204" s="46"/>
      <c r="D204" s="15"/>
      <c r="E204" s="15"/>
      <c r="F204" s="15"/>
      <c r="G204" s="422"/>
      <c r="H204" s="17"/>
      <c r="I204" s="18"/>
      <c r="J204" s="61"/>
      <c r="K204" s="62"/>
      <c r="L204" s="420" t="str">
        <f t="shared" si="26"/>
        <v/>
      </c>
      <c r="M204" s="401" t="str">
        <f t="shared" si="27"/>
        <v/>
      </c>
    </row>
    <row r="205" spans="2:13" x14ac:dyDescent="0.25">
      <c r="B205" s="46"/>
      <c r="D205" s="15"/>
      <c r="E205" s="15"/>
      <c r="F205" s="15"/>
      <c r="G205" s="422"/>
      <c r="H205" s="17"/>
      <c r="I205" s="18"/>
      <c r="J205" s="62"/>
      <c r="K205" s="62"/>
      <c r="L205" s="420" t="str">
        <f t="shared" si="26"/>
        <v/>
      </c>
      <c r="M205" s="401" t="str">
        <f t="shared" si="27"/>
        <v/>
      </c>
    </row>
    <row r="206" spans="2:13" x14ac:dyDescent="0.25">
      <c r="B206" s="46"/>
      <c r="D206" s="15"/>
      <c r="E206" s="15"/>
      <c r="F206" s="15"/>
      <c r="G206" s="422"/>
      <c r="H206" s="17"/>
      <c r="I206" s="18"/>
      <c r="J206" s="62"/>
      <c r="K206" s="62"/>
      <c r="L206" s="420" t="str">
        <f t="shared" si="26"/>
        <v/>
      </c>
      <c r="M206" s="401" t="str">
        <f t="shared" si="27"/>
        <v/>
      </c>
    </row>
    <row r="207" spans="2:13" x14ac:dyDescent="0.25">
      <c r="B207" s="46"/>
      <c r="D207" s="15"/>
      <c r="E207" s="15"/>
      <c r="F207" s="15"/>
      <c r="G207" s="422"/>
      <c r="H207" s="17"/>
      <c r="I207" s="18"/>
      <c r="J207" s="62"/>
      <c r="K207" s="62"/>
      <c r="L207" s="420" t="str">
        <f t="shared" si="26"/>
        <v/>
      </c>
      <c r="M207" s="401" t="str">
        <f t="shared" si="27"/>
        <v/>
      </c>
    </row>
    <row r="208" spans="2:13" x14ac:dyDescent="0.25">
      <c r="B208" s="46"/>
      <c r="D208" s="15"/>
      <c r="E208" s="15"/>
      <c r="F208" s="15"/>
      <c r="G208" s="422"/>
      <c r="H208" s="17"/>
      <c r="I208" s="18"/>
      <c r="J208" s="62"/>
      <c r="K208" s="62"/>
      <c r="L208" s="420" t="str">
        <f t="shared" si="26"/>
        <v/>
      </c>
      <c r="M208" s="401" t="str">
        <f t="shared" si="27"/>
        <v/>
      </c>
    </row>
    <row r="209" spans="2:13" x14ac:dyDescent="0.25">
      <c r="B209" s="46"/>
      <c r="D209" s="15"/>
      <c r="E209" s="15"/>
      <c r="F209" s="15"/>
      <c r="G209" s="422"/>
      <c r="H209" s="17"/>
      <c r="I209" s="18"/>
      <c r="J209" s="62"/>
      <c r="K209" s="62"/>
      <c r="L209" s="420" t="str">
        <f t="shared" si="26"/>
        <v/>
      </c>
      <c r="M209" s="401" t="str">
        <f t="shared" si="27"/>
        <v/>
      </c>
    </row>
    <row r="210" spans="2:13" x14ac:dyDescent="0.25">
      <c r="B210" s="46"/>
      <c r="D210" s="15"/>
      <c r="E210" s="15"/>
      <c r="F210" s="15"/>
      <c r="G210" s="422"/>
      <c r="H210" s="17"/>
      <c r="I210" s="18"/>
      <c r="J210" s="62"/>
      <c r="K210" s="62"/>
      <c r="L210" s="420" t="str">
        <f t="shared" si="26"/>
        <v/>
      </c>
      <c r="M210" s="401" t="str">
        <f t="shared" si="27"/>
        <v/>
      </c>
    </row>
    <row r="211" spans="2:13" x14ac:dyDescent="0.25">
      <c r="B211" s="46"/>
      <c r="D211" s="15"/>
      <c r="E211" s="15"/>
      <c r="F211" s="15"/>
      <c r="G211" s="422"/>
      <c r="H211" s="17"/>
      <c r="I211" s="18"/>
      <c r="J211" s="62"/>
      <c r="K211" s="62"/>
      <c r="L211" s="420" t="str">
        <f t="shared" si="26"/>
        <v/>
      </c>
      <c r="M211" s="401" t="str">
        <f t="shared" si="27"/>
        <v/>
      </c>
    </row>
    <row r="212" spans="2:13" x14ac:dyDescent="0.25">
      <c r="B212" s="46"/>
      <c r="D212" s="15"/>
      <c r="E212" s="15"/>
      <c r="F212" s="15"/>
      <c r="G212" s="422"/>
      <c r="H212" s="17"/>
      <c r="I212" s="18"/>
      <c r="J212" s="62"/>
      <c r="K212" s="62"/>
      <c r="L212" s="420" t="str">
        <f t="shared" si="26"/>
        <v/>
      </c>
      <c r="M212" s="401" t="str">
        <f t="shared" si="27"/>
        <v/>
      </c>
    </row>
    <row r="213" spans="2:13" x14ac:dyDescent="0.25">
      <c r="B213" s="46"/>
      <c r="D213" s="15"/>
      <c r="E213" s="15"/>
      <c r="F213" s="15"/>
      <c r="G213" s="422"/>
      <c r="H213" s="17"/>
      <c r="I213" s="18"/>
      <c r="J213" s="62"/>
      <c r="K213" s="62"/>
      <c r="L213" s="420" t="str">
        <f t="shared" si="26"/>
        <v/>
      </c>
      <c r="M213" s="401" t="str">
        <f t="shared" si="27"/>
        <v/>
      </c>
    </row>
    <row r="214" spans="2:13" x14ac:dyDescent="0.25">
      <c r="B214" s="46"/>
      <c r="D214" s="15"/>
      <c r="E214" s="15"/>
      <c r="F214" s="15"/>
      <c r="G214" s="422"/>
      <c r="H214" s="17"/>
      <c r="I214" s="18"/>
      <c r="J214" s="62"/>
      <c r="K214" s="62"/>
      <c r="L214" s="420" t="str">
        <f t="shared" si="26"/>
        <v/>
      </c>
      <c r="M214" s="401" t="str">
        <f t="shared" si="27"/>
        <v/>
      </c>
    </row>
    <row r="215" spans="2:13" x14ac:dyDescent="0.25">
      <c r="B215" s="46"/>
      <c r="D215" s="15"/>
      <c r="E215" s="15"/>
      <c r="F215" s="15"/>
      <c r="G215" s="422"/>
      <c r="H215" s="17"/>
      <c r="I215" s="18"/>
      <c r="J215" s="62"/>
      <c r="K215" s="62"/>
      <c r="L215" s="420" t="str">
        <f t="shared" si="26"/>
        <v/>
      </c>
      <c r="M215" s="401" t="str">
        <f t="shared" si="27"/>
        <v/>
      </c>
    </row>
    <row r="216" spans="2:13" x14ac:dyDescent="0.25">
      <c r="B216" s="46"/>
      <c r="D216" s="15"/>
      <c r="E216" s="15"/>
      <c r="F216" s="15"/>
      <c r="G216" s="422"/>
      <c r="H216" s="17"/>
      <c r="I216" s="18"/>
      <c r="J216" s="61"/>
      <c r="K216" s="62"/>
      <c r="L216" s="420" t="str">
        <f t="shared" si="26"/>
        <v/>
      </c>
      <c r="M216" s="401" t="str">
        <f t="shared" si="27"/>
        <v/>
      </c>
    </row>
    <row r="217" spans="2:13" x14ac:dyDescent="0.25">
      <c r="B217" s="46"/>
      <c r="D217" s="15"/>
      <c r="E217" s="15"/>
      <c r="F217" s="15"/>
      <c r="G217" s="422"/>
      <c r="H217" s="17"/>
      <c r="I217" s="18"/>
      <c r="J217" s="61"/>
      <c r="K217" s="695"/>
      <c r="L217" s="420" t="str">
        <f t="shared" si="26"/>
        <v/>
      </c>
      <c r="M217" s="401" t="str">
        <f t="shared" si="27"/>
        <v/>
      </c>
    </row>
    <row r="218" spans="2:13" x14ac:dyDescent="0.25">
      <c r="B218" s="46"/>
      <c r="D218" s="15"/>
      <c r="E218" s="15"/>
      <c r="F218" s="15"/>
      <c r="G218" s="422"/>
      <c r="H218" s="17"/>
      <c r="I218" s="18"/>
      <c r="J218" s="61"/>
      <c r="K218" s="696"/>
      <c r="L218" s="420" t="str">
        <f t="shared" si="26"/>
        <v/>
      </c>
      <c r="M218" s="401" t="str">
        <f t="shared" si="27"/>
        <v/>
      </c>
    </row>
    <row r="219" spans="2:13" s="28" customFormat="1" ht="25" customHeight="1" x14ac:dyDescent="0.25">
      <c r="B219" s="84" t="str">
        <f>$B$12</f>
        <v>C4.1</v>
      </c>
      <c r="C219" s="498" t="str">
        <f>"TOTAL CARRIED FORWARD"&amp;IF(H219=H$1," TO SUMMARY (Page C"&amp;Page_A&amp;")","")</f>
        <v>TOTAL CARRIED FORWARD TO SUMMARY (Page C48)</v>
      </c>
      <c r="D219" s="32"/>
      <c r="E219" s="32"/>
      <c r="F219" s="32"/>
      <c r="G219" s="31"/>
      <c r="H219" s="33">
        <f>SUM(H153:H218)</f>
        <v>100000</v>
      </c>
      <c r="I219" s="34"/>
      <c r="J219" s="408"/>
      <c r="K219" s="406"/>
      <c r="L219" s="418">
        <f>SUM(L157:L218)</f>
        <v>0</v>
      </c>
      <c r="M219" s="407" t="s">
        <v>636</v>
      </c>
    </row>
    <row r="220" spans="2:13" x14ac:dyDescent="0.25">
      <c r="M220" s="1" t="s">
        <v>636</v>
      </c>
    </row>
  </sheetData>
  <mergeCells count="18">
    <mergeCell ref="F3:H3"/>
    <mergeCell ref="B7:G9"/>
    <mergeCell ref="H6:H9"/>
    <mergeCell ref="B6:G6"/>
    <mergeCell ref="B72:D72"/>
    <mergeCell ref="F72:H74"/>
    <mergeCell ref="B73:D73"/>
    <mergeCell ref="B74:D74"/>
    <mergeCell ref="B152:G152"/>
    <mergeCell ref="H152:H155"/>
    <mergeCell ref="B153:G155"/>
    <mergeCell ref="B75:G75"/>
    <mergeCell ref="H75:H78"/>
    <mergeCell ref="B76:G78"/>
    <mergeCell ref="B149:D149"/>
    <mergeCell ref="F149:H151"/>
    <mergeCell ref="B150:D150"/>
    <mergeCell ref="B151:D151"/>
  </mergeCells>
  <conditionalFormatting sqref="G11:H71 G80:H148 G157:H219">
    <cfRule type="expression" dxfId="77"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4">
    <tabColor rgb="FF0070C0"/>
  </sheetPr>
  <dimension ref="A1:N228"/>
  <sheetViews>
    <sheetView view="pageBreakPreview" zoomScale="90" zoomScaleNormal="125" zoomScaleSheetLayoutView="90" zoomScalePageLayoutView="125" workbookViewId="0">
      <pane ySplit="2" topLeftCell="A3" activePane="bottomLeft" state="frozen"/>
      <selection activeCell="G24" sqref="G24"/>
      <selection pane="bottomLeft" activeCell="G16" sqref="G1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1</v>
      </c>
      <c r="H1" s="247">
        <f>MAX(H2:H214)</f>
        <v>0</v>
      </c>
      <c r="I1" s="247">
        <f>MAX(I2:I214)</f>
        <v>0</v>
      </c>
      <c r="J1" s="248"/>
      <c r="K1" s="249"/>
      <c r="L1" s="417">
        <f>MAX(L2:L84)</f>
        <v>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9" t="str">
        <f>"CHAPTER "&amp;B12</f>
        <v>CHAPTER C4.2</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0"/>
      <c r="I7" s="8"/>
    </row>
    <row r="8" spans="1:14" ht="12.75" customHeight="1" x14ac:dyDescent="0.25">
      <c r="B8" s="1117"/>
      <c r="C8" s="1118"/>
      <c r="D8" s="1118"/>
      <c r="E8" s="1118"/>
      <c r="F8" s="1118"/>
      <c r="G8" s="1118"/>
      <c r="H8" s="1130"/>
      <c r="I8" s="8"/>
    </row>
    <row r="9" spans="1:14" ht="7.5" customHeight="1" x14ac:dyDescent="0.25">
      <c r="B9" s="1119"/>
      <c r="C9" s="1120"/>
      <c r="D9" s="1120"/>
      <c r="E9" s="1120"/>
      <c r="F9" s="1120"/>
      <c r="G9" s="1120"/>
      <c r="H9" s="1131"/>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781"/>
      <c r="C11" s="50"/>
      <c r="D11" s="82"/>
      <c r="E11" s="15"/>
      <c r="F11" s="15"/>
      <c r="G11" s="411"/>
      <c r="H11" s="17" t="str">
        <f t="shared" ref="H11:H39" si="0">IF(D11="","",F11*G11)</f>
        <v/>
      </c>
      <c r="I11" s="18"/>
      <c r="J11" s="702"/>
      <c r="K11" s="619"/>
      <c r="L11" s="420" t="str">
        <f t="shared" ref="L11" si="1">IF(J11="","",F11*K11)</f>
        <v/>
      </c>
      <c r="M11" s="401" t="str">
        <f t="shared" ref="M11" si="2">IF(J11="","",IF(SUM(H11)=0,"",L11/H11))</f>
        <v/>
      </c>
    </row>
    <row r="12" spans="1:14" ht="13" x14ac:dyDescent="0.25">
      <c r="B12" s="146" t="s">
        <v>797</v>
      </c>
      <c r="C12" s="132" t="s">
        <v>798</v>
      </c>
      <c r="D12" s="15"/>
      <c r="E12" s="15"/>
      <c r="F12" s="15"/>
      <c r="G12" s="411"/>
      <c r="H12" s="17" t="str">
        <f t="shared" si="0"/>
        <v/>
      </c>
      <c r="I12" s="18"/>
      <c r="J12" s="61"/>
      <c r="K12" s="399"/>
      <c r="L12" s="420" t="str">
        <f t="shared" ref="L12:L46" si="3">IF(J12="","",F12*K12)</f>
        <v/>
      </c>
      <c r="M12" s="401" t="str">
        <f t="shared" ref="M12:M28" si="4">IF(J12="","",IF(SUM(H12)=0,"",L12/H12))</f>
        <v/>
      </c>
    </row>
    <row r="13" spans="1:14" x14ac:dyDescent="0.25">
      <c r="B13" s="58"/>
      <c r="C13" s="50"/>
      <c r="D13" s="15"/>
      <c r="E13" s="15"/>
      <c r="F13" s="15"/>
      <c r="G13" s="411"/>
      <c r="H13" s="17" t="str">
        <f t="shared" si="0"/>
        <v/>
      </c>
      <c r="I13" s="18"/>
      <c r="J13" s="61"/>
      <c r="K13" s="399"/>
      <c r="L13" s="420" t="str">
        <f t="shared" si="3"/>
        <v/>
      </c>
      <c r="M13" s="401" t="str">
        <f t="shared" si="4"/>
        <v/>
      </c>
    </row>
    <row r="14" spans="1:14" ht="26" x14ac:dyDescent="0.3">
      <c r="B14" s="779" t="s">
        <v>554</v>
      </c>
      <c r="C14" s="618" t="s">
        <v>553</v>
      </c>
      <c r="D14" s="15"/>
      <c r="E14" s="15"/>
      <c r="F14" s="15"/>
      <c r="G14" s="411"/>
      <c r="H14" s="17" t="str">
        <f t="shared" si="0"/>
        <v/>
      </c>
      <c r="I14" s="18"/>
      <c r="J14" s="61"/>
      <c r="K14" s="399"/>
      <c r="L14" s="420" t="str">
        <f t="shared" si="3"/>
        <v/>
      </c>
      <c r="M14" s="401" t="str">
        <f t="shared" si="4"/>
        <v/>
      </c>
    </row>
    <row r="15" spans="1:14" x14ac:dyDescent="0.25">
      <c r="B15" s="58"/>
      <c r="C15" s="50"/>
      <c r="D15" s="15"/>
      <c r="E15" s="15"/>
      <c r="F15" s="15"/>
      <c r="G15" s="411"/>
      <c r="H15" s="17" t="str">
        <f t="shared" si="0"/>
        <v/>
      </c>
      <c r="I15" s="18"/>
      <c r="J15" s="61"/>
      <c r="K15" s="399"/>
      <c r="L15" s="420" t="str">
        <f t="shared" si="3"/>
        <v/>
      </c>
      <c r="M15" s="401" t="str">
        <f t="shared" si="4"/>
        <v/>
      </c>
    </row>
    <row r="16" spans="1:14" x14ac:dyDescent="0.25">
      <c r="B16" s="780" t="s">
        <v>552</v>
      </c>
      <c r="C16" s="36" t="s">
        <v>551</v>
      </c>
      <c r="D16" s="61" t="s">
        <v>34</v>
      </c>
      <c r="E16" s="61"/>
      <c r="F16" s="15">
        <v>1</v>
      </c>
      <c r="G16" s="411"/>
      <c r="H16" s="17">
        <f t="shared" si="0"/>
        <v>0</v>
      </c>
      <c r="I16" s="18"/>
      <c r="J16" s="61"/>
      <c r="K16" s="400"/>
      <c r="L16" s="420" t="str">
        <f t="shared" si="3"/>
        <v/>
      </c>
      <c r="M16" s="401" t="str">
        <f t="shared" si="4"/>
        <v/>
      </c>
    </row>
    <row r="17" spans="2:13" x14ac:dyDescent="0.25">
      <c r="B17" s="780"/>
      <c r="C17" s="36"/>
      <c r="D17" s="61"/>
      <c r="E17" s="61"/>
      <c r="F17" s="15"/>
      <c r="G17" s="411"/>
      <c r="H17" s="17"/>
      <c r="I17" s="18"/>
      <c r="J17" s="61"/>
      <c r="K17" s="400"/>
      <c r="L17" s="420"/>
      <c r="M17" s="401"/>
    </row>
    <row r="18" spans="2:13" x14ac:dyDescent="0.25">
      <c r="B18" s="780" t="s">
        <v>550</v>
      </c>
      <c r="C18" s="36" t="s">
        <v>549</v>
      </c>
      <c r="D18" s="61" t="s">
        <v>34</v>
      </c>
      <c r="E18" s="61"/>
      <c r="F18" s="24">
        <v>2</v>
      </c>
      <c r="G18" s="422"/>
      <c r="H18" s="17">
        <f t="shared" si="0"/>
        <v>0</v>
      </c>
      <c r="I18" s="57"/>
      <c r="J18" s="61"/>
      <c r="K18" s="402"/>
      <c r="L18" s="420" t="str">
        <f t="shared" si="3"/>
        <v/>
      </c>
      <c r="M18" s="401" t="str">
        <f t="shared" si="4"/>
        <v/>
      </c>
    </row>
    <row r="19" spans="2:13" x14ac:dyDescent="0.25">
      <c r="B19" s="58"/>
      <c r="C19" s="50"/>
      <c r="D19" s="15"/>
      <c r="E19" s="15"/>
      <c r="F19" s="24"/>
      <c r="G19" s="411"/>
      <c r="H19" s="17" t="str">
        <f t="shared" si="0"/>
        <v/>
      </c>
      <c r="I19" s="18"/>
      <c r="J19" s="61"/>
      <c r="K19" s="399"/>
      <c r="L19" s="420" t="str">
        <f t="shared" si="3"/>
        <v/>
      </c>
      <c r="M19" s="401" t="str">
        <f t="shared" si="4"/>
        <v/>
      </c>
    </row>
    <row r="20" spans="2:13" ht="26" x14ac:dyDescent="0.3">
      <c r="B20" s="779" t="s">
        <v>548</v>
      </c>
      <c r="C20" s="618" t="s">
        <v>547</v>
      </c>
      <c r="D20" s="15"/>
      <c r="E20" s="15"/>
      <c r="F20" s="647"/>
      <c r="G20" s="424"/>
      <c r="H20" s="743" t="str">
        <f t="shared" si="0"/>
        <v/>
      </c>
      <c r="I20" s="57"/>
      <c r="J20" s="61"/>
      <c r="K20" s="399"/>
      <c r="L20" s="420" t="str">
        <f t="shared" si="3"/>
        <v/>
      </c>
      <c r="M20" s="401" t="str">
        <f t="shared" si="4"/>
        <v/>
      </c>
    </row>
    <row r="21" spans="2:13" x14ac:dyDescent="0.25">
      <c r="B21" s="150"/>
      <c r="D21" s="15"/>
      <c r="E21" s="15"/>
      <c r="F21" s="647"/>
      <c r="G21" s="424"/>
      <c r="H21" s="743" t="str">
        <f t="shared" si="0"/>
        <v/>
      </c>
      <c r="I21" s="18"/>
      <c r="J21" s="61"/>
      <c r="K21" s="399"/>
      <c r="L21" s="420" t="str">
        <f t="shared" si="3"/>
        <v/>
      </c>
      <c r="M21" s="401" t="str">
        <f t="shared" si="4"/>
        <v/>
      </c>
    </row>
    <row r="22" spans="2:13" x14ac:dyDescent="0.25">
      <c r="B22" s="780" t="s">
        <v>546</v>
      </c>
      <c r="C22" s="36" t="s">
        <v>201</v>
      </c>
      <c r="D22" s="15" t="s">
        <v>577</v>
      </c>
      <c r="E22" s="15"/>
      <c r="F22" s="647">
        <v>16000</v>
      </c>
      <c r="G22" s="753"/>
      <c r="H22" s="743">
        <f t="shared" si="0"/>
        <v>0</v>
      </c>
      <c r="I22" s="18"/>
      <c r="J22" s="61"/>
      <c r="K22" s="399"/>
      <c r="L22" s="420" t="str">
        <f t="shared" si="3"/>
        <v/>
      </c>
      <c r="M22" s="401" t="str">
        <f t="shared" si="4"/>
        <v/>
      </c>
    </row>
    <row r="23" spans="2:13" s="36" customFormat="1" x14ac:dyDescent="0.25">
      <c r="B23" s="780"/>
      <c r="D23" s="15"/>
      <c r="E23" s="15"/>
      <c r="F23" s="647"/>
      <c r="G23" s="411"/>
      <c r="H23" s="743" t="str">
        <f t="shared" si="0"/>
        <v/>
      </c>
      <c r="I23" s="18"/>
      <c r="J23" s="61"/>
      <c r="K23" s="399"/>
      <c r="L23" s="420" t="str">
        <f t="shared" si="3"/>
        <v/>
      </c>
      <c r="M23" s="401" t="str">
        <f t="shared" si="4"/>
        <v/>
      </c>
    </row>
    <row r="24" spans="2:13" x14ac:dyDescent="0.25">
      <c r="B24" s="780" t="s">
        <v>545</v>
      </c>
      <c r="C24" s="36" t="s">
        <v>534</v>
      </c>
      <c r="D24" s="15" t="s">
        <v>577</v>
      </c>
      <c r="E24" s="15"/>
      <c r="F24" s="647">
        <v>100</v>
      </c>
      <c r="G24" s="424"/>
      <c r="H24" s="743">
        <f t="shared" si="0"/>
        <v>0</v>
      </c>
      <c r="I24" s="57"/>
      <c r="J24" s="61" t="s">
        <v>1721</v>
      </c>
      <c r="K24" s="399">
        <f>IF(D24="","",ROUND(Labour_perc_roads*G24,1))</f>
        <v>0</v>
      </c>
      <c r="L24" s="420">
        <f t="shared" si="3"/>
        <v>0</v>
      </c>
      <c r="M24" s="401" t="str">
        <f t="shared" si="4"/>
        <v/>
      </c>
    </row>
    <row r="25" spans="2:13" x14ac:dyDescent="0.25">
      <c r="B25" s="150"/>
      <c r="D25" s="61"/>
      <c r="E25" s="61"/>
      <c r="F25" s="647"/>
      <c r="G25" s="424"/>
      <c r="H25" s="743" t="str">
        <f t="shared" si="0"/>
        <v/>
      </c>
      <c r="I25" s="57"/>
      <c r="J25" s="61"/>
      <c r="K25" s="402"/>
      <c r="L25" s="420" t="str">
        <f t="shared" si="3"/>
        <v/>
      </c>
      <c r="M25" s="401" t="str">
        <f t="shared" si="4"/>
        <v/>
      </c>
    </row>
    <row r="26" spans="2:13" x14ac:dyDescent="0.25">
      <c r="B26" s="780" t="s">
        <v>544</v>
      </c>
      <c r="C26" s="36" t="s">
        <v>202</v>
      </c>
      <c r="D26" s="15" t="s">
        <v>577</v>
      </c>
      <c r="E26" s="15"/>
      <c r="F26" s="647">
        <f>Quantities!S634*0.1</f>
        <v>4100</v>
      </c>
      <c r="G26" s="411"/>
      <c r="H26" s="743">
        <f t="shared" si="0"/>
        <v>0</v>
      </c>
      <c r="I26" s="18"/>
      <c r="J26" s="61" t="s">
        <v>1721</v>
      </c>
      <c r="K26" s="399">
        <f>IF(D26="","",ROUND(Labour_perc_roads*G26,1))</f>
        <v>0</v>
      </c>
      <c r="L26" s="420">
        <f t="shared" si="3"/>
        <v>0</v>
      </c>
      <c r="M26" s="401" t="str">
        <f t="shared" si="4"/>
        <v/>
      </c>
    </row>
    <row r="27" spans="2:13" x14ac:dyDescent="0.25">
      <c r="B27" s="150"/>
      <c r="D27" s="15"/>
      <c r="E27" s="15"/>
      <c r="F27" s="647"/>
      <c r="G27" s="411"/>
      <c r="H27" s="743" t="str">
        <f t="shared" si="0"/>
        <v/>
      </c>
      <c r="I27" s="18"/>
      <c r="J27" s="61"/>
      <c r="K27" s="399"/>
      <c r="L27" s="420" t="str">
        <f t="shared" si="3"/>
        <v/>
      </c>
      <c r="M27" s="401" t="str">
        <f t="shared" si="4"/>
        <v/>
      </c>
    </row>
    <row r="28" spans="2:13" x14ac:dyDescent="0.25">
      <c r="B28" s="780" t="s">
        <v>543</v>
      </c>
      <c r="C28" s="36" t="s">
        <v>203</v>
      </c>
      <c r="D28" s="15" t="s">
        <v>577</v>
      </c>
      <c r="E28" s="15"/>
      <c r="F28" s="647">
        <f>Quantities!S634*0.9</f>
        <v>36900</v>
      </c>
      <c r="G28" s="753"/>
      <c r="H28" s="743">
        <f t="shared" si="0"/>
        <v>0</v>
      </c>
      <c r="I28" s="18"/>
      <c r="J28" s="61" t="s">
        <v>1721</v>
      </c>
      <c r="K28" s="399">
        <f>IF(D28="","",ROUND(Labour_perc_roads*G28,1))</f>
        <v>0</v>
      </c>
      <c r="L28" s="420">
        <f t="shared" si="3"/>
        <v>0</v>
      </c>
      <c r="M28" s="401" t="str">
        <f t="shared" si="4"/>
        <v/>
      </c>
    </row>
    <row r="29" spans="2:13" x14ac:dyDescent="0.25">
      <c r="B29" s="58"/>
      <c r="C29" s="803"/>
      <c r="D29" s="15"/>
      <c r="E29" s="15"/>
      <c r="F29" s="647"/>
      <c r="G29" s="753"/>
      <c r="H29" s="743" t="str">
        <f t="shared" si="0"/>
        <v/>
      </c>
      <c r="I29" s="18"/>
      <c r="J29" s="61"/>
      <c r="K29" s="399"/>
      <c r="L29" s="420" t="str">
        <f t="shared" ref="L29:L39" si="5">IF(J29="","",F29*K29)</f>
        <v/>
      </c>
      <c r="M29" s="401" t="str">
        <f t="shared" ref="M29:M39" si="6">IF(J29="","",IF(SUM(H29)=0,"",L29/H29))</f>
        <v/>
      </c>
    </row>
    <row r="30" spans="2:13" ht="25" x14ac:dyDescent="0.25">
      <c r="B30" s="800" t="s">
        <v>2044</v>
      </c>
      <c r="C30" s="847" t="s">
        <v>561</v>
      </c>
      <c r="D30" s="15" t="s">
        <v>577</v>
      </c>
      <c r="E30" s="15"/>
      <c r="F30" s="647">
        <f>$F$28</f>
        <v>36900</v>
      </c>
      <c r="G30" s="753"/>
      <c r="H30" s="743">
        <f t="shared" si="0"/>
        <v>0</v>
      </c>
      <c r="I30" s="18"/>
      <c r="J30" s="61" t="s">
        <v>1721</v>
      </c>
      <c r="K30" s="399">
        <f>IF(D30="","",ROUND(Labour_perc_roads*G30,1))</f>
        <v>0</v>
      </c>
      <c r="L30" s="420">
        <f t="shared" si="5"/>
        <v>0</v>
      </c>
      <c r="M30" s="401" t="str">
        <f t="shared" si="6"/>
        <v/>
      </c>
    </row>
    <row r="31" spans="2:13" x14ac:dyDescent="0.25">
      <c r="B31" s="150"/>
      <c r="C31" s="848"/>
      <c r="D31" s="61"/>
      <c r="E31" s="61"/>
      <c r="F31" s="647"/>
      <c r="G31" s="753"/>
      <c r="H31" s="743" t="str">
        <f t="shared" si="0"/>
        <v/>
      </c>
      <c r="I31" s="18"/>
      <c r="J31" s="61"/>
      <c r="K31" s="399"/>
      <c r="L31" s="420" t="str">
        <f t="shared" si="5"/>
        <v/>
      </c>
      <c r="M31" s="401" t="str">
        <f t="shared" si="6"/>
        <v/>
      </c>
    </row>
    <row r="32" spans="2:13" ht="25" x14ac:dyDescent="0.25">
      <c r="B32" s="800" t="s">
        <v>2045</v>
      </c>
      <c r="C32" s="849" t="s">
        <v>2119</v>
      </c>
      <c r="D32" s="15" t="s">
        <v>700</v>
      </c>
      <c r="E32" s="15"/>
      <c r="F32" s="647">
        <v>2500</v>
      </c>
      <c r="G32" s="753"/>
      <c r="H32" s="743">
        <f t="shared" si="0"/>
        <v>0</v>
      </c>
      <c r="I32" s="18"/>
      <c r="J32" s="61" t="s">
        <v>1721</v>
      </c>
      <c r="K32" s="399">
        <f>IF(D32="","",ROUND(Labour_perc_roads*G32,1))</f>
        <v>0</v>
      </c>
      <c r="L32" s="420">
        <f t="shared" si="5"/>
        <v>0</v>
      </c>
      <c r="M32" s="401" t="str">
        <f t="shared" si="6"/>
        <v/>
      </c>
    </row>
    <row r="33" spans="2:13" x14ac:dyDescent="0.25">
      <c r="B33" s="150"/>
      <c r="C33" s="848"/>
      <c r="D33" s="61"/>
      <c r="E33" s="61"/>
      <c r="F33" s="647"/>
      <c r="G33" s="753"/>
      <c r="H33" s="743" t="str">
        <f t="shared" si="0"/>
        <v/>
      </c>
      <c r="I33" s="18"/>
      <c r="J33" s="61"/>
      <c r="K33" s="399"/>
      <c r="L33" s="420" t="str">
        <f t="shared" si="5"/>
        <v/>
      </c>
      <c r="M33" s="401" t="str">
        <f t="shared" si="6"/>
        <v/>
      </c>
    </row>
    <row r="34" spans="2:13" ht="25" x14ac:dyDescent="0.25">
      <c r="B34" s="800" t="s">
        <v>2046</v>
      </c>
      <c r="C34" s="849" t="s">
        <v>560</v>
      </c>
      <c r="D34" s="15" t="s">
        <v>6</v>
      </c>
      <c r="E34" s="15"/>
      <c r="F34" s="647">
        <v>40</v>
      </c>
      <c r="G34" s="753"/>
      <c r="H34" s="743">
        <f t="shared" si="0"/>
        <v>0</v>
      </c>
      <c r="I34" s="18"/>
      <c r="J34" s="61" t="s">
        <v>1721</v>
      </c>
      <c r="K34" s="399">
        <f>IF(D34="","",ROUND(Labour_perc_roads*G34,1))</f>
        <v>0</v>
      </c>
      <c r="L34" s="420">
        <f t="shared" si="5"/>
        <v>0</v>
      </c>
      <c r="M34" s="401" t="str">
        <f t="shared" si="6"/>
        <v/>
      </c>
    </row>
    <row r="35" spans="2:13" x14ac:dyDescent="0.25">
      <c r="B35" s="58"/>
      <c r="C35" s="803"/>
      <c r="D35" s="15"/>
      <c r="E35" s="15"/>
      <c r="F35" s="647"/>
      <c r="G35" s="753"/>
      <c r="H35" s="743" t="str">
        <f t="shared" si="0"/>
        <v/>
      </c>
      <c r="I35" s="18"/>
      <c r="J35" s="61"/>
      <c r="K35" s="399"/>
      <c r="L35" s="420" t="str">
        <f t="shared" si="5"/>
        <v/>
      </c>
      <c r="M35" s="401" t="str">
        <f t="shared" si="6"/>
        <v/>
      </c>
    </row>
    <row r="36" spans="2:13" ht="13" x14ac:dyDescent="0.25">
      <c r="B36" s="779" t="s">
        <v>542</v>
      </c>
      <c r="C36" s="88" t="s">
        <v>541</v>
      </c>
      <c r="D36" s="15"/>
      <c r="E36" s="15"/>
      <c r="F36" s="15"/>
      <c r="G36" s="67"/>
      <c r="H36" s="743" t="str">
        <f t="shared" si="0"/>
        <v/>
      </c>
      <c r="I36" s="18"/>
      <c r="J36" s="61"/>
      <c r="K36" s="399"/>
      <c r="L36" s="420" t="str">
        <f t="shared" si="5"/>
        <v/>
      </c>
      <c r="M36" s="401" t="str">
        <f t="shared" si="6"/>
        <v/>
      </c>
    </row>
    <row r="37" spans="2:13" x14ac:dyDescent="0.25">
      <c r="B37" s="150"/>
      <c r="C37" s="803"/>
      <c r="D37" s="15"/>
      <c r="E37" s="15"/>
      <c r="F37" s="15"/>
      <c r="G37" s="67"/>
      <c r="H37" s="743" t="str">
        <f t="shared" si="0"/>
        <v/>
      </c>
      <c r="I37" s="18"/>
      <c r="J37" s="61"/>
      <c r="K37" s="399"/>
      <c r="L37" s="420" t="str">
        <f t="shared" si="5"/>
        <v/>
      </c>
      <c r="M37" s="401" t="str">
        <f t="shared" si="6"/>
        <v/>
      </c>
    </row>
    <row r="38" spans="2:13" x14ac:dyDescent="0.25">
      <c r="B38" s="780" t="s">
        <v>540</v>
      </c>
      <c r="C38" s="36" t="s">
        <v>539</v>
      </c>
      <c r="D38" s="15"/>
      <c r="E38" s="15"/>
      <c r="F38" s="15"/>
      <c r="G38" s="67"/>
      <c r="H38" s="743" t="str">
        <f t="shared" si="0"/>
        <v/>
      </c>
      <c r="I38" s="18"/>
      <c r="J38" s="61"/>
      <c r="K38" s="399"/>
      <c r="L38" s="420" t="str">
        <f t="shared" si="5"/>
        <v/>
      </c>
      <c r="M38" s="401" t="str">
        <f t="shared" si="6"/>
        <v/>
      </c>
    </row>
    <row r="39" spans="2:13" x14ac:dyDescent="0.25">
      <c r="B39" s="58"/>
      <c r="C39" s="50"/>
      <c r="D39" s="15"/>
      <c r="E39" s="15"/>
      <c r="F39" s="15"/>
      <c r="G39" s="67"/>
      <c r="H39" s="743" t="str">
        <f t="shared" si="0"/>
        <v/>
      </c>
      <c r="I39" s="18"/>
      <c r="J39" s="61"/>
      <c r="K39" s="400"/>
      <c r="L39" s="420" t="str">
        <f t="shared" si="5"/>
        <v/>
      </c>
      <c r="M39" s="401" t="str">
        <f t="shared" si="6"/>
        <v/>
      </c>
    </row>
    <row r="40" spans="2:13" x14ac:dyDescent="0.25">
      <c r="B40" s="58" t="s">
        <v>39</v>
      </c>
      <c r="C40" s="36" t="s">
        <v>800</v>
      </c>
      <c r="D40" s="15" t="s">
        <v>700</v>
      </c>
      <c r="E40" s="15"/>
      <c r="F40" s="580">
        <f>Quantities!$S$673/2</f>
        <v>5000</v>
      </c>
      <c r="G40" s="67"/>
      <c r="H40" s="743">
        <f t="shared" ref="H40:H73" si="7">IF(D40="","",F40*G40)</f>
        <v>0</v>
      </c>
      <c r="I40" s="18"/>
      <c r="J40" s="61" t="s">
        <v>1721</v>
      </c>
      <c r="K40" s="399">
        <f>IF(D40="","",ROUND(Labour_perc_roads*G40,1))</f>
        <v>0</v>
      </c>
      <c r="L40" s="420">
        <f t="shared" si="3"/>
        <v>0</v>
      </c>
      <c r="M40" s="401" t="str">
        <f t="shared" ref="M40:M46" si="8">IF(J40="","",IF(SUM(H40)=0,"",L40/H40))</f>
        <v/>
      </c>
    </row>
    <row r="41" spans="2:13" x14ac:dyDescent="0.25">
      <c r="B41" s="58"/>
      <c r="D41" s="15"/>
      <c r="E41" s="15"/>
      <c r="F41" s="15"/>
      <c r="G41" s="67"/>
      <c r="H41" s="743" t="str">
        <f t="shared" si="7"/>
        <v/>
      </c>
      <c r="I41" s="18"/>
      <c r="J41" s="61"/>
      <c r="K41" s="399"/>
      <c r="L41" s="420" t="str">
        <f t="shared" si="3"/>
        <v/>
      </c>
      <c r="M41" s="401" t="str">
        <f t="shared" si="8"/>
        <v/>
      </c>
    </row>
    <row r="42" spans="2:13" x14ac:dyDescent="0.25">
      <c r="B42" s="58"/>
      <c r="C42" s="36"/>
      <c r="D42" s="15"/>
      <c r="E42" s="15"/>
      <c r="F42" s="15"/>
      <c r="G42" s="67"/>
      <c r="H42" s="743" t="str">
        <f t="shared" si="7"/>
        <v/>
      </c>
      <c r="I42" s="18"/>
      <c r="J42" s="61"/>
      <c r="K42" s="399"/>
      <c r="L42" s="420" t="str">
        <f t="shared" si="3"/>
        <v/>
      </c>
      <c r="M42" s="401" t="str">
        <f t="shared" si="8"/>
        <v/>
      </c>
    </row>
    <row r="43" spans="2:13" x14ac:dyDescent="0.25">
      <c r="B43" s="58"/>
      <c r="D43" s="15"/>
      <c r="E43" s="15"/>
      <c r="F43" s="15"/>
      <c r="G43" s="67"/>
      <c r="H43" s="743" t="str">
        <f t="shared" si="7"/>
        <v/>
      </c>
      <c r="I43" s="18"/>
      <c r="J43" s="61"/>
      <c r="K43" s="402"/>
      <c r="L43" s="420" t="str">
        <f t="shared" si="3"/>
        <v/>
      </c>
      <c r="M43" s="401" t="str">
        <f t="shared" si="8"/>
        <v/>
      </c>
    </row>
    <row r="44" spans="2:13" x14ac:dyDescent="0.25">
      <c r="B44" s="58" t="s">
        <v>52</v>
      </c>
      <c r="C44" s="36" t="s">
        <v>801</v>
      </c>
      <c r="D44" s="15" t="s">
        <v>700</v>
      </c>
      <c r="E44" s="15"/>
      <c r="F44" s="580">
        <f>Quantities!$S$673/4</f>
        <v>2500</v>
      </c>
      <c r="G44" s="67"/>
      <c r="H44" s="743">
        <f t="shared" si="7"/>
        <v>0</v>
      </c>
      <c r="I44" s="18"/>
      <c r="J44" s="61" t="s">
        <v>1721</v>
      </c>
      <c r="K44" s="399">
        <f>IF(D44="","",ROUND(Labour_perc_roads*G44,1))</f>
        <v>0</v>
      </c>
      <c r="L44" s="420">
        <f t="shared" si="3"/>
        <v>0</v>
      </c>
      <c r="M44" s="401" t="str">
        <f t="shared" si="8"/>
        <v/>
      </c>
    </row>
    <row r="45" spans="2:13" x14ac:dyDescent="0.25">
      <c r="B45" s="58"/>
      <c r="D45" s="15"/>
      <c r="E45" s="15"/>
      <c r="F45" s="15"/>
      <c r="G45" s="67"/>
      <c r="H45" s="743" t="str">
        <f t="shared" si="7"/>
        <v/>
      </c>
      <c r="I45" s="18"/>
      <c r="J45" s="61"/>
      <c r="K45" s="402"/>
      <c r="L45" s="420" t="str">
        <f t="shared" si="3"/>
        <v/>
      </c>
      <c r="M45" s="401" t="str">
        <f t="shared" si="8"/>
        <v/>
      </c>
    </row>
    <row r="46" spans="2:13" ht="25" x14ac:dyDescent="0.25">
      <c r="B46" s="58" t="s">
        <v>43</v>
      </c>
      <c r="C46" s="55" t="s">
        <v>802</v>
      </c>
      <c r="D46" s="15" t="s">
        <v>700</v>
      </c>
      <c r="E46" s="15"/>
      <c r="F46" s="580">
        <f>Quantities!$S$673/4</f>
        <v>2500</v>
      </c>
      <c r="G46" s="67"/>
      <c r="H46" s="743">
        <f t="shared" si="7"/>
        <v>0</v>
      </c>
      <c r="I46" s="18"/>
      <c r="J46" s="61" t="s">
        <v>1721</v>
      </c>
      <c r="K46" s="399">
        <f>IF(D46="","",ROUND(Labour_perc_roads*G46,1))</f>
        <v>0</v>
      </c>
      <c r="L46" s="420">
        <f t="shared" si="3"/>
        <v>0</v>
      </c>
      <c r="M46" s="401" t="str">
        <f t="shared" si="8"/>
        <v/>
      </c>
    </row>
    <row r="47" spans="2:13" x14ac:dyDescent="0.25">
      <c r="B47" s="58"/>
      <c r="C47" s="50"/>
      <c r="D47" s="15"/>
      <c r="E47" s="15"/>
      <c r="F47" s="15"/>
      <c r="G47" s="424"/>
      <c r="H47" s="17" t="str">
        <f t="shared" si="7"/>
        <v/>
      </c>
      <c r="I47" s="18"/>
      <c r="J47" s="62"/>
      <c r="K47" s="62"/>
      <c r="L47" s="420" t="str">
        <f t="shared" ref="L47:L73" si="9">IF(J47="","",F47*K47)</f>
        <v/>
      </c>
      <c r="M47" s="401" t="str">
        <f t="shared" ref="M47:M73" si="10">IF(J47="","",IF(SUM(H47)=0,"",L47/H47))</f>
        <v/>
      </c>
    </row>
    <row r="48" spans="2:13" x14ac:dyDescent="0.25">
      <c r="B48" s="780"/>
      <c r="C48" s="55"/>
      <c r="D48" s="15"/>
      <c r="E48" s="15"/>
      <c r="F48" s="15"/>
      <c r="G48" s="422"/>
      <c r="H48" s="17" t="str">
        <f t="shared" si="7"/>
        <v/>
      </c>
      <c r="I48" s="18"/>
      <c r="J48" s="62"/>
      <c r="K48" s="62"/>
      <c r="L48" s="420" t="str">
        <f t="shared" si="9"/>
        <v/>
      </c>
      <c r="M48" s="401" t="str">
        <f t="shared" si="10"/>
        <v/>
      </c>
    </row>
    <row r="49" spans="2:13" x14ac:dyDescent="0.25">
      <c r="B49" s="150"/>
      <c r="D49" s="15"/>
      <c r="E49" s="15"/>
      <c r="F49" s="15"/>
      <c r="G49" s="422"/>
      <c r="H49" s="17" t="str">
        <f t="shared" si="7"/>
        <v/>
      </c>
      <c r="I49" s="18"/>
      <c r="J49" s="62"/>
      <c r="K49" s="62"/>
      <c r="L49" s="420" t="str">
        <f t="shared" si="9"/>
        <v/>
      </c>
      <c r="M49" s="401" t="str">
        <f t="shared" si="10"/>
        <v/>
      </c>
    </row>
    <row r="50" spans="2:13" x14ac:dyDescent="0.25">
      <c r="B50" s="780"/>
      <c r="C50" s="36"/>
      <c r="D50" s="15"/>
      <c r="E50" s="15"/>
      <c r="F50" s="15"/>
      <c r="G50" s="422"/>
      <c r="H50" s="17" t="str">
        <f t="shared" si="7"/>
        <v/>
      </c>
      <c r="I50" s="18"/>
      <c r="J50" s="62"/>
      <c r="K50" s="62"/>
      <c r="L50" s="420" t="str">
        <f t="shared" si="9"/>
        <v/>
      </c>
      <c r="M50" s="401" t="str">
        <f t="shared" si="10"/>
        <v/>
      </c>
    </row>
    <row r="51" spans="2:13" x14ac:dyDescent="0.25">
      <c r="B51" s="150"/>
      <c r="D51" s="15"/>
      <c r="E51" s="15"/>
      <c r="F51" s="15"/>
      <c r="G51" s="422"/>
      <c r="H51" s="17" t="str">
        <f t="shared" si="7"/>
        <v/>
      </c>
      <c r="I51" s="18"/>
      <c r="J51" s="62"/>
      <c r="K51" s="62"/>
      <c r="L51" s="420" t="str">
        <f t="shared" si="9"/>
        <v/>
      </c>
      <c r="M51" s="401" t="str">
        <f t="shared" si="10"/>
        <v/>
      </c>
    </row>
    <row r="52" spans="2:13" x14ac:dyDescent="0.25">
      <c r="B52" s="780"/>
      <c r="C52" s="36"/>
      <c r="D52" s="15"/>
      <c r="E52" s="15"/>
      <c r="F52" s="15"/>
      <c r="G52" s="422"/>
      <c r="H52" s="17" t="str">
        <f t="shared" si="7"/>
        <v/>
      </c>
      <c r="I52" s="18"/>
      <c r="J52" s="62"/>
      <c r="K52" s="62"/>
      <c r="L52" s="420" t="str">
        <f t="shared" si="9"/>
        <v/>
      </c>
      <c r="M52" s="401" t="str">
        <f t="shared" si="10"/>
        <v/>
      </c>
    </row>
    <row r="53" spans="2:13" x14ac:dyDescent="0.25">
      <c r="B53" s="150"/>
      <c r="D53" s="15"/>
      <c r="E53" s="15"/>
      <c r="F53" s="15"/>
      <c r="G53" s="422"/>
      <c r="H53" s="17" t="str">
        <f t="shared" si="7"/>
        <v/>
      </c>
      <c r="I53" s="18"/>
      <c r="J53" s="62"/>
      <c r="K53" s="62"/>
      <c r="L53" s="420" t="str">
        <f t="shared" si="9"/>
        <v/>
      </c>
      <c r="M53" s="401" t="str">
        <f t="shared" si="10"/>
        <v/>
      </c>
    </row>
    <row r="54" spans="2:13" x14ac:dyDescent="0.25">
      <c r="B54" s="780"/>
      <c r="C54" s="36"/>
      <c r="D54" s="15"/>
      <c r="E54" s="15"/>
      <c r="F54" s="61"/>
      <c r="G54" s="422"/>
      <c r="H54" s="17" t="str">
        <f t="shared" si="7"/>
        <v/>
      </c>
      <c r="I54" s="63"/>
      <c r="J54" s="62"/>
      <c r="K54" s="62"/>
      <c r="L54" s="420" t="str">
        <f t="shared" si="9"/>
        <v/>
      </c>
      <c r="M54" s="401" t="str">
        <f t="shared" si="10"/>
        <v/>
      </c>
    </row>
    <row r="55" spans="2:13" x14ac:dyDescent="0.25">
      <c r="B55" s="150"/>
      <c r="D55" s="15"/>
      <c r="E55" s="15"/>
      <c r="F55" s="15"/>
      <c r="G55" s="422"/>
      <c r="H55" s="17" t="str">
        <f t="shared" si="7"/>
        <v/>
      </c>
      <c r="I55" s="18"/>
      <c r="J55" s="62"/>
      <c r="K55" s="62"/>
      <c r="L55" s="420" t="str">
        <f t="shared" si="9"/>
        <v/>
      </c>
      <c r="M55" s="401" t="str">
        <f t="shared" si="10"/>
        <v/>
      </c>
    </row>
    <row r="56" spans="2:13" x14ac:dyDescent="0.25">
      <c r="B56" s="780"/>
      <c r="C56" s="36"/>
      <c r="D56" s="15"/>
      <c r="E56" s="15"/>
      <c r="F56" s="61"/>
      <c r="G56" s="422"/>
      <c r="H56" s="17" t="str">
        <f t="shared" si="7"/>
        <v/>
      </c>
      <c r="I56" s="69"/>
      <c r="J56" s="62"/>
      <c r="K56" s="62"/>
      <c r="L56" s="420" t="str">
        <f t="shared" si="9"/>
        <v/>
      </c>
      <c r="M56" s="401" t="str">
        <f t="shared" si="10"/>
        <v/>
      </c>
    </row>
    <row r="57" spans="2:13" x14ac:dyDescent="0.25">
      <c r="B57" s="150"/>
      <c r="D57" s="61"/>
      <c r="E57" s="61"/>
      <c r="F57" s="61"/>
      <c r="G57" s="422"/>
      <c r="H57" s="17" t="str">
        <f t="shared" si="7"/>
        <v/>
      </c>
      <c r="I57" s="63"/>
      <c r="J57" s="62"/>
      <c r="K57" s="62"/>
      <c r="L57" s="62" t="str">
        <f t="shared" si="9"/>
        <v/>
      </c>
      <c r="M57" s="62" t="str">
        <f t="shared" si="10"/>
        <v/>
      </c>
    </row>
    <row r="58" spans="2:13" x14ac:dyDescent="0.25">
      <c r="B58" s="780"/>
      <c r="C58" s="36"/>
      <c r="D58" s="15"/>
      <c r="E58" s="15"/>
      <c r="F58" s="15"/>
      <c r="G58" s="422"/>
      <c r="H58" s="17" t="str">
        <f t="shared" si="7"/>
        <v/>
      </c>
      <c r="I58" s="18"/>
      <c r="J58" s="62"/>
      <c r="K58" s="62"/>
      <c r="L58" s="62" t="str">
        <f t="shared" si="9"/>
        <v/>
      </c>
      <c r="M58" s="62" t="str">
        <f t="shared" si="10"/>
        <v/>
      </c>
    </row>
    <row r="59" spans="2:13" x14ac:dyDescent="0.25">
      <c r="B59" s="58"/>
      <c r="C59" s="50"/>
      <c r="D59" s="15"/>
      <c r="E59" s="15"/>
      <c r="F59" s="15"/>
      <c r="G59" s="422"/>
      <c r="H59" s="17" t="str">
        <f t="shared" si="7"/>
        <v/>
      </c>
      <c r="I59" s="18"/>
      <c r="J59" s="62"/>
      <c r="K59" s="62"/>
      <c r="L59" s="62" t="str">
        <f t="shared" si="9"/>
        <v/>
      </c>
      <c r="M59" s="62" t="str">
        <f t="shared" si="10"/>
        <v/>
      </c>
    </row>
    <row r="60" spans="2:13" x14ac:dyDescent="0.25">
      <c r="B60" s="58"/>
      <c r="C60" s="50"/>
      <c r="D60" s="15"/>
      <c r="E60" s="15"/>
      <c r="F60" s="15"/>
      <c r="G60" s="422"/>
      <c r="H60" s="17" t="str">
        <f t="shared" si="7"/>
        <v/>
      </c>
      <c r="I60" s="18"/>
      <c r="J60" s="62"/>
      <c r="K60" s="62"/>
      <c r="L60" s="62" t="str">
        <f t="shared" si="9"/>
        <v/>
      </c>
      <c r="M60" s="62" t="str">
        <f t="shared" si="10"/>
        <v/>
      </c>
    </row>
    <row r="61" spans="2:13" x14ac:dyDescent="0.25">
      <c r="B61" s="58"/>
      <c r="C61" s="50"/>
      <c r="D61" s="15"/>
      <c r="E61" s="15"/>
      <c r="F61" s="15"/>
      <c r="G61" s="422"/>
      <c r="H61" s="17" t="str">
        <f t="shared" si="7"/>
        <v/>
      </c>
      <c r="I61" s="18"/>
      <c r="J61" s="62"/>
      <c r="K61" s="62"/>
      <c r="L61" s="62" t="str">
        <f t="shared" si="9"/>
        <v/>
      </c>
      <c r="M61" s="62" t="str">
        <f t="shared" si="10"/>
        <v/>
      </c>
    </row>
    <row r="62" spans="2:13" x14ac:dyDescent="0.25">
      <c r="B62" s="58"/>
      <c r="C62" s="50"/>
      <c r="D62" s="15"/>
      <c r="E62" s="15"/>
      <c r="F62" s="15"/>
      <c r="G62" s="422"/>
      <c r="H62" s="17" t="str">
        <f t="shared" si="7"/>
        <v/>
      </c>
      <c r="I62" s="18"/>
      <c r="J62" s="62"/>
      <c r="K62" s="62"/>
      <c r="L62" s="62" t="str">
        <f t="shared" si="9"/>
        <v/>
      </c>
      <c r="M62" s="62" t="str">
        <f t="shared" si="10"/>
        <v/>
      </c>
    </row>
    <row r="63" spans="2:13" x14ac:dyDescent="0.25">
      <c r="B63" s="58"/>
      <c r="C63" s="50"/>
      <c r="D63" s="15"/>
      <c r="E63" s="15"/>
      <c r="F63" s="15"/>
      <c r="G63" s="422"/>
      <c r="H63" s="17" t="str">
        <f t="shared" si="7"/>
        <v/>
      </c>
      <c r="I63" s="18"/>
      <c r="J63" s="62"/>
      <c r="K63" s="62"/>
      <c r="L63" s="62" t="str">
        <f t="shared" si="9"/>
        <v/>
      </c>
      <c r="M63" s="62" t="str">
        <f t="shared" si="10"/>
        <v/>
      </c>
    </row>
    <row r="64" spans="2:13" x14ac:dyDescent="0.25">
      <c r="B64" s="58"/>
      <c r="C64" s="50"/>
      <c r="D64" s="15"/>
      <c r="E64" s="15"/>
      <c r="F64" s="15"/>
      <c r="G64" s="422"/>
      <c r="H64" s="17" t="str">
        <f t="shared" si="7"/>
        <v/>
      </c>
      <c r="I64" s="18"/>
      <c r="J64" s="62"/>
      <c r="K64" s="62"/>
      <c r="L64" s="62" t="str">
        <f t="shared" si="9"/>
        <v/>
      </c>
      <c r="M64" s="62" t="str">
        <f t="shared" si="10"/>
        <v/>
      </c>
    </row>
    <row r="65" spans="2:13" x14ac:dyDescent="0.25">
      <c r="B65" s="58"/>
      <c r="C65" s="50"/>
      <c r="D65" s="15"/>
      <c r="E65" s="15"/>
      <c r="F65" s="15"/>
      <c r="G65" s="422"/>
      <c r="H65" s="17" t="str">
        <f t="shared" si="7"/>
        <v/>
      </c>
      <c r="I65" s="18"/>
      <c r="J65" s="62"/>
      <c r="K65" s="62"/>
      <c r="L65" s="62" t="str">
        <f t="shared" si="9"/>
        <v/>
      </c>
      <c r="M65" s="62" t="str">
        <f t="shared" si="10"/>
        <v/>
      </c>
    </row>
    <row r="66" spans="2:13" x14ac:dyDescent="0.25">
      <c r="B66" s="58"/>
      <c r="C66" s="50"/>
      <c r="D66" s="15"/>
      <c r="E66" s="15"/>
      <c r="F66" s="15"/>
      <c r="G66" s="422"/>
      <c r="H66" s="17" t="str">
        <f t="shared" si="7"/>
        <v/>
      </c>
      <c r="I66" s="18"/>
      <c r="J66" s="62"/>
      <c r="K66" s="62"/>
      <c r="L66" s="62" t="str">
        <f t="shared" si="9"/>
        <v/>
      </c>
      <c r="M66" s="62" t="str">
        <f t="shared" si="10"/>
        <v/>
      </c>
    </row>
    <row r="67" spans="2:13" x14ac:dyDescent="0.25">
      <c r="B67" s="58"/>
      <c r="C67" s="50"/>
      <c r="D67" s="15"/>
      <c r="E67" s="15"/>
      <c r="F67" s="15"/>
      <c r="G67" s="422"/>
      <c r="H67" s="17" t="str">
        <f t="shared" si="7"/>
        <v/>
      </c>
      <c r="I67" s="18"/>
      <c r="J67" s="62"/>
      <c r="K67" s="62"/>
      <c r="L67" s="62" t="str">
        <f t="shared" si="9"/>
        <v/>
      </c>
      <c r="M67" s="62" t="str">
        <f t="shared" si="10"/>
        <v/>
      </c>
    </row>
    <row r="68" spans="2:13" x14ac:dyDescent="0.25">
      <c r="B68" s="58"/>
      <c r="C68" s="50"/>
      <c r="D68" s="15"/>
      <c r="E68" s="15"/>
      <c r="F68" s="15"/>
      <c r="G68" s="422"/>
      <c r="H68" s="17" t="str">
        <f t="shared" si="7"/>
        <v/>
      </c>
      <c r="I68" s="18"/>
      <c r="J68" s="62"/>
      <c r="K68" s="62"/>
      <c r="L68" s="62" t="str">
        <f t="shared" si="9"/>
        <v/>
      </c>
      <c r="M68" s="62" t="str">
        <f t="shared" si="10"/>
        <v/>
      </c>
    </row>
    <row r="69" spans="2:13" x14ac:dyDescent="0.25">
      <c r="B69" s="58"/>
      <c r="C69" s="50"/>
      <c r="D69" s="15"/>
      <c r="E69" s="15"/>
      <c r="F69" s="15"/>
      <c r="G69" s="422"/>
      <c r="H69" s="17" t="str">
        <f t="shared" si="7"/>
        <v/>
      </c>
      <c r="I69" s="18"/>
      <c r="J69" s="62"/>
      <c r="K69" s="62"/>
      <c r="L69" s="62" t="str">
        <f t="shared" si="9"/>
        <v/>
      </c>
      <c r="M69" s="62" t="str">
        <f t="shared" si="10"/>
        <v/>
      </c>
    </row>
    <row r="70" spans="2:13" x14ac:dyDescent="0.25">
      <c r="B70" s="58"/>
      <c r="C70" s="50"/>
      <c r="D70" s="15"/>
      <c r="E70" s="15"/>
      <c r="F70" s="15"/>
      <c r="G70" s="422"/>
      <c r="H70" s="17" t="str">
        <f t="shared" si="7"/>
        <v/>
      </c>
      <c r="I70" s="18"/>
      <c r="J70" s="62"/>
      <c r="K70" s="62"/>
      <c r="L70" s="62" t="str">
        <f t="shared" si="9"/>
        <v/>
      </c>
      <c r="M70" s="62" t="str">
        <f t="shared" si="10"/>
        <v/>
      </c>
    </row>
    <row r="71" spans="2:13" x14ac:dyDescent="0.25">
      <c r="B71" s="150"/>
      <c r="D71" s="15"/>
      <c r="E71" s="15"/>
      <c r="F71" s="15"/>
      <c r="G71" s="422"/>
      <c r="H71" s="17" t="str">
        <f t="shared" si="7"/>
        <v/>
      </c>
      <c r="I71" s="18"/>
      <c r="J71" s="62"/>
      <c r="K71" s="62"/>
      <c r="L71" s="420" t="str">
        <f t="shared" si="9"/>
        <v/>
      </c>
      <c r="M71" s="401" t="str">
        <f t="shared" si="10"/>
        <v/>
      </c>
    </row>
    <row r="72" spans="2:13" x14ac:dyDescent="0.25">
      <c r="B72" s="150"/>
      <c r="D72" s="15"/>
      <c r="E72" s="15"/>
      <c r="F72" s="15"/>
      <c r="G72" s="422"/>
      <c r="H72" s="17" t="str">
        <f t="shared" si="7"/>
        <v/>
      </c>
      <c r="I72" s="18"/>
      <c r="J72" s="61"/>
      <c r="K72" s="695"/>
      <c r="L72" s="420" t="str">
        <f t="shared" si="9"/>
        <v/>
      </c>
      <c r="M72" s="401" t="str">
        <f t="shared" si="10"/>
        <v/>
      </c>
    </row>
    <row r="73" spans="2:13" x14ac:dyDescent="0.25">
      <c r="B73" s="150"/>
      <c r="D73" s="15"/>
      <c r="E73" s="15"/>
      <c r="F73" s="15"/>
      <c r="G73" s="422"/>
      <c r="H73" s="17" t="str">
        <f t="shared" si="7"/>
        <v/>
      </c>
      <c r="I73" s="18"/>
      <c r="J73" s="61"/>
      <c r="K73" s="696"/>
      <c r="L73" s="420" t="str">
        <f t="shared" si="9"/>
        <v/>
      </c>
      <c r="M73" s="401" t="str">
        <f t="shared" si="10"/>
        <v/>
      </c>
    </row>
    <row r="74" spans="2:13" s="28" customFormat="1" ht="19.5" customHeight="1" x14ac:dyDescent="0.25">
      <c r="B74" s="135" t="str">
        <f>$B$12</f>
        <v>C4.2</v>
      </c>
      <c r="C74" s="30" t="str">
        <f>"TOTAL CARRIED FORWARD"&amp;IF(H74=H$1," TO SUMMARY (Page C"&amp;Page_A&amp;")","")</f>
        <v>TOTAL CARRIED FORWARD TO SUMMARY (Page C48)</v>
      </c>
      <c r="D74" s="31"/>
      <c r="E74" s="31"/>
      <c r="F74" s="32"/>
      <c r="G74" s="31"/>
      <c r="H74" s="33">
        <f>SUM(H11:H73)</f>
        <v>0</v>
      </c>
      <c r="I74" s="34"/>
      <c r="J74" s="408"/>
      <c r="K74" s="406"/>
      <c r="L74" s="418">
        <f>SUM(L11:L73)</f>
        <v>0</v>
      </c>
      <c r="M74" s="407" t="str">
        <f t="shared" ref="M74" si="11">IF(J74="","",IF(SUM(H74)=0,"",L74/H74))</f>
        <v/>
      </c>
    </row>
    <row r="75" spans="2:13" ht="13" x14ac:dyDescent="0.25">
      <c r="B75" s="1108" t="str">
        <f>Client1</f>
        <v>Province of KwaZulu-Natal</v>
      </c>
      <c r="C75" s="1108"/>
      <c r="D75" s="1108"/>
      <c r="E75" s="87"/>
      <c r="F75" s="1109" t="str">
        <f>"Contract No. "&amp;ContractNo</f>
        <v>Contract No. ZNB 00399/00000/HOD/INF/21/T</v>
      </c>
      <c r="G75" s="1109"/>
      <c r="H75" s="1109"/>
    </row>
    <row r="76" spans="2:13" ht="13" x14ac:dyDescent="0.25">
      <c r="B76" s="1108" t="str">
        <f>Client2</f>
        <v>Department of Transport</v>
      </c>
      <c r="C76" s="1108"/>
      <c r="D76" s="1108"/>
      <c r="E76" s="87"/>
      <c r="F76" s="1109"/>
      <c r="G76" s="1109"/>
      <c r="H76" s="1109"/>
    </row>
    <row r="77" spans="2:13" x14ac:dyDescent="0.25">
      <c r="B77" s="1111"/>
      <c r="C77" s="1111"/>
      <c r="D77" s="1111"/>
      <c r="E77" s="78"/>
      <c r="F77" s="1110"/>
      <c r="G77" s="1110"/>
      <c r="H77" s="1110"/>
    </row>
    <row r="78" spans="2:13" ht="13" x14ac:dyDescent="0.25">
      <c r="B78" s="1112" t="s">
        <v>8</v>
      </c>
      <c r="C78" s="1113"/>
      <c r="D78" s="1113"/>
      <c r="E78" s="1113"/>
      <c r="F78" s="1113"/>
      <c r="G78" s="1113"/>
      <c r="H78" s="1128" t="str">
        <f>$H$6</f>
        <v>CHAPTER C4.2</v>
      </c>
      <c r="I78" s="6"/>
    </row>
    <row r="79" spans="2:13" ht="13" x14ac:dyDescent="0.25">
      <c r="B79" s="1117" t="str">
        <f>ContractDescription</f>
        <v>THE CONSTRUCTION OF EARTHWORKS, LAYERWORKS, SURFACING, CULVERTS AND CWAKA RIVER BRIDGE FROM KM 11.600 TO KM 14.000 ON MAIN ROAD P494 IN THE KING CETSHWAYO DISTRICT UNDER EMPANGENI REGION</v>
      </c>
      <c r="C79" s="1118"/>
      <c r="D79" s="1118"/>
      <c r="E79" s="1118"/>
      <c r="F79" s="1118"/>
      <c r="G79" s="1118"/>
      <c r="H79" s="1109"/>
      <c r="I79" s="8"/>
    </row>
    <row r="80" spans="2:13" ht="13" x14ac:dyDescent="0.25">
      <c r="B80" s="1117"/>
      <c r="C80" s="1118"/>
      <c r="D80" s="1118"/>
      <c r="E80" s="1118"/>
      <c r="F80" s="1118"/>
      <c r="G80" s="1118"/>
      <c r="H80" s="1109"/>
      <c r="I80" s="8"/>
    </row>
    <row r="81" spans="2:13" ht="13" x14ac:dyDescent="0.25">
      <c r="B81" s="1119"/>
      <c r="C81" s="1120"/>
      <c r="D81" s="1120"/>
      <c r="E81" s="1120"/>
      <c r="F81" s="1120"/>
      <c r="G81" s="1120"/>
      <c r="H81" s="1110"/>
      <c r="I81" s="8"/>
    </row>
    <row r="82" spans="2:13" s="9" customFormat="1" ht="25" customHeight="1" x14ac:dyDescent="0.25">
      <c r="B82" s="74" t="s">
        <v>0</v>
      </c>
      <c r="C82" s="11" t="s">
        <v>1</v>
      </c>
      <c r="D82" s="11" t="s">
        <v>2</v>
      </c>
      <c r="E82" s="11"/>
      <c r="F82" s="11" t="s">
        <v>3</v>
      </c>
      <c r="G82" s="11" t="s">
        <v>4</v>
      </c>
      <c r="H82" s="11" t="s">
        <v>5</v>
      </c>
      <c r="I82" s="12"/>
      <c r="J82" s="408" t="s">
        <v>996</v>
      </c>
      <c r="K82" s="253" t="s">
        <v>997</v>
      </c>
      <c r="L82" s="253" t="s">
        <v>998</v>
      </c>
      <c r="M82" s="253" t="s">
        <v>999</v>
      </c>
    </row>
    <row r="83" spans="2:13" s="28" customFormat="1" ht="19.5" customHeight="1" x14ac:dyDescent="0.25">
      <c r="B83" s="80"/>
      <c r="C83" s="30" t="s">
        <v>27</v>
      </c>
      <c r="D83" s="31"/>
      <c r="E83" s="31"/>
      <c r="F83" s="32"/>
      <c r="G83" s="31"/>
      <c r="H83" s="33">
        <f>H74</f>
        <v>0</v>
      </c>
      <c r="I83" s="34"/>
      <c r="J83" s="744"/>
      <c r="K83" s="409"/>
      <c r="L83" s="418">
        <f>L74</f>
        <v>0</v>
      </c>
      <c r="M83" s="410" t="str">
        <f t="shared" ref="M83:M139" si="12">IF(J83="","",IF(SUM(H83)=0,"",L83/H83))</f>
        <v/>
      </c>
    </row>
    <row r="84" spans="2:13" x14ac:dyDescent="0.25">
      <c r="B84" s="150"/>
      <c r="D84" s="15"/>
      <c r="E84" s="15"/>
      <c r="F84" s="15"/>
      <c r="G84" s="64"/>
      <c r="H84" s="17" t="str">
        <f t="shared" ref="H84:H115" si="13">IF(D84="","",F84*G84)</f>
        <v/>
      </c>
      <c r="I84" s="18"/>
      <c r="J84" s="61"/>
      <c r="K84" s="399"/>
      <c r="L84" s="420" t="str">
        <f t="shared" ref="L84:L139" si="14">IF(J84="","",F84*K84)</f>
        <v/>
      </c>
      <c r="M84" s="401" t="str">
        <f t="shared" si="12"/>
        <v/>
      </c>
    </row>
    <row r="85" spans="2:13" x14ac:dyDescent="0.25">
      <c r="B85" s="780"/>
      <c r="C85" s="36"/>
      <c r="D85" s="15"/>
      <c r="E85" s="15"/>
      <c r="F85" s="15"/>
      <c r="G85" s="64"/>
      <c r="H85" s="17" t="str">
        <f t="shared" si="13"/>
        <v/>
      </c>
      <c r="I85" s="18"/>
      <c r="J85" s="61"/>
      <c r="K85" s="399"/>
      <c r="L85" s="420" t="str">
        <f t="shared" si="14"/>
        <v/>
      </c>
      <c r="M85" s="401" t="str">
        <f t="shared" si="12"/>
        <v/>
      </c>
    </row>
    <row r="86" spans="2:13" x14ac:dyDescent="0.25">
      <c r="B86" s="150"/>
      <c r="D86" s="15"/>
      <c r="E86" s="15"/>
      <c r="F86" s="15"/>
      <c r="G86" s="64"/>
      <c r="H86" s="17" t="str">
        <f t="shared" si="13"/>
        <v/>
      </c>
      <c r="I86" s="18"/>
      <c r="J86" s="61"/>
      <c r="K86" s="399"/>
      <c r="L86" s="420" t="str">
        <f t="shared" si="14"/>
        <v/>
      </c>
      <c r="M86" s="401" t="str">
        <f t="shared" si="12"/>
        <v/>
      </c>
    </row>
    <row r="87" spans="2:13" x14ac:dyDescent="0.25">
      <c r="B87" s="780"/>
      <c r="C87" s="36"/>
      <c r="D87" s="15"/>
      <c r="E87" s="15"/>
      <c r="F87" s="15"/>
      <c r="G87" s="64"/>
      <c r="H87" s="17" t="str">
        <f t="shared" si="13"/>
        <v/>
      </c>
      <c r="I87" s="18"/>
      <c r="J87" s="61"/>
      <c r="K87" s="399"/>
      <c r="L87" s="420" t="str">
        <f t="shared" si="14"/>
        <v/>
      </c>
      <c r="M87" s="401" t="str">
        <f t="shared" si="12"/>
        <v/>
      </c>
    </row>
    <row r="88" spans="2:13" x14ac:dyDescent="0.25">
      <c r="B88" s="150"/>
      <c r="D88" s="15"/>
      <c r="E88" s="15"/>
      <c r="F88" s="15"/>
      <c r="G88" s="64"/>
      <c r="H88" s="17" t="str">
        <f t="shared" si="13"/>
        <v/>
      </c>
      <c r="I88" s="18"/>
      <c r="J88" s="61"/>
      <c r="K88" s="400"/>
      <c r="L88" s="420" t="str">
        <f t="shared" si="14"/>
        <v/>
      </c>
      <c r="M88" s="401" t="str">
        <f t="shared" si="12"/>
        <v/>
      </c>
    </row>
    <row r="89" spans="2:13" x14ac:dyDescent="0.25">
      <c r="B89" s="780"/>
      <c r="C89" s="36"/>
      <c r="D89" s="15"/>
      <c r="E89" s="15"/>
      <c r="F89" s="15"/>
      <c r="G89" s="64"/>
      <c r="H89" s="17" t="str">
        <f t="shared" si="13"/>
        <v/>
      </c>
      <c r="I89" s="18"/>
      <c r="J89" s="61"/>
      <c r="K89" s="399"/>
      <c r="L89" s="420" t="str">
        <f t="shared" si="14"/>
        <v/>
      </c>
      <c r="M89" s="401" t="str">
        <f t="shared" si="12"/>
        <v/>
      </c>
    </row>
    <row r="90" spans="2:13" x14ac:dyDescent="0.25">
      <c r="B90" s="150"/>
      <c r="D90" s="15"/>
      <c r="E90" s="15"/>
      <c r="F90" s="15"/>
      <c r="G90" s="64"/>
      <c r="H90" s="17" t="str">
        <f t="shared" si="13"/>
        <v/>
      </c>
      <c r="I90" s="18"/>
      <c r="J90" s="61"/>
      <c r="K90" s="399"/>
      <c r="L90" s="420" t="str">
        <f t="shared" si="14"/>
        <v/>
      </c>
      <c r="M90" s="401" t="str">
        <f t="shared" si="12"/>
        <v/>
      </c>
    </row>
    <row r="91" spans="2:13" x14ac:dyDescent="0.25">
      <c r="B91" s="780"/>
      <c r="C91" s="36"/>
      <c r="D91" s="15"/>
      <c r="E91" s="15"/>
      <c r="F91" s="15"/>
      <c r="G91" s="64"/>
      <c r="H91" s="17" t="str">
        <f t="shared" si="13"/>
        <v/>
      </c>
      <c r="I91" s="18"/>
      <c r="J91" s="61"/>
      <c r="K91" s="399"/>
      <c r="L91" s="420" t="str">
        <f t="shared" si="14"/>
        <v/>
      </c>
      <c r="M91" s="401" t="str">
        <f t="shared" si="12"/>
        <v/>
      </c>
    </row>
    <row r="92" spans="2:13" x14ac:dyDescent="0.25">
      <c r="B92" s="150"/>
      <c r="D92" s="15"/>
      <c r="E92" s="15"/>
      <c r="F92" s="15"/>
      <c r="G92" s="64"/>
      <c r="H92" s="17" t="str">
        <f t="shared" si="13"/>
        <v/>
      </c>
      <c r="I92" s="18"/>
      <c r="J92" s="61"/>
      <c r="K92" s="402"/>
      <c r="L92" s="420" t="str">
        <f t="shared" si="14"/>
        <v/>
      </c>
      <c r="M92" s="401" t="str">
        <f t="shared" si="12"/>
        <v/>
      </c>
    </row>
    <row r="93" spans="2:13" x14ac:dyDescent="0.25">
      <c r="B93" s="780"/>
      <c r="C93" s="36"/>
      <c r="D93" s="15"/>
      <c r="E93" s="15"/>
      <c r="F93" s="15"/>
      <c r="G93" s="64"/>
      <c r="H93" s="17" t="str">
        <f t="shared" si="13"/>
        <v/>
      </c>
      <c r="I93" s="18"/>
      <c r="J93" s="61"/>
      <c r="K93" s="402"/>
      <c r="L93" s="420" t="str">
        <f t="shared" si="14"/>
        <v/>
      </c>
      <c r="M93" s="401" t="str">
        <f t="shared" si="12"/>
        <v/>
      </c>
    </row>
    <row r="94" spans="2:13" x14ac:dyDescent="0.25">
      <c r="B94" s="150"/>
      <c r="D94" s="15"/>
      <c r="E94" s="15"/>
      <c r="F94" s="15"/>
      <c r="G94" s="64"/>
      <c r="H94" s="17" t="str">
        <f t="shared" si="13"/>
        <v/>
      </c>
      <c r="I94" s="18"/>
      <c r="J94" s="61"/>
      <c r="K94" s="402"/>
      <c r="L94" s="420" t="str">
        <f t="shared" si="14"/>
        <v/>
      </c>
      <c r="M94" s="401" t="str">
        <f t="shared" si="12"/>
        <v/>
      </c>
    </row>
    <row r="95" spans="2:13" x14ac:dyDescent="0.25">
      <c r="B95" s="780"/>
      <c r="C95" s="36"/>
      <c r="D95" s="15"/>
      <c r="E95" s="15"/>
      <c r="F95" s="15"/>
      <c r="G95" s="64"/>
      <c r="H95" s="17" t="str">
        <f t="shared" si="13"/>
        <v/>
      </c>
      <c r="I95" s="18"/>
      <c r="J95" s="61"/>
      <c r="K95" s="402"/>
      <c r="L95" s="420" t="str">
        <f t="shared" si="14"/>
        <v/>
      </c>
      <c r="M95" s="401" t="str">
        <f t="shared" si="12"/>
        <v/>
      </c>
    </row>
    <row r="96" spans="2:13" x14ac:dyDescent="0.25">
      <c r="B96" s="58"/>
      <c r="C96" s="50"/>
      <c r="D96" s="15"/>
      <c r="E96" s="15"/>
      <c r="F96" s="15"/>
      <c r="G96" s="64"/>
      <c r="H96" s="17" t="str">
        <f t="shared" si="13"/>
        <v/>
      </c>
      <c r="I96" s="18"/>
      <c r="J96" s="61"/>
      <c r="K96" s="399"/>
      <c r="L96" s="420" t="str">
        <f t="shared" si="14"/>
        <v/>
      </c>
      <c r="M96" s="401" t="str">
        <f t="shared" si="12"/>
        <v/>
      </c>
    </row>
    <row r="97" spans="2:13" x14ac:dyDescent="0.25">
      <c r="B97" s="780"/>
      <c r="C97" s="55"/>
      <c r="D97" s="15"/>
      <c r="E97" s="15"/>
      <c r="F97" s="15"/>
      <c r="G97" s="64"/>
      <c r="H97" s="17" t="str">
        <f t="shared" si="13"/>
        <v/>
      </c>
      <c r="I97" s="18"/>
      <c r="J97" s="61"/>
      <c r="K97" s="399"/>
      <c r="L97" s="420" t="str">
        <f t="shared" si="14"/>
        <v/>
      </c>
      <c r="M97" s="401" t="str">
        <f t="shared" si="12"/>
        <v/>
      </c>
    </row>
    <row r="98" spans="2:13" x14ac:dyDescent="0.25">
      <c r="B98" s="150"/>
      <c r="D98" s="15"/>
      <c r="E98" s="15"/>
      <c r="F98" s="15"/>
      <c r="G98" s="64"/>
      <c r="H98" s="17" t="str">
        <f t="shared" si="13"/>
        <v/>
      </c>
      <c r="I98" s="18"/>
      <c r="J98" s="61"/>
      <c r="K98" s="399"/>
      <c r="L98" s="420" t="str">
        <f t="shared" si="14"/>
        <v/>
      </c>
      <c r="M98" s="401" t="str">
        <f t="shared" si="12"/>
        <v/>
      </c>
    </row>
    <row r="99" spans="2:13" x14ac:dyDescent="0.25">
      <c r="B99" s="780"/>
      <c r="C99" s="36"/>
      <c r="D99" s="15"/>
      <c r="E99" s="15"/>
      <c r="F99" s="15"/>
      <c r="G99" s="64"/>
      <c r="H99" s="17" t="str">
        <f t="shared" si="13"/>
        <v/>
      </c>
      <c r="I99" s="18"/>
      <c r="J99" s="61"/>
      <c r="K99" s="399"/>
      <c r="L99" s="420" t="str">
        <f t="shared" si="14"/>
        <v/>
      </c>
      <c r="M99" s="401" t="str">
        <f t="shared" si="12"/>
        <v/>
      </c>
    </row>
    <row r="100" spans="2:13" x14ac:dyDescent="0.25">
      <c r="B100" s="150"/>
      <c r="D100" s="15"/>
      <c r="E100" s="15"/>
      <c r="F100" s="15"/>
      <c r="G100" s="64"/>
      <c r="H100" s="17" t="str">
        <f t="shared" si="13"/>
        <v/>
      </c>
      <c r="I100" s="18"/>
      <c r="J100" s="61"/>
      <c r="K100" s="399"/>
      <c r="L100" s="420" t="str">
        <f t="shared" si="14"/>
        <v/>
      </c>
      <c r="M100" s="401" t="str">
        <f t="shared" si="12"/>
        <v/>
      </c>
    </row>
    <row r="101" spans="2:13" x14ac:dyDescent="0.25">
      <c r="B101" s="780"/>
      <c r="C101" s="36"/>
      <c r="D101" s="15"/>
      <c r="E101" s="15"/>
      <c r="F101" s="15"/>
      <c r="G101" s="64"/>
      <c r="H101" s="17" t="str">
        <f t="shared" si="13"/>
        <v/>
      </c>
      <c r="I101" s="18"/>
      <c r="J101" s="61"/>
      <c r="K101" s="399"/>
      <c r="L101" s="420" t="str">
        <f t="shared" si="14"/>
        <v/>
      </c>
      <c r="M101" s="401" t="str">
        <f t="shared" si="12"/>
        <v/>
      </c>
    </row>
    <row r="102" spans="2:13" x14ac:dyDescent="0.25">
      <c r="B102" s="58"/>
      <c r="C102" s="50"/>
      <c r="D102" s="15"/>
      <c r="E102" s="15"/>
      <c r="F102" s="15"/>
      <c r="G102" s="64"/>
      <c r="H102" s="17" t="str">
        <f t="shared" si="13"/>
        <v/>
      </c>
      <c r="I102" s="18"/>
      <c r="J102" s="61"/>
      <c r="K102" s="399"/>
      <c r="L102" s="420" t="str">
        <f t="shared" si="14"/>
        <v/>
      </c>
      <c r="M102" s="401" t="str">
        <f t="shared" si="12"/>
        <v/>
      </c>
    </row>
    <row r="103" spans="2:13" x14ac:dyDescent="0.25">
      <c r="B103" s="780"/>
      <c r="C103" s="55"/>
      <c r="D103" s="15"/>
      <c r="E103" s="15"/>
      <c r="F103" s="15"/>
      <c r="G103" s="64"/>
      <c r="H103" s="17" t="str">
        <f t="shared" si="13"/>
        <v/>
      </c>
      <c r="I103" s="18"/>
      <c r="J103" s="61"/>
      <c r="K103" s="399"/>
      <c r="L103" s="420" t="str">
        <f t="shared" si="14"/>
        <v/>
      </c>
      <c r="M103" s="401" t="str">
        <f t="shared" si="12"/>
        <v/>
      </c>
    </row>
    <row r="104" spans="2:13" x14ac:dyDescent="0.25">
      <c r="B104" s="150"/>
      <c r="D104" s="15"/>
      <c r="E104" s="15"/>
      <c r="F104" s="15"/>
      <c r="G104" s="64"/>
      <c r="H104" s="17" t="str">
        <f t="shared" si="13"/>
        <v/>
      </c>
      <c r="I104" s="18"/>
      <c r="J104" s="61"/>
      <c r="K104" s="399"/>
      <c r="L104" s="420" t="str">
        <f t="shared" si="14"/>
        <v/>
      </c>
      <c r="M104" s="401" t="str">
        <f t="shared" si="12"/>
        <v/>
      </c>
    </row>
    <row r="105" spans="2:13" x14ac:dyDescent="0.25">
      <c r="B105" s="780"/>
      <c r="C105" s="36"/>
      <c r="D105" s="15"/>
      <c r="E105" s="15"/>
      <c r="F105" s="15"/>
      <c r="G105" s="64"/>
      <c r="H105" s="17" t="str">
        <f t="shared" si="13"/>
        <v/>
      </c>
      <c r="I105" s="18"/>
      <c r="J105" s="61"/>
      <c r="K105" s="399"/>
      <c r="L105" s="420" t="str">
        <f t="shared" si="14"/>
        <v/>
      </c>
      <c r="M105" s="401" t="str">
        <f t="shared" si="12"/>
        <v/>
      </c>
    </row>
    <row r="106" spans="2:13" x14ac:dyDescent="0.25">
      <c r="B106" s="150"/>
      <c r="D106" s="15"/>
      <c r="E106" s="15"/>
      <c r="F106" s="15"/>
      <c r="G106" s="64"/>
      <c r="H106" s="17" t="str">
        <f t="shared" si="13"/>
        <v/>
      </c>
      <c r="I106" s="18"/>
      <c r="J106" s="61"/>
      <c r="K106" s="399"/>
      <c r="L106" s="420" t="str">
        <f t="shared" si="14"/>
        <v/>
      </c>
      <c r="M106" s="401" t="str">
        <f t="shared" si="12"/>
        <v/>
      </c>
    </row>
    <row r="107" spans="2:13" x14ac:dyDescent="0.25">
      <c r="B107" s="780"/>
      <c r="C107" s="36"/>
      <c r="D107" s="15"/>
      <c r="E107" s="15"/>
      <c r="F107" s="15"/>
      <c r="G107" s="64"/>
      <c r="H107" s="17" t="str">
        <f t="shared" si="13"/>
        <v/>
      </c>
      <c r="I107" s="18"/>
      <c r="J107" s="61"/>
      <c r="K107" s="399"/>
      <c r="L107" s="420" t="str">
        <f t="shared" si="14"/>
        <v/>
      </c>
      <c r="M107" s="401" t="str">
        <f t="shared" si="12"/>
        <v/>
      </c>
    </row>
    <row r="108" spans="2:13" x14ac:dyDescent="0.25">
      <c r="B108" s="150"/>
      <c r="D108" s="15"/>
      <c r="E108" s="15"/>
      <c r="F108" s="15"/>
      <c r="G108" s="64"/>
      <c r="H108" s="17" t="str">
        <f t="shared" si="13"/>
        <v/>
      </c>
      <c r="I108" s="18"/>
      <c r="J108" s="61"/>
      <c r="K108" s="402"/>
      <c r="L108" s="420" t="str">
        <f t="shared" si="14"/>
        <v/>
      </c>
      <c r="M108" s="401" t="str">
        <f t="shared" si="12"/>
        <v/>
      </c>
    </row>
    <row r="109" spans="2:13" x14ac:dyDescent="0.25">
      <c r="B109" s="780"/>
      <c r="C109" s="36"/>
      <c r="D109" s="15"/>
      <c r="E109" s="15"/>
      <c r="F109" s="15"/>
      <c r="G109" s="64"/>
      <c r="H109" s="17" t="str">
        <f t="shared" si="13"/>
        <v/>
      </c>
      <c r="I109" s="18"/>
      <c r="J109" s="61"/>
      <c r="K109" s="399"/>
      <c r="L109" s="420" t="str">
        <f t="shared" si="14"/>
        <v/>
      </c>
      <c r="M109" s="401" t="str">
        <f t="shared" si="12"/>
        <v/>
      </c>
    </row>
    <row r="110" spans="2:13" x14ac:dyDescent="0.25">
      <c r="B110" s="150"/>
      <c r="D110" s="15"/>
      <c r="E110" s="15"/>
      <c r="F110" s="15"/>
      <c r="G110" s="64"/>
      <c r="H110" s="17" t="str">
        <f t="shared" si="13"/>
        <v/>
      </c>
      <c r="I110" s="18"/>
      <c r="J110" s="61"/>
      <c r="K110" s="399" t="str">
        <f>IF(D110="","",ROUND(Labour_perc_roads*G110,1))</f>
        <v/>
      </c>
      <c r="L110" s="420" t="str">
        <f t="shared" si="14"/>
        <v/>
      </c>
      <c r="M110" s="401" t="str">
        <f t="shared" si="12"/>
        <v/>
      </c>
    </row>
    <row r="111" spans="2:13" x14ac:dyDescent="0.25">
      <c r="B111" s="780"/>
      <c r="C111" s="36"/>
      <c r="D111" s="15"/>
      <c r="E111" s="15"/>
      <c r="F111" s="15"/>
      <c r="G111" s="64"/>
      <c r="H111" s="17" t="str">
        <f t="shared" si="13"/>
        <v/>
      </c>
      <c r="I111" s="18"/>
      <c r="J111" s="61"/>
      <c r="K111" s="402"/>
      <c r="L111" s="420" t="str">
        <f t="shared" si="14"/>
        <v/>
      </c>
      <c r="M111" s="401" t="str">
        <f t="shared" si="12"/>
        <v/>
      </c>
    </row>
    <row r="112" spans="2:13" x14ac:dyDescent="0.25">
      <c r="B112" s="150"/>
      <c r="D112" s="15"/>
      <c r="E112" s="15"/>
      <c r="F112" s="15"/>
      <c r="G112" s="64"/>
      <c r="H112" s="17" t="str">
        <f t="shared" si="13"/>
        <v/>
      </c>
      <c r="I112" s="18"/>
      <c r="J112" s="61"/>
      <c r="K112" s="399" t="str">
        <f>IF(D112="","",ROUND(Labour_perc_roads*G112,1))</f>
        <v/>
      </c>
      <c r="L112" s="420" t="str">
        <f t="shared" si="14"/>
        <v/>
      </c>
      <c r="M112" s="401" t="str">
        <f t="shared" si="12"/>
        <v/>
      </c>
    </row>
    <row r="113" spans="2:13" x14ac:dyDescent="0.25">
      <c r="B113" s="780"/>
      <c r="C113" s="36"/>
      <c r="D113" s="15"/>
      <c r="E113" s="15"/>
      <c r="F113" s="15"/>
      <c r="G113" s="64"/>
      <c r="H113" s="17" t="str">
        <f t="shared" si="13"/>
        <v/>
      </c>
      <c r="I113" s="18"/>
      <c r="J113" s="61"/>
      <c r="K113" s="399"/>
      <c r="L113" s="420" t="str">
        <f t="shared" si="14"/>
        <v/>
      </c>
      <c r="M113" s="401" t="str">
        <f t="shared" si="12"/>
        <v/>
      </c>
    </row>
    <row r="114" spans="2:13" x14ac:dyDescent="0.25">
      <c r="B114" s="58"/>
      <c r="C114" s="50"/>
      <c r="D114" s="15"/>
      <c r="E114" s="15"/>
      <c r="F114" s="15"/>
      <c r="G114" s="64"/>
      <c r="H114" s="17" t="str">
        <f t="shared" si="13"/>
        <v/>
      </c>
      <c r="I114" s="18"/>
      <c r="J114" s="61"/>
      <c r="K114" s="399" t="str">
        <f>IF(D114="","",ROUND(Labour_perc_roads*G114,1))</f>
        <v/>
      </c>
      <c r="L114" s="420" t="str">
        <f t="shared" si="14"/>
        <v/>
      </c>
      <c r="M114" s="401" t="str">
        <f t="shared" si="12"/>
        <v/>
      </c>
    </row>
    <row r="115" spans="2:13" x14ac:dyDescent="0.25">
      <c r="B115" s="780"/>
      <c r="C115" s="55"/>
      <c r="D115" s="15"/>
      <c r="E115" s="15"/>
      <c r="F115" s="15"/>
      <c r="G115" s="64"/>
      <c r="H115" s="17" t="str">
        <f t="shared" si="13"/>
        <v/>
      </c>
      <c r="I115" s="18"/>
      <c r="J115" s="61"/>
      <c r="K115" s="399"/>
      <c r="L115" s="420" t="str">
        <f t="shared" si="14"/>
        <v/>
      </c>
      <c r="M115" s="401" t="str">
        <f t="shared" si="12"/>
        <v/>
      </c>
    </row>
    <row r="116" spans="2:13" x14ac:dyDescent="0.25">
      <c r="B116" s="150"/>
      <c r="D116" s="15"/>
      <c r="E116" s="15"/>
      <c r="F116" s="15"/>
      <c r="G116" s="64"/>
      <c r="H116" s="17" t="str">
        <f t="shared" ref="H116:H139" si="15">IF(D116="","",F116*G116)</f>
        <v/>
      </c>
      <c r="I116" s="18"/>
      <c r="J116" s="61"/>
      <c r="K116" s="62"/>
      <c r="L116" s="420" t="str">
        <f t="shared" si="14"/>
        <v/>
      </c>
      <c r="M116" s="401" t="str">
        <f t="shared" si="12"/>
        <v/>
      </c>
    </row>
    <row r="117" spans="2:13" x14ac:dyDescent="0.25">
      <c r="B117" s="780"/>
      <c r="C117" s="36"/>
      <c r="D117" s="15"/>
      <c r="E117" s="15"/>
      <c r="F117" s="15"/>
      <c r="G117" s="64"/>
      <c r="H117" s="17" t="str">
        <f t="shared" si="15"/>
        <v/>
      </c>
      <c r="I117" s="18"/>
      <c r="J117" s="61"/>
      <c r="K117" s="399"/>
      <c r="L117" s="420" t="str">
        <f t="shared" si="14"/>
        <v/>
      </c>
      <c r="M117" s="401" t="str">
        <f t="shared" si="12"/>
        <v/>
      </c>
    </row>
    <row r="118" spans="2:13" x14ac:dyDescent="0.25">
      <c r="B118" s="150"/>
      <c r="D118" s="15"/>
      <c r="E118" s="15"/>
      <c r="F118" s="15"/>
      <c r="G118" s="64"/>
      <c r="H118" s="17" t="str">
        <f t="shared" si="15"/>
        <v/>
      </c>
      <c r="I118" s="18"/>
      <c r="J118" s="61"/>
      <c r="K118" s="62"/>
      <c r="L118" s="420" t="str">
        <f t="shared" si="14"/>
        <v/>
      </c>
      <c r="M118" s="401" t="str">
        <f t="shared" si="12"/>
        <v/>
      </c>
    </row>
    <row r="119" spans="2:13" x14ac:dyDescent="0.25">
      <c r="B119" s="780"/>
      <c r="C119" s="36"/>
      <c r="D119" s="15"/>
      <c r="E119" s="15"/>
      <c r="F119" s="15"/>
      <c r="G119" s="64"/>
      <c r="H119" s="17" t="str">
        <f t="shared" si="15"/>
        <v/>
      </c>
      <c r="I119" s="18"/>
      <c r="J119" s="62"/>
      <c r="K119" s="62"/>
      <c r="L119" s="420" t="str">
        <f t="shared" si="14"/>
        <v/>
      </c>
      <c r="M119" s="401" t="str">
        <f t="shared" si="12"/>
        <v/>
      </c>
    </row>
    <row r="120" spans="2:13" x14ac:dyDescent="0.25">
      <c r="B120" s="150"/>
      <c r="D120" s="15"/>
      <c r="E120" s="15"/>
      <c r="F120" s="15"/>
      <c r="G120" s="64"/>
      <c r="H120" s="17" t="str">
        <f t="shared" si="15"/>
        <v/>
      </c>
      <c r="I120" s="18"/>
      <c r="J120" s="62"/>
      <c r="K120" s="62"/>
      <c r="L120" s="420" t="str">
        <f t="shared" si="14"/>
        <v/>
      </c>
      <c r="M120" s="401" t="str">
        <f t="shared" si="12"/>
        <v/>
      </c>
    </row>
    <row r="121" spans="2:13" x14ac:dyDescent="0.25">
      <c r="B121" s="780"/>
      <c r="C121" s="36"/>
      <c r="D121" s="15"/>
      <c r="E121" s="15"/>
      <c r="F121" s="15"/>
      <c r="G121" s="64"/>
      <c r="H121" s="17" t="str">
        <f t="shared" si="15"/>
        <v/>
      </c>
      <c r="I121" s="18"/>
      <c r="J121" s="62"/>
      <c r="K121" s="62"/>
      <c r="L121" s="420" t="str">
        <f t="shared" si="14"/>
        <v/>
      </c>
      <c r="M121" s="401" t="str">
        <f t="shared" si="12"/>
        <v/>
      </c>
    </row>
    <row r="122" spans="2:13" x14ac:dyDescent="0.25">
      <c r="B122" s="150"/>
      <c r="D122" s="15"/>
      <c r="E122" s="15"/>
      <c r="F122" s="15"/>
      <c r="G122" s="64"/>
      <c r="H122" s="17" t="str">
        <f t="shared" si="15"/>
        <v/>
      </c>
      <c r="I122" s="18"/>
      <c r="J122" s="62"/>
      <c r="K122" s="62"/>
      <c r="L122" s="420" t="str">
        <f t="shared" si="14"/>
        <v/>
      </c>
      <c r="M122" s="401" t="str">
        <f t="shared" si="12"/>
        <v/>
      </c>
    </row>
    <row r="123" spans="2:13" x14ac:dyDescent="0.25">
      <c r="B123" s="780"/>
      <c r="C123" s="36"/>
      <c r="D123" s="15"/>
      <c r="E123" s="15"/>
      <c r="F123" s="15"/>
      <c r="G123" s="64"/>
      <c r="H123" s="17" t="str">
        <f t="shared" si="15"/>
        <v/>
      </c>
      <c r="I123" s="18"/>
      <c r="J123" s="62"/>
      <c r="K123" s="62"/>
      <c r="L123" s="420" t="str">
        <f t="shared" si="14"/>
        <v/>
      </c>
      <c r="M123" s="401" t="str">
        <f t="shared" si="12"/>
        <v/>
      </c>
    </row>
    <row r="124" spans="2:13" x14ac:dyDescent="0.25">
      <c r="B124" s="150"/>
      <c r="D124" s="15"/>
      <c r="E124" s="15"/>
      <c r="F124" s="15"/>
      <c r="G124" s="64"/>
      <c r="H124" s="17" t="str">
        <f t="shared" si="15"/>
        <v/>
      </c>
      <c r="I124" s="18"/>
      <c r="J124" s="62"/>
      <c r="K124" s="62"/>
      <c r="L124" s="420" t="str">
        <f t="shared" si="14"/>
        <v/>
      </c>
      <c r="M124" s="401" t="str">
        <f t="shared" si="12"/>
        <v/>
      </c>
    </row>
    <row r="125" spans="2:13" x14ac:dyDescent="0.25">
      <c r="B125" s="780"/>
      <c r="C125" s="36"/>
      <c r="D125" s="15"/>
      <c r="E125" s="15"/>
      <c r="F125" s="15"/>
      <c r="G125" s="64"/>
      <c r="H125" s="17" t="str">
        <f t="shared" si="15"/>
        <v/>
      </c>
      <c r="I125" s="18"/>
      <c r="J125" s="62"/>
      <c r="K125" s="62"/>
      <c r="L125" s="420" t="str">
        <f t="shared" si="14"/>
        <v/>
      </c>
      <c r="M125" s="401" t="str">
        <f t="shared" si="12"/>
        <v/>
      </c>
    </row>
    <row r="126" spans="2:13" x14ac:dyDescent="0.25">
      <c r="B126" s="58"/>
      <c r="C126" s="50"/>
      <c r="D126" s="15"/>
      <c r="E126" s="15"/>
      <c r="F126" s="15"/>
      <c r="G126" s="64"/>
      <c r="H126" s="17" t="str">
        <f t="shared" si="15"/>
        <v/>
      </c>
      <c r="I126" s="18"/>
      <c r="J126" s="62"/>
      <c r="K126" s="62"/>
      <c r="L126" s="420" t="str">
        <f t="shared" si="14"/>
        <v/>
      </c>
      <c r="M126" s="401" t="str">
        <f t="shared" si="12"/>
        <v/>
      </c>
    </row>
    <row r="127" spans="2:13" x14ac:dyDescent="0.25">
      <c r="B127" s="780"/>
      <c r="C127" s="55"/>
      <c r="D127" s="15"/>
      <c r="E127" s="15"/>
      <c r="F127" s="15"/>
      <c r="G127" s="64"/>
      <c r="H127" s="17" t="str">
        <f t="shared" si="15"/>
        <v/>
      </c>
      <c r="I127" s="18"/>
      <c r="J127" s="62"/>
      <c r="K127" s="62"/>
      <c r="L127" s="420" t="str">
        <f t="shared" si="14"/>
        <v/>
      </c>
      <c r="M127" s="401" t="str">
        <f t="shared" si="12"/>
        <v/>
      </c>
    </row>
    <row r="128" spans="2:13" x14ac:dyDescent="0.25">
      <c r="B128" s="150"/>
      <c r="D128" s="15"/>
      <c r="E128" s="15"/>
      <c r="F128" s="15"/>
      <c r="G128" s="64"/>
      <c r="H128" s="17" t="str">
        <f t="shared" si="15"/>
        <v/>
      </c>
      <c r="I128" s="18"/>
      <c r="J128" s="62"/>
      <c r="K128" s="62"/>
      <c r="L128" s="420" t="str">
        <f t="shared" si="14"/>
        <v/>
      </c>
      <c r="M128" s="401" t="str">
        <f t="shared" si="12"/>
        <v/>
      </c>
    </row>
    <row r="129" spans="2:13" x14ac:dyDescent="0.25">
      <c r="B129" s="780"/>
      <c r="C129" s="36"/>
      <c r="D129" s="15"/>
      <c r="E129" s="15"/>
      <c r="F129" s="15"/>
      <c r="G129" s="64"/>
      <c r="H129" s="17" t="str">
        <f t="shared" si="15"/>
        <v/>
      </c>
      <c r="I129" s="18"/>
      <c r="J129" s="62"/>
      <c r="K129" s="62"/>
      <c r="L129" s="420" t="str">
        <f t="shared" si="14"/>
        <v/>
      </c>
      <c r="M129" s="401" t="str">
        <f t="shared" si="12"/>
        <v/>
      </c>
    </row>
    <row r="130" spans="2:13" x14ac:dyDescent="0.25">
      <c r="B130" s="150"/>
      <c r="D130" s="15"/>
      <c r="E130" s="15"/>
      <c r="F130" s="15"/>
      <c r="G130" s="64"/>
      <c r="H130" s="17" t="str">
        <f t="shared" si="15"/>
        <v/>
      </c>
      <c r="I130" s="18"/>
      <c r="J130" s="62"/>
      <c r="K130" s="62"/>
      <c r="L130" s="420" t="str">
        <f t="shared" si="14"/>
        <v/>
      </c>
      <c r="M130" s="401" t="str">
        <f t="shared" si="12"/>
        <v/>
      </c>
    </row>
    <row r="131" spans="2:13" x14ac:dyDescent="0.25">
      <c r="B131" s="780"/>
      <c r="C131" s="36"/>
      <c r="D131" s="15"/>
      <c r="E131" s="15"/>
      <c r="F131" s="15"/>
      <c r="G131" s="64"/>
      <c r="H131" s="17" t="str">
        <f t="shared" si="15"/>
        <v/>
      </c>
      <c r="I131" s="18"/>
      <c r="J131" s="62"/>
      <c r="K131" s="62"/>
      <c r="L131" s="420" t="str">
        <f t="shared" si="14"/>
        <v/>
      </c>
      <c r="M131" s="401" t="str">
        <f t="shared" si="12"/>
        <v/>
      </c>
    </row>
    <row r="132" spans="2:13" x14ac:dyDescent="0.25">
      <c r="B132" s="150"/>
      <c r="D132" s="15"/>
      <c r="E132" s="15"/>
      <c r="F132" s="15"/>
      <c r="G132" s="64"/>
      <c r="H132" s="17" t="str">
        <f t="shared" si="15"/>
        <v/>
      </c>
      <c r="I132" s="18"/>
      <c r="J132" s="62"/>
      <c r="K132" s="62"/>
      <c r="L132" s="420" t="str">
        <f t="shared" si="14"/>
        <v/>
      </c>
      <c r="M132" s="401" t="str">
        <f t="shared" si="12"/>
        <v/>
      </c>
    </row>
    <row r="133" spans="2:13" x14ac:dyDescent="0.25">
      <c r="B133" s="780"/>
      <c r="C133" s="36"/>
      <c r="D133" s="15"/>
      <c r="E133" s="15"/>
      <c r="F133" s="15"/>
      <c r="G133" s="64"/>
      <c r="H133" s="17" t="str">
        <f t="shared" si="15"/>
        <v/>
      </c>
      <c r="I133" s="18"/>
      <c r="J133" s="62"/>
      <c r="K133" s="62"/>
      <c r="L133" s="420" t="str">
        <f t="shared" si="14"/>
        <v/>
      </c>
      <c r="M133" s="401" t="str">
        <f t="shared" si="12"/>
        <v/>
      </c>
    </row>
    <row r="134" spans="2:13" x14ac:dyDescent="0.25">
      <c r="B134" s="150"/>
      <c r="D134" s="15"/>
      <c r="E134" s="15"/>
      <c r="F134" s="15"/>
      <c r="G134" s="64"/>
      <c r="H134" s="17" t="str">
        <f t="shared" si="15"/>
        <v/>
      </c>
      <c r="I134" s="18"/>
      <c r="J134" s="62"/>
      <c r="K134" s="62"/>
      <c r="L134" s="420" t="str">
        <f t="shared" si="14"/>
        <v/>
      </c>
      <c r="M134" s="401" t="str">
        <f t="shared" si="12"/>
        <v/>
      </c>
    </row>
    <row r="135" spans="2:13" x14ac:dyDescent="0.25">
      <c r="B135" s="780"/>
      <c r="C135" s="36"/>
      <c r="D135" s="15"/>
      <c r="E135" s="15"/>
      <c r="F135" s="15"/>
      <c r="G135" s="64"/>
      <c r="H135" s="17" t="str">
        <f t="shared" si="15"/>
        <v/>
      </c>
      <c r="I135" s="18"/>
      <c r="J135" s="62"/>
      <c r="K135" s="62"/>
      <c r="L135" s="420" t="str">
        <f t="shared" si="14"/>
        <v/>
      </c>
      <c r="M135" s="401" t="str">
        <f t="shared" si="12"/>
        <v/>
      </c>
    </row>
    <row r="136" spans="2:13" x14ac:dyDescent="0.25">
      <c r="B136" s="58"/>
      <c r="C136" s="50"/>
      <c r="D136" s="15"/>
      <c r="E136" s="15"/>
      <c r="F136" s="15"/>
      <c r="G136" s="64"/>
      <c r="H136" s="17" t="str">
        <f t="shared" si="15"/>
        <v/>
      </c>
      <c r="I136" s="18"/>
      <c r="J136" s="62"/>
      <c r="K136" s="62"/>
      <c r="L136" s="420" t="str">
        <f t="shared" si="14"/>
        <v/>
      </c>
      <c r="M136" s="401" t="str">
        <f t="shared" si="12"/>
        <v/>
      </c>
    </row>
    <row r="137" spans="2:13" x14ac:dyDescent="0.25">
      <c r="B137" s="58"/>
      <c r="C137" s="51"/>
      <c r="D137" s="15"/>
      <c r="E137" s="15"/>
      <c r="F137" s="15"/>
      <c r="G137" s="64"/>
      <c r="H137" s="17" t="str">
        <f t="shared" si="15"/>
        <v/>
      </c>
      <c r="I137" s="18"/>
      <c r="J137" s="62"/>
      <c r="K137" s="62"/>
      <c r="L137" s="62" t="str">
        <f t="shared" si="14"/>
        <v/>
      </c>
      <c r="M137" s="62" t="str">
        <f t="shared" si="12"/>
        <v/>
      </c>
    </row>
    <row r="138" spans="2:13" x14ac:dyDescent="0.25">
      <c r="B138" s="58"/>
      <c r="C138" s="51"/>
      <c r="D138" s="15"/>
      <c r="E138" s="15"/>
      <c r="F138" s="15"/>
      <c r="G138" s="64"/>
      <c r="H138" s="17" t="str">
        <f t="shared" si="15"/>
        <v/>
      </c>
      <c r="I138" s="18"/>
      <c r="J138" s="62"/>
      <c r="K138" s="62"/>
      <c r="L138" s="62" t="str">
        <f t="shared" si="14"/>
        <v/>
      </c>
      <c r="M138" s="62" t="str">
        <f t="shared" si="12"/>
        <v/>
      </c>
    </row>
    <row r="139" spans="2:13" x14ac:dyDescent="0.25">
      <c r="B139" s="58"/>
      <c r="C139" s="51"/>
      <c r="D139" s="15"/>
      <c r="E139" s="15"/>
      <c r="F139" s="15"/>
      <c r="G139" s="64"/>
      <c r="H139" s="17" t="str">
        <f t="shared" si="15"/>
        <v/>
      </c>
      <c r="I139" s="18"/>
      <c r="J139" s="62"/>
      <c r="K139" s="62"/>
      <c r="L139" s="62" t="str">
        <f t="shared" si="14"/>
        <v/>
      </c>
      <c r="M139" s="62" t="str">
        <f t="shared" si="12"/>
        <v/>
      </c>
    </row>
    <row r="140" spans="2:13" x14ac:dyDescent="0.25">
      <c r="B140" s="58"/>
      <c r="C140" s="51"/>
      <c r="D140" s="15"/>
      <c r="E140" s="15"/>
      <c r="F140" s="15"/>
      <c r="G140" s="64"/>
      <c r="H140" s="17"/>
      <c r="I140" s="18"/>
      <c r="J140" s="62"/>
      <c r="K140" s="62"/>
      <c r="L140" s="62"/>
      <c r="M140" s="62"/>
    </row>
    <row r="141" spans="2:13" x14ac:dyDescent="0.25">
      <c r="B141" s="58"/>
      <c r="C141" s="51"/>
      <c r="D141" s="15"/>
      <c r="E141" s="15"/>
      <c r="F141" s="15"/>
      <c r="G141" s="64"/>
      <c r="H141" s="17"/>
      <c r="I141" s="18"/>
      <c r="J141" s="62"/>
      <c r="K141" s="62"/>
      <c r="L141" s="62"/>
      <c r="M141" s="62"/>
    </row>
    <row r="142" spans="2:13" x14ac:dyDescent="0.25">
      <c r="B142" s="58"/>
      <c r="C142" s="51"/>
      <c r="D142" s="15"/>
      <c r="E142" s="15"/>
      <c r="F142" s="15"/>
      <c r="G142" s="64"/>
      <c r="H142" s="17"/>
      <c r="I142" s="18"/>
      <c r="J142" s="62"/>
      <c r="K142" s="62"/>
      <c r="L142" s="62"/>
      <c r="M142" s="62"/>
    </row>
    <row r="143" spans="2:13" x14ac:dyDescent="0.25">
      <c r="B143" s="58"/>
      <c r="C143" s="51"/>
      <c r="D143" s="15"/>
      <c r="E143" s="15"/>
      <c r="F143" s="15"/>
      <c r="G143" s="64"/>
      <c r="H143" s="17" t="str">
        <f t="shared" ref="H143:H151" si="16">IF(D143="","",F143*G143)</f>
        <v/>
      </c>
      <c r="I143" s="18"/>
      <c r="J143" s="62"/>
      <c r="K143" s="62"/>
      <c r="L143" s="62" t="str">
        <f t="shared" ref="L143:L151" si="17">IF(J143="","",F143*K143)</f>
        <v/>
      </c>
      <c r="M143" s="62" t="str">
        <f t="shared" ref="M143:M152" si="18">IF(J143="","",IF(SUM(H143)=0,"",L143/H143))</f>
        <v/>
      </c>
    </row>
    <row r="144" spans="2:13" x14ac:dyDescent="0.25">
      <c r="B144" s="58"/>
      <c r="C144" s="51"/>
      <c r="D144" s="15"/>
      <c r="E144" s="15"/>
      <c r="F144" s="15"/>
      <c r="G144" s="64"/>
      <c r="H144" s="17" t="str">
        <f t="shared" si="16"/>
        <v/>
      </c>
      <c r="I144" s="18"/>
      <c r="J144" s="62"/>
      <c r="K144" s="62"/>
      <c r="L144" s="62" t="str">
        <f t="shared" si="17"/>
        <v/>
      </c>
      <c r="M144" s="62" t="str">
        <f t="shared" si="18"/>
        <v/>
      </c>
    </row>
    <row r="145" spans="2:13" x14ac:dyDescent="0.25">
      <c r="B145" s="58"/>
      <c r="C145" s="51"/>
      <c r="D145" s="15"/>
      <c r="E145" s="15"/>
      <c r="F145" s="15"/>
      <c r="G145" s="64"/>
      <c r="H145" s="17" t="str">
        <f t="shared" si="16"/>
        <v/>
      </c>
      <c r="I145" s="18"/>
      <c r="J145" s="62"/>
      <c r="K145" s="62"/>
      <c r="L145" s="62" t="str">
        <f t="shared" si="17"/>
        <v/>
      </c>
      <c r="M145" s="62" t="str">
        <f t="shared" si="18"/>
        <v/>
      </c>
    </row>
    <row r="146" spans="2:13" x14ac:dyDescent="0.25">
      <c r="B146" s="58"/>
      <c r="C146" s="51"/>
      <c r="D146" s="15"/>
      <c r="E146" s="15"/>
      <c r="F146" s="15"/>
      <c r="G146" s="64"/>
      <c r="H146" s="17" t="str">
        <f t="shared" si="16"/>
        <v/>
      </c>
      <c r="I146" s="18"/>
      <c r="J146" s="62"/>
      <c r="K146" s="62"/>
      <c r="L146" s="62" t="str">
        <f t="shared" si="17"/>
        <v/>
      </c>
      <c r="M146" s="62" t="str">
        <f t="shared" si="18"/>
        <v/>
      </c>
    </row>
    <row r="147" spans="2:13" x14ac:dyDescent="0.25">
      <c r="B147" s="58"/>
      <c r="C147" s="51"/>
      <c r="D147" s="15"/>
      <c r="E147" s="15"/>
      <c r="F147" s="15"/>
      <c r="G147" s="64"/>
      <c r="H147" s="17" t="str">
        <f t="shared" si="16"/>
        <v/>
      </c>
      <c r="I147" s="18"/>
      <c r="J147" s="62"/>
      <c r="K147" s="62"/>
      <c r="L147" s="62" t="str">
        <f t="shared" si="17"/>
        <v/>
      </c>
      <c r="M147" s="62" t="str">
        <f t="shared" si="18"/>
        <v/>
      </c>
    </row>
    <row r="148" spans="2:13" x14ac:dyDescent="0.25">
      <c r="B148" s="58"/>
      <c r="C148" s="51"/>
      <c r="D148" s="15"/>
      <c r="E148" s="15"/>
      <c r="F148" s="15"/>
      <c r="G148" s="64"/>
      <c r="H148" s="17" t="str">
        <f t="shared" si="16"/>
        <v/>
      </c>
      <c r="I148" s="18"/>
      <c r="J148" s="62"/>
      <c r="K148" s="62"/>
      <c r="L148" s="420" t="str">
        <f t="shared" si="17"/>
        <v/>
      </c>
      <c r="M148" s="401" t="str">
        <f t="shared" si="18"/>
        <v/>
      </c>
    </row>
    <row r="149" spans="2:13" x14ac:dyDescent="0.25">
      <c r="B149" s="58"/>
      <c r="C149" s="51"/>
      <c r="D149" s="15"/>
      <c r="E149" s="15"/>
      <c r="F149" s="15"/>
      <c r="G149" s="64"/>
      <c r="H149" s="17" t="str">
        <f t="shared" si="16"/>
        <v/>
      </c>
      <c r="I149" s="18"/>
      <c r="J149" s="62"/>
      <c r="K149" s="62"/>
      <c r="L149" s="62" t="str">
        <f t="shared" si="17"/>
        <v/>
      </c>
      <c r="M149" s="62" t="str">
        <f t="shared" si="18"/>
        <v/>
      </c>
    </row>
    <row r="150" spans="2:13" x14ac:dyDescent="0.25">
      <c r="B150" s="58"/>
      <c r="C150" s="51"/>
      <c r="D150" s="15"/>
      <c r="E150" s="15"/>
      <c r="F150" s="15"/>
      <c r="G150" s="64"/>
      <c r="H150" s="17" t="str">
        <f t="shared" si="16"/>
        <v/>
      </c>
      <c r="I150" s="18"/>
      <c r="J150" s="61"/>
      <c r="K150" s="62"/>
      <c r="L150" s="420" t="str">
        <f t="shared" si="17"/>
        <v/>
      </c>
      <c r="M150" s="401" t="str">
        <f t="shared" si="18"/>
        <v/>
      </c>
    </row>
    <row r="151" spans="2:13" x14ac:dyDescent="0.25">
      <c r="B151" s="150"/>
      <c r="C151" s="50"/>
      <c r="D151" s="15"/>
      <c r="E151" s="15"/>
      <c r="F151" s="15"/>
      <c r="G151" s="64"/>
      <c r="H151" s="17" t="str">
        <f t="shared" si="16"/>
        <v/>
      </c>
      <c r="I151" s="18"/>
      <c r="J151" s="592"/>
      <c r="K151" s="711"/>
      <c r="L151" s="746" t="str">
        <f t="shared" si="17"/>
        <v/>
      </c>
      <c r="M151" s="747" t="str">
        <f t="shared" si="18"/>
        <v/>
      </c>
    </row>
    <row r="152" spans="2:13" s="28" customFormat="1" ht="19.5" customHeight="1" x14ac:dyDescent="0.25">
      <c r="B152" s="135" t="str">
        <f>$B$12</f>
        <v>C4.2</v>
      </c>
      <c r="C152" s="30" t="str">
        <f>"TOTAL CARRIED FORWARD"&amp;IF(H152=H$1," TO SUMMARY (Page C"&amp;Page_A&amp;")","")</f>
        <v>TOTAL CARRIED FORWARD TO SUMMARY (Page C48)</v>
      </c>
      <c r="D152" s="31"/>
      <c r="E152" s="31"/>
      <c r="F152" s="32"/>
      <c r="G152" s="31"/>
      <c r="H152" s="33">
        <f>SUM(H83:H151)</f>
        <v>0</v>
      </c>
      <c r="I152" s="34"/>
      <c r="J152" s="408"/>
      <c r="K152" s="406"/>
      <c r="L152" s="418">
        <f>SUM(L83:L151)</f>
        <v>0</v>
      </c>
      <c r="M152" s="407" t="str">
        <f t="shared" si="18"/>
        <v/>
      </c>
    </row>
    <row r="153" spans="2:13" ht="13" x14ac:dyDescent="0.25">
      <c r="B153" s="1108" t="str">
        <f>Client1</f>
        <v>Province of KwaZulu-Natal</v>
      </c>
      <c r="C153" s="1108"/>
      <c r="D153" s="1108"/>
      <c r="E153" s="87"/>
      <c r="F153" s="1109" t="str">
        <f>"Contract No. "&amp;ContractNo</f>
        <v>Contract No. ZNB 00399/00000/HOD/INF/21/T</v>
      </c>
      <c r="G153" s="1109"/>
      <c r="H153" s="1109"/>
    </row>
    <row r="154" spans="2:13" ht="13" x14ac:dyDescent="0.25">
      <c r="B154" s="1108" t="str">
        <f>Client2</f>
        <v>Department of Transport</v>
      </c>
      <c r="C154" s="1108"/>
      <c r="D154" s="1108"/>
      <c r="E154" s="87"/>
      <c r="F154" s="1109"/>
      <c r="G154" s="1109"/>
      <c r="H154" s="1109"/>
    </row>
    <row r="155" spans="2:13" x14ac:dyDescent="0.25">
      <c r="B155" s="1111"/>
      <c r="C155" s="1111"/>
      <c r="D155" s="1111"/>
      <c r="E155" s="78"/>
      <c r="F155" s="1110"/>
      <c r="G155" s="1110"/>
      <c r="H155" s="1110"/>
    </row>
    <row r="156" spans="2:13" ht="13" x14ac:dyDescent="0.25">
      <c r="B156" s="1112" t="s">
        <v>8</v>
      </c>
      <c r="C156" s="1113"/>
      <c r="D156" s="1113"/>
      <c r="E156" s="1113"/>
      <c r="F156" s="1113"/>
      <c r="G156" s="1113"/>
      <c r="H156" s="1128" t="str">
        <f>$H$6</f>
        <v>CHAPTER C4.2</v>
      </c>
      <c r="I156" s="6"/>
    </row>
    <row r="157" spans="2:13" ht="13" x14ac:dyDescent="0.25">
      <c r="B157" s="1117" t="str">
        <f>ContractDescription</f>
        <v>THE CONSTRUCTION OF EARTHWORKS, LAYERWORKS, SURFACING, CULVERTS AND CWAKA RIVER BRIDGE FROM KM 11.600 TO KM 14.000 ON MAIN ROAD P494 IN THE KING CETSHWAYO DISTRICT UNDER EMPANGENI REGION</v>
      </c>
      <c r="C157" s="1118"/>
      <c r="D157" s="1118"/>
      <c r="E157" s="1118"/>
      <c r="F157" s="1118"/>
      <c r="G157" s="1118"/>
      <c r="H157" s="1109"/>
      <c r="I157" s="8"/>
    </row>
    <row r="158" spans="2:13" ht="13" x14ac:dyDescent="0.25">
      <c r="B158" s="1117"/>
      <c r="C158" s="1118"/>
      <c r="D158" s="1118"/>
      <c r="E158" s="1118"/>
      <c r="F158" s="1118"/>
      <c r="G158" s="1118"/>
      <c r="H158" s="1109"/>
      <c r="I158" s="8"/>
    </row>
    <row r="159" spans="2:13" ht="13" x14ac:dyDescent="0.25">
      <c r="B159" s="1119"/>
      <c r="C159" s="1120"/>
      <c r="D159" s="1120"/>
      <c r="E159" s="1120"/>
      <c r="F159" s="1120"/>
      <c r="G159" s="1120"/>
      <c r="H159" s="1110"/>
      <c r="I159" s="8"/>
    </row>
    <row r="160" spans="2:13" s="9" customFormat="1" ht="25" customHeight="1" x14ac:dyDescent="0.25">
      <c r="B160" s="74" t="s">
        <v>0</v>
      </c>
      <c r="C160" s="11" t="s">
        <v>1</v>
      </c>
      <c r="D160" s="11" t="s">
        <v>2</v>
      </c>
      <c r="E160" s="11"/>
      <c r="F160" s="11" t="s">
        <v>3</v>
      </c>
      <c r="G160" s="11" t="s">
        <v>4</v>
      </c>
      <c r="H160" s="11" t="s">
        <v>5</v>
      </c>
      <c r="I160" s="12"/>
      <c r="J160" s="408" t="s">
        <v>996</v>
      </c>
      <c r="K160" s="253" t="s">
        <v>997</v>
      </c>
      <c r="L160" s="253" t="s">
        <v>998</v>
      </c>
      <c r="M160" s="253" t="s">
        <v>999</v>
      </c>
    </row>
    <row r="161" spans="2:13" s="28" customFormat="1" ht="19.5" customHeight="1" x14ac:dyDescent="0.25">
      <c r="B161" s="80"/>
      <c r="C161" s="30" t="s">
        <v>27</v>
      </c>
      <c r="D161" s="31"/>
      <c r="E161" s="31"/>
      <c r="F161" s="32"/>
      <c r="G161" s="31"/>
      <c r="H161" s="33">
        <f>H152</f>
        <v>0</v>
      </c>
      <c r="I161" s="34"/>
      <c r="J161" s="744"/>
      <c r="K161" s="409"/>
      <c r="L161" s="418">
        <f>L152</f>
        <v>0</v>
      </c>
      <c r="M161" s="410" t="str">
        <f t="shared" ref="M161:M224" si="19">IF(J161="","",IF(SUM(H161)=0,"",L161/H161))</f>
        <v/>
      </c>
    </row>
    <row r="162" spans="2:13" x14ac:dyDescent="0.25">
      <c r="B162" s="150"/>
      <c r="C162" s="50"/>
      <c r="D162" s="15"/>
      <c r="E162" s="15"/>
      <c r="F162" s="15"/>
      <c r="G162" s="64"/>
      <c r="H162" s="17" t="str">
        <f t="shared" ref="H162:H225" si="20">IF(D162="","",F162*G162)</f>
        <v/>
      </c>
      <c r="I162" s="18"/>
      <c r="J162" s="61"/>
      <c r="K162" s="399"/>
      <c r="L162" s="420" t="str">
        <f t="shared" ref="L162:L225" si="21">IF(J162="","",F162*K162)</f>
        <v/>
      </c>
      <c r="M162" s="401" t="str">
        <f t="shared" si="19"/>
        <v/>
      </c>
    </row>
    <row r="163" spans="2:13" x14ac:dyDescent="0.25">
      <c r="B163" s="780"/>
      <c r="C163" s="36"/>
      <c r="D163" s="15"/>
      <c r="E163" s="15"/>
      <c r="F163" s="15"/>
      <c r="G163" s="64"/>
      <c r="H163" s="17" t="str">
        <f t="shared" si="20"/>
        <v/>
      </c>
      <c r="I163" s="18"/>
      <c r="J163" s="61"/>
      <c r="K163" s="399"/>
      <c r="L163" s="420" t="str">
        <f t="shared" si="21"/>
        <v/>
      </c>
      <c r="M163" s="401" t="str">
        <f t="shared" si="19"/>
        <v/>
      </c>
    </row>
    <row r="164" spans="2:13" x14ac:dyDescent="0.25">
      <c r="B164" s="150"/>
      <c r="C164" s="50"/>
      <c r="D164" s="15"/>
      <c r="E164" s="15"/>
      <c r="F164" s="15"/>
      <c r="G164" s="64"/>
      <c r="H164" s="17" t="str">
        <f t="shared" si="20"/>
        <v/>
      </c>
      <c r="I164" s="18"/>
      <c r="J164" s="61"/>
      <c r="K164" s="399"/>
      <c r="L164" s="420" t="str">
        <f t="shared" si="21"/>
        <v/>
      </c>
      <c r="M164" s="401" t="str">
        <f t="shared" si="19"/>
        <v/>
      </c>
    </row>
    <row r="165" spans="2:13" x14ac:dyDescent="0.25">
      <c r="B165" s="780"/>
      <c r="C165" s="36"/>
      <c r="D165" s="15"/>
      <c r="E165" s="15"/>
      <c r="F165" s="15"/>
      <c r="G165" s="67"/>
      <c r="H165" s="743" t="str">
        <f t="shared" si="20"/>
        <v/>
      </c>
      <c r="I165" s="18"/>
      <c r="J165" s="61"/>
      <c r="K165" s="399"/>
      <c r="L165" s="420" t="str">
        <f t="shared" si="21"/>
        <v/>
      </c>
      <c r="M165" s="401" t="str">
        <f t="shared" si="19"/>
        <v/>
      </c>
    </row>
    <row r="166" spans="2:13" x14ac:dyDescent="0.25">
      <c r="B166" s="58"/>
      <c r="C166" s="50"/>
      <c r="D166" s="15"/>
      <c r="E166" s="15"/>
      <c r="F166" s="15"/>
      <c r="G166" s="67"/>
      <c r="H166" s="743" t="str">
        <f t="shared" si="20"/>
        <v/>
      </c>
      <c r="I166" s="18"/>
      <c r="J166" s="61"/>
      <c r="K166" s="400"/>
      <c r="L166" s="420" t="str">
        <f t="shared" si="21"/>
        <v/>
      </c>
      <c r="M166" s="401" t="str">
        <f t="shared" si="19"/>
        <v/>
      </c>
    </row>
    <row r="167" spans="2:13" x14ac:dyDescent="0.25">
      <c r="B167" s="58"/>
      <c r="C167" s="36"/>
      <c r="D167" s="15"/>
      <c r="E167" s="15"/>
      <c r="F167" s="580"/>
      <c r="G167" s="67"/>
      <c r="H167" s="743" t="str">
        <f t="shared" si="20"/>
        <v/>
      </c>
      <c r="I167" s="18"/>
      <c r="J167" s="61"/>
      <c r="K167" s="399"/>
      <c r="L167" s="420" t="str">
        <f t="shared" si="21"/>
        <v/>
      </c>
      <c r="M167" s="401" t="str">
        <f t="shared" si="19"/>
        <v/>
      </c>
    </row>
    <row r="168" spans="2:13" x14ac:dyDescent="0.25">
      <c r="B168" s="58"/>
      <c r="D168" s="15"/>
      <c r="E168" s="15"/>
      <c r="F168" s="15"/>
      <c r="G168" s="67"/>
      <c r="H168" s="743" t="str">
        <f t="shared" si="20"/>
        <v/>
      </c>
      <c r="I168" s="18"/>
      <c r="J168" s="61"/>
      <c r="K168" s="399"/>
      <c r="L168" s="420" t="str">
        <f t="shared" si="21"/>
        <v/>
      </c>
      <c r="M168" s="401" t="str">
        <f t="shared" si="19"/>
        <v/>
      </c>
    </row>
    <row r="169" spans="2:13" x14ac:dyDescent="0.25">
      <c r="B169" s="58"/>
      <c r="C169" s="36"/>
      <c r="D169" s="15"/>
      <c r="E169" s="15"/>
      <c r="F169" s="15"/>
      <c r="G169" s="67"/>
      <c r="H169" s="743" t="str">
        <f t="shared" si="20"/>
        <v/>
      </c>
      <c r="I169" s="18"/>
      <c r="J169" s="61"/>
      <c r="K169" s="399"/>
      <c r="L169" s="420" t="str">
        <f t="shared" si="21"/>
        <v/>
      </c>
      <c r="M169" s="401" t="str">
        <f t="shared" si="19"/>
        <v/>
      </c>
    </row>
    <row r="170" spans="2:13" x14ac:dyDescent="0.25">
      <c r="B170" s="58"/>
      <c r="D170" s="15"/>
      <c r="E170" s="15"/>
      <c r="F170" s="15"/>
      <c r="G170" s="67"/>
      <c r="H170" s="743" t="str">
        <f t="shared" si="20"/>
        <v/>
      </c>
      <c r="I170" s="18"/>
      <c r="J170" s="61"/>
      <c r="K170" s="402"/>
      <c r="L170" s="420" t="str">
        <f t="shared" si="21"/>
        <v/>
      </c>
      <c r="M170" s="401" t="str">
        <f t="shared" si="19"/>
        <v/>
      </c>
    </row>
    <row r="171" spans="2:13" x14ac:dyDescent="0.25">
      <c r="B171" s="58"/>
      <c r="C171" s="36"/>
      <c r="D171" s="15"/>
      <c r="E171" s="15"/>
      <c r="F171" s="580"/>
      <c r="G171" s="67"/>
      <c r="H171" s="743" t="str">
        <f t="shared" si="20"/>
        <v/>
      </c>
      <c r="I171" s="18"/>
      <c r="J171" s="61"/>
      <c r="K171" s="399"/>
      <c r="L171" s="420" t="str">
        <f t="shared" si="21"/>
        <v/>
      </c>
      <c r="M171" s="401" t="str">
        <f t="shared" si="19"/>
        <v/>
      </c>
    </row>
    <row r="172" spans="2:13" x14ac:dyDescent="0.25">
      <c r="B172" s="58"/>
      <c r="D172" s="15"/>
      <c r="E172" s="15"/>
      <c r="F172" s="15"/>
      <c r="G172" s="67"/>
      <c r="H172" s="743" t="str">
        <f t="shared" si="20"/>
        <v/>
      </c>
      <c r="I172" s="18"/>
      <c r="J172" s="61"/>
      <c r="K172" s="402"/>
      <c r="L172" s="420" t="str">
        <f t="shared" si="21"/>
        <v/>
      </c>
      <c r="M172" s="401" t="str">
        <f t="shared" si="19"/>
        <v/>
      </c>
    </row>
    <row r="173" spans="2:13" x14ac:dyDescent="0.25">
      <c r="B173" s="58"/>
      <c r="C173" s="55"/>
      <c r="D173" s="15"/>
      <c r="E173" s="15"/>
      <c r="F173" s="580"/>
      <c r="G173" s="67"/>
      <c r="H173" s="743" t="str">
        <f t="shared" si="20"/>
        <v/>
      </c>
      <c r="I173" s="18"/>
      <c r="J173" s="61"/>
      <c r="K173" s="399"/>
      <c r="L173" s="420" t="str">
        <f t="shared" si="21"/>
        <v/>
      </c>
      <c r="M173" s="401" t="str">
        <f t="shared" si="19"/>
        <v/>
      </c>
    </row>
    <row r="174" spans="2:13" x14ac:dyDescent="0.25">
      <c r="B174" s="58"/>
      <c r="D174" s="15"/>
      <c r="E174" s="15"/>
      <c r="F174" s="15"/>
      <c r="G174" s="64"/>
      <c r="H174" s="17" t="str">
        <f t="shared" si="20"/>
        <v/>
      </c>
      <c r="I174" s="18"/>
      <c r="J174" s="61"/>
      <c r="K174" s="399"/>
      <c r="L174" s="420" t="str">
        <f t="shared" si="21"/>
        <v/>
      </c>
      <c r="M174" s="401" t="str">
        <f t="shared" si="19"/>
        <v/>
      </c>
    </row>
    <row r="175" spans="2:13" x14ac:dyDescent="0.25">
      <c r="B175" s="780"/>
      <c r="C175" s="36"/>
      <c r="D175" s="15"/>
      <c r="E175" s="15"/>
      <c r="F175" s="15"/>
      <c r="G175" s="64"/>
      <c r="H175" s="17" t="str">
        <f t="shared" si="20"/>
        <v/>
      </c>
      <c r="I175" s="18"/>
      <c r="J175" s="61"/>
      <c r="K175" s="399"/>
      <c r="L175" s="420" t="str">
        <f t="shared" si="21"/>
        <v/>
      </c>
      <c r="M175" s="401" t="str">
        <f t="shared" si="19"/>
        <v/>
      </c>
    </row>
    <row r="176" spans="2:13" x14ac:dyDescent="0.25">
      <c r="B176" s="150"/>
      <c r="D176" s="15"/>
      <c r="E176" s="15"/>
      <c r="F176" s="15"/>
      <c r="G176" s="64"/>
      <c r="H176" s="17" t="str">
        <f t="shared" si="20"/>
        <v/>
      </c>
      <c r="I176" s="18"/>
      <c r="J176" s="61"/>
      <c r="K176" s="399"/>
      <c r="L176" s="420" t="str">
        <f t="shared" si="21"/>
        <v/>
      </c>
      <c r="M176" s="401" t="str">
        <f t="shared" si="19"/>
        <v/>
      </c>
    </row>
    <row r="177" spans="2:13" x14ac:dyDescent="0.25">
      <c r="B177" s="780"/>
      <c r="C177" s="55"/>
      <c r="D177" s="15"/>
      <c r="E177" s="15"/>
      <c r="F177" s="15"/>
      <c r="G177" s="64"/>
      <c r="H177" s="17" t="str">
        <f t="shared" si="20"/>
        <v/>
      </c>
      <c r="I177" s="18"/>
      <c r="J177" s="61"/>
      <c r="K177" s="399"/>
      <c r="L177" s="420" t="str">
        <f t="shared" si="21"/>
        <v/>
      </c>
      <c r="M177" s="401" t="str">
        <f t="shared" si="19"/>
        <v/>
      </c>
    </row>
    <row r="178" spans="2:13" ht="13" x14ac:dyDescent="0.25">
      <c r="B178" s="146"/>
      <c r="C178" s="132"/>
      <c r="D178" s="15"/>
      <c r="E178" s="15"/>
      <c r="F178" s="15"/>
      <c r="G178" s="64"/>
      <c r="H178" s="17" t="str">
        <f t="shared" si="20"/>
        <v/>
      </c>
      <c r="I178" s="18"/>
      <c r="J178" s="61"/>
      <c r="K178" s="399"/>
      <c r="L178" s="420" t="str">
        <f t="shared" si="21"/>
        <v/>
      </c>
      <c r="M178" s="401" t="str">
        <f t="shared" si="19"/>
        <v/>
      </c>
    </row>
    <row r="179" spans="2:13" ht="13" x14ac:dyDescent="0.25">
      <c r="B179" s="146"/>
      <c r="C179" s="132"/>
      <c r="D179" s="15"/>
      <c r="E179" s="15"/>
      <c r="F179" s="15"/>
      <c r="G179" s="64"/>
      <c r="H179" s="17" t="str">
        <f t="shared" si="20"/>
        <v/>
      </c>
      <c r="I179" s="18"/>
      <c r="J179" s="61"/>
      <c r="K179" s="399"/>
      <c r="L179" s="420" t="str">
        <f t="shared" si="21"/>
        <v/>
      </c>
      <c r="M179" s="401" t="str">
        <f t="shared" si="19"/>
        <v/>
      </c>
    </row>
    <row r="180" spans="2:13" ht="13" x14ac:dyDescent="0.25">
      <c r="B180" s="146"/>
      <c r="C180" s="132"/>
      <c r="D180" s="15"/>
      <c r="E180" s="15"/>
      <c r="F180" s="15"/>
      <c r="G180" s="64"/>
      <c r="H180" s="17" t="str">
        <f t="shared" si="20"/>
        <v/>
      </c>
      <c r="I180" s="18"/>
      <c r="J180" s="61"/>
      <c r="K180" s="399"/>
      <c r="L180" s="420" t="str">
        <f t="shared" si="21"/>
        <v/>
      </c>
      <c r="M180" s="401" t="str">
        <f t="shared" si="19"/>
        <v/>
      </c>
    </row>
    <row r="181" spans="2:13" ht="13" x14ac:dyDescent="0.25">
      <c r="B181" s="146"/>
      <c r="C181" s="132"/>
      <c r="D181" s="15"/>
      <c r="E181" s="15"/>
      <c r="F181" s="15"/>
      <c r="G181" s="64"/>
      <c r="H181" s="17" t="str">
        <f t="shared" si="20"/>
        <v/>
      </c>
      <c r="I181" s="18"/>
      <c r="J181" s="61"/>
      <c r="K181" s="399"/>
      <c r="L181" s="420" t="str">
        <f t="shared" si="21"/>
        <v/>
      </c>
      <c r="M181" s="401" t="str">
        <f t="shared" si="19"/>
        <v/>
      </c>
    </row>
    <row r="182" spans="2:13" ht="13" x14ac:dyDescent="0.25">
      <c r="B182" s="146"/>
      <c r="C182" s="132"/>
      <c r="D182" s="15"/>
      <c r="E182" s="15"/>
      <c r="F182" s="15"/>
      <c r="G182" s="64"/>
      <c r="H182" s="17" t="str">
        <f t="shared" si="20"/>
        <v/>
      </c>
      <c r="I182" s="18"/>
      <c r="J182" s="61"/>
      <c r="K182" s="399"/>
      <c r="L182" s="420" t="str">
        <f t="shared" si="21"/>
        <v/>
      </c>
      <c r="M182" s="401" t="str">
        <f t="shared" si="19"/>
        <v/>
      </c>
    </row>
    <row r="183" spans="2:13" ht="13" x14ac:dyDescent="0.25">
      <c r="B183" s="146"/>
      <c r="C183" s="132"/>
      <c r="D183" s="15"/>
      <c r="E183" s="15"/>
      <c r="F183" s="15"/>
      <c r="G183" s="64"/>
      <c r="H183" s="17" t="str">
        <f t="shared" si="20"/>
        <v/>
      </c>
      <c r="I183" s="18"/>
      <c r="J183" s="61"/>
      <c r="K183" s="399"/>
      <c r="L183" s="420" t="str">
        <f t="shared" si="21"/>
        <v/>
      </c>
      <c r="M183" s="401" t="str">
        <f t="shared" si="19"/>
        <v/>
      </c>
    </row>
    <row r="184" spans="2:13" ht="13" x14ac:dyDescent="0.25">
      <c r="B184" s="146"/>
      <c r="C184" s="132"/>
      <c r="D184" s="15"/>
      <c r="E184" s="15"/>
      <c r="F184" s="15"/>
      <c r="G184" s="64"/>
      <c r="H184" s="17" t="str">
        <f t="shared" si="20"/>
        <v/>
      </c>
      <c r="I184" s="18"/>
      <c r="J184" s="61"/>
      <c r="K184" s="399"/>
      <c r="L184" s="420" t="str">
        <f t="shared" si="21"/>
        <v/>
      </c>
      <c r="M184" s="401" t="str">
        <f t="shared" si="19"/>
        <v/>
      </c>
    </row>
    <row r="185" spans="2:13" ht="13" x14ac:dyDescent="0.25">
      <c r="B185" s="146"/>
      <c r="C185" s="132"/>
      <c r="D185" s="15"/>
      <c r="E185" s="15"/>
      <c r="F185" s="15"/>
      <c r="G185" s="64"/>
      <c r="H185" s="17" t="str">
        <f t="shared" si="20"/>
        <v/>
      </c>
      <c r="I185" s="18"/>
      <c r="J185" s="61"/>
      <c r="K185" s="399"/>
      <c r="L185" s="420" t="str">
        <f t="shared" si="21"/>
        <v/>
      </c>
      <c r="M185" s="401" t="str">
        <f t="shared" si="19"/>
        <v/>
      </c>
    </row>
    <row r="186" spans="2:13" ht="13" x14ac:dyDescent="0.25">
      <c r="B186" s="146"/>
      <c r="C186" s="132"/>
      <c r="D186" s="15"/>
      <c r="E186" s="15"/>
      <c r="F186" s="15"/>
      <c r="G186" s="64"/>
      <c r="H186" s="17" t="str">
        <f t="shared" si="20"/>
        <v/>
      </c>
      <c r="I186" s="18"/>
      <c r="J186" s="61"/>
      <c r="K186" s="402"/>
      <c r="L186" s="420" t="str">
        <f t="shared" si="21"/>
        <v/>
      </c>
      <c r="M186" s="401" t="str">
        <f t="shared" si="19"/>
        <v/>
      </c>
    </row>
    <row r="187" spans="2:13" ht="13" x14ac:dyDescent="0.25">
      <c r="B187" s="146"/>
      <c r="C187" s="132"/>
      <c r="D187" s="15"/>
      <c r="E187" s="15"/>
      <c r="F187" s="15"/>
      <c r="G187" s="64"/>
      <c r="H187" s="17" t="str">
        <f t="shared" si="20"/>
        <v/>
      </c>
      <c r="I187" s="18"/>
      <c r="J187" s="61"/>
      <c r="K187" s="399"/>
      <c r="L187" s="420" t="str">
        <f t="shared" si="21"/>
        <v/>
      </c>
      <c r="M187" s="401" t="str">
        <f t="shared" si="19"/>
        <v/>
      </c>
    </row>
    <row r="188" spans="2:13" ht="13" x14ac:dyDescent="0.25">
      <c r="B188" s="146"/>
      <c r="C188" s="132"/>
      <c r="D188" s="15"/>
      <c r="E188" s="15"/>
      <c r="F188" s="15"/>
      <c r="G188" s="64"/>
      <c r="H188" s="17" t="str">
        <f t="shared" si="20"/>
        <v/>
      </c>
      <c r="I188" s="18"/>
      <c r="J188" s="61"/>
      <c r="K188" s="399"/>
      <c r="L188" s="420" t="str">
        <f t="shared" si="21"/>
        <v/>
      </c>
      <c r="M188" s="401" t="str">
        <f t="shared" si="19"/>
        <v/>
      </c>
    </row>
    <row r="189" spans="2:13" ht="13" x14ac:dyDescent="0.25">
      <c r="B189" s="146"/>
      <c r="C189" s="132"/>
      <c r="D189" s="15"/>
      <c r="E189" s="15"/>
      <c r="F189" s="15"/>
      <c r="G189" s="64"/>
      <c r="H189" s="17" t="str">
        <f t="shared" si="20"/>
        <v/>
      </c>
      <c r="I189" s="18"/>
      <c r="J189" s="61"/>
      <c r="K189" s="402"/>
      <c r="L189" s="420" t="str">
        <f t="shared" si="21"/>
        <v/>
      </c>
      <c r="M189" s="401" t="str">
        <f t="shared" si="19"/>
        <v/>
      </c>
    </row>
    <row r="190" spans="2:13" ht="13" x14ac:dyDescent="0.25">
      <c r="B190" s="146"/>
      <c r="C190" s="132"/>
      <c r="D190" s="15"/>
      <c r="E190" s="15"/>
      <c r="F190" s="15"/>
      <c r="G190" s="64"/>
      <c r="H190" s="17" t="str">
        <f t="shared" si="20"/>
        <v/>
      </c>
      <c r="I190" s="18"/>
      <c r="J190" s="61"/>
      <c r="K190" s="399"/>
      <c r="L190" s="420" t="str">
        <f t="shared" si="21"/>
        <v/>
      </c>
      <c r="M190" s="401" t="str">
        <f t="shared" si="19"/>
        <v/>
      </c>
    </row>
    <row r="191" spans="2:13" ht="13" x14ac:dyDescent="0.25">
      <c r="B191" s="146"/>
      <c r="C191" s="132"/>
      <c r="D191" s="15"/>
      <c r="E191" s="15"/>
      <c r="F191" s="15"/>
      <c r="G191" s="64"/>
      <c r="H191" s="17" t="str">
        <f t="shared" si="20"/>
        <v/>
      </c>
      <c r="I191" s="18"/>
      <c r="J191" s="61"/>
      <c r="K191" s="399"/>
      <c r="L191" s="420" t="str">
        <f t="shared" si="21"/>
        <v/>
      </c>
      <c r="M191" s="401" t="str">
        <f t="shared" si="19"/>
        <v/>
      </c>
    </row>
    <row r="192" spans="2:13" ht="13" x14ac:dyDescent="0.25">
      <c r="B192" s="146"/>
      <c r="C192" s="132"/>
      <c r="D192" s="15"/>
      <c r="E192" s="15"/>
      <c r="F192" s="15"/>
      <c r="G192" s="64"/>
      <c r="H192" s="17" t="str">
        <f t="shared" si="20"/>
        <v/>
      </c>
      <c r="I192" s="18"/>
      <c r="J192" s="61"/>
      <c r="K192" s="399"/>
      <c r="L192" s="420" t="str">
        <f t="shared" si="21"/>
        <v/>
      </c>
      <c r="M192" s="401" t="str">
        <f t="shared" si="19"/>
        <v/>
      </c>
    </row>
    <row r="193" spans="2:13" ht="13" x14ac:dyDescent="0.25">
      <c r="B193" s="146"/>
      <c r="C193" s="132"/>
      <c r="D193" s="15"/>
      <c r="E193" s="15"/>
      <c r="F193" s="15"/>
      <c r="G193" s="64"/>
      <c r="H193" s="17" t="str">
        <f t="shared" si="20"/>
        <v/>
      </c>
      <c r="I193" s="18"/>
      <c r="J193" s="61"/>
      <c r="K193" s="399"/>
      <c r="L193" s="420" t="str">
        <f t="shared" si="21"/>
        <v/>
      </c>
      <c r="M193" s="401" t="str">
        <f t="shared" si="19"/>
        <v/>
      </c>
    </row>
    <row r="194" spans="2:13" ht="13" x14ac:dyDescent="0.25">
      <c r="B194" s="146"/>
      <c r="C194" s="132"/>
      <c r="D194" s="15"/>
      <c r="E194" s="15"/>
      <c r="F194" s="15"/>
      <c r="G194" s="64"/>
      <c r="H194" s="17" t="str">
        <f t="shared" si="20"/>
        <v/>
      </c>
      <c r="I194" s="18"/>
      <c r="J194" s="61"/>
      <c r="K194" s="62"/>
      <c r="L194" s="420" t="str">
        <f t="shared" si="21"/>
        <v/>
      </c>
      <c r="M194" s="401" t="str">
        <f t="shared" si="19"/>
        <v/>
      </c>
    </row>
    <row r="195" spans="2:13" ht="13" x14ac:dyDescent="0.25">
      <c r="B195" s="146"/>
      <c r="C195" s="132"/>
      <c r="D195" s="15"/>
      <c r="E195" s="15"/>
      <c r="F195" s="15"/>
      <c r="G195" s="64"/>
      <c r="H195" s="17" t="str">
        <f t="shared" si="20"/>
        <v/>
      </c>
      <c r="I195" s="18"/>
      <c r="J195" s="61"/>
      <c r="K195" s="399"/>
      <c r="L195" s="420" t="str">
        <f t="shared" si="21"/>
        <v/>
      </c>
      <c r="M195" s="401" t="str">
        <f t="shared" si="19"/>
        <v/>
      </c>
    </row>
    <row r="196" spans="2:13" ht="13" x14ac:dyDescent="0.25">
      <c r="B196" s="146"/>
      <c r="C196" s="132"/>
      <c r="D196" s="15"/>
      <c r="E196" s="15"/>
      <c r="F196" s="15"/>
      <c r="G196" s="64"/>
      <c r="H196" s="17" t="str">
        <f t="shared" si="20"/>
        <v/>
      </c>
      <c r="I196" s="18"/>
      <c r="J196" s="61"/>
      <c r="K196" s="62"/>
      <c r="L196" s="420" t="str">
        <f t="shared" si="21"/>
        <v/>
      </c>
      <c r="M196" s="401" t="str">
        <f t="shared" si="19"/>
        <v/>
      </c>
    </row>
    <row r="197" spans="2:13" ht="13" x14ac:dyDescent="0.25">
      <c r="B197" s="146"/>
      <c r="C197" s="132"/>
      <c r="D197" s="15"/>
      <c r="E197" s="15"/>
      <c r="F197" s="15"/>
      <c r="G197" s="64"/>
      <c r="H197" s="17" t="str">
        <f t="shared" si="20"/>
        <v/>
      </c>
      <c r="I197" s="18"/>
      <c r="J197" s="62"/>
      <c r="K197" s="62"/>
      <c r="L197" s="420" t="str">
        <f t="shared" si="21"/>
        <v/>
      </c>
      <c r="M197" s="401" t="str">
        <f t="shared" si="19"/>
        <v/>
      </c>
    </row>
    <row r="198" spans="2:13" ht="13" x14ac:dyDescent="0.25">
      <c r="B198" s="146"/>
      <c r="C198" s="132"/>
      <c r="D198" s="15"/>
      <c r="E198" s="15"/>
      <c r="F198" s="15"/>
      <c r="G198" s="64"/>
      <c r="H198" s="17" t="str">
        <f t="shared" si="20"/>
        <v/>
      </c>
      <c r="I198" s="18"/>
      <c r="J198" s="62"/>
      <c r="K198" s="62"/>
      <c r="L198" s="420" t="str">
        <f t="shared" si="21"/>
        <v/>
      </c>
      <c r="M198" s="401" t="str">
        <f t="shared" si="19"/>
        <v/>
      </c>
    </row>
    <row r="199" spans="2:13" ht="13" x14ac:dyDescent="0.25">
      <c r="B199" s="146"/>
      <c r="C199" s="132"/>
      <c r="D199" s="15"/>
      <c r="E199" s="15"/>
      <c r="F199" s="15"/>
      <c r="G199" s="64"/>
      <c r="H199" s="17" t="str">
        <f t="shared" si="20"/>
        <v/>
      </c>
      <c r="I199" s="18"/>
      <c r="J199" s="62"/>
      <c r="K199" s="62"/>
      <c r="L199" s="420" t="str">
        <f t="shared" si="21"/>
        <v/>
      </c>
      <c r="M199" s="401" t="str">
        <f t="shared" si="19"/>
        <v/>
      </c>
    </row>
    <row r="200" spans="2:13" ht="13" x14ac:dyDescent="0.25">
      <c r="B200" s="146"/>
      <c r="C200" s="132"/>
      <c r="D200" s="15"/>
      <c r="E200" s="15"/>
      <c r="F200" s="15"/>
      <c r="G200" s="64"/>
      <c r="H200" s="17" t="str">
        <f t="shared" si="20"/>
        <v/>
      </c>
      <c r="I200" s="18"/>
      <c r="J200" s="62"/>
      <c r="K200" s="62"/>
      <c r="L200" s="420" t="str">
        <f t="shared" si="21"/>
        <v/>
      </c>
      <c r="M200" s="401" t="str">
        <f t="shared" si="19"/>
        <v/>
      </c>
    </row>
    <row r="201" spans="2:13" ht="13" x14ac:dyDescent="0.25">
      <c r="B201" s="146"/>
      <c r="C201" s="132"/>
      <c r="D201" s="15"/>
      <c r="E201" s="15"/>
      <c r="F201" s="15"/>
      <c r="G201" s="64"/>
      <c r="H201" s="17" t="str">
        <f t="shared" si="20"/>
        <v/>
      </c>
      <c r="I201" s="18"/>
      <c r="J201" s="62"/>
      <c r="K201" s="62"/>
      <c r="L201" s="420" t="str">
        <f t="shared" si="21"/>
        <v/>
      </c>
      <c r="M201" s="401" t="str">
        <f t="shared" si="19"/>
        <v/>
      </c>
    </row>
    <row r="202" spans="2:13" ht="13" x14ac:dyDescent="0.25">
      <c r="B202" s="146"/>
      <c r="C202" s="132"/>
      <c r="D202" s="15"/>
      <c r="E202" s="15"/>
      <c r="F202" s="15"/>
      <c r="G202" s="64"/>
      <c r="H202" s="17" t="str">
        <f t="shared" si="20"/>
        <v/>
      </c>
      <c r="I202" s="18"/>
      <c r="J202" s="62"/>
      <c r="K202" s="62"/>
      <c r="L202" s="420" t="str">
        <f t="shared" si="21"/>
        <v/>
      </c>
      <c r="M202" s="401" t="str">
        <f t="shared" si="19"/>
        <v/>
      </c>
    </row>
    <row r="203" spans="2:13" ht="13" x14ac:dyDescent="0.25">
      <c r="B203" s="146"/>
      <c r="C203" s="132"/>
      <c r="D203" s="15"/>
      <c r="E203" s="15"/>
      <c r="F203" s="15"/>
      <c r="G203" s="64"/>
      <c r="H203" s="17" t="str">
        <f t="shared" si="20"/>
        <v/>
      </c>
      <c r="I203" s="18"/>
      <c r="J203" s="62"/>
      <c r="K203" s="62"/>
      <c r="L203" s="420" t="str">
        <f t="shared" si="21"/>
        <v/>
      </c>
      <c r="M203" s="401" t="str">
        <f t="shared" si="19"/>
        <v/>
      </c>
    </row>
    <row r="204" spans="2:13" ht="13" x14ac:dyDescent="0.25">
      <c r="B204" s="146"/>
      <c r="C204" s="132"/>
      <c r="D204" s="15"/>
      <c r="E204" s="15"/>
      <c r="F204" s="15"/>
      <c r="G204" s="64"/>
      <c r="H204" s="17" t="str">
        <f t="shared" si="20"/>
        <v/>
      </c>
      <c r="I204" s="18"/>
      <c r="J204" s="62"/>
      <c r="K204" s="62"/>
      <c r="L204" s="420" t="str">
        <f t="shared" si="21"/>
        <v/>
      </c>
      <c r="M204" s="401" t="str">
        <f t="shared" si="19"/>
        <v/>
      </c>
    </row>
    <row r="205" spans="2:13" ht="13" x14ac:dyDescent="0.25">
      <c r="B205" s="146"/>
      <c r="C205" s="132"/>
      <c r="D205" s="15"/>
      <c r="E205" s="15"/>
      <c r="F205" s="15"/>
      <c r="G205" s="64"/>
      <c r="H205" s="17" t="str">
        <f t="shared" si="20"/>
        <v/>
      </c>
      <c r="I205" s="18"/>
      <c r="J205" s="62"/>
      <c r="K205" s="62"/>
      <c r="L205" s="420" t="str">
        <f t="shared" si="21"/>
        <v/>
      </c>
      <c r="M205" s="401" t="str">
        <f t="shared" si="19"/>
        <v/>
      </c>
    </row>
    <row r="206" spans="2:13" ht="13" x14ac:dyDescent="0.25">
      <c r="B206" s="146"/>
      <c r="C206" s="132"/>
      <c r="D206" s="15"/>
      <c r="E206" s="15"/>
      <c r="F206" s="15"/>
      <c r="G206" s="64"/>
      <c r="H206" s="17" t="str">
        <f t="shared" si="20"/>
        <v/>
      </c>
      <c r="I206" s="18"/>
      <c r="J206" s="62"/>
      <c r="K206" s="62"/>
      <c r="L206" s="420" t="str">
        <f t="shared" si="21"/>
        <v/>
      </c>
      <c r="M206" s="401" t="str">
        <f t="shared" si="19"/>
        <v/>
      </c>
    </row>
    <row r="207" spans="2:13" ht="13" x14ac:dyDescent="0.25">
      <c r="B207" s="146"/>
      <c r="C207" s="132"/>
      <c r="D207" s="15"/>
      <c r="E207" s="15"/>
      <c r="F207" s="15"/>
      <c r="G207" s="64"/>
      <c r="H207" s="17" t="str">
        <f t="shared" si="20"/>
        <v/>
      </c>
      <c r="I207" s="18"/>
      <c r="J207" s="62"/>
      <c r="K207" s="62"/>
      <c r="L207" s="420" t="str">
        <f t="shared" si="21"/>
        <v/>
      </c>
      <c r="M207" s="401" t="str">
        <f t="shared" si="19"/>
        <v/>
      </c>
    </row>
    <row r="208" spans="2:13" ht="13" x14ac:dyDescent="0.25">
      <c r="B208" s="146"/>
      <c r="C208" s="132"/>
      <c r="D208" s="15"/>
      <c r="E208" s="15"/>
      <c r="F208" s="15"/>
      <c r="G208" s="64"/>
      <c r="H208" s="17" t="str">
        <f t="shared" si="20"/>
        <v/>
      </c>
      <c r="I208" s="18"/>
      <c r="J208" s="62"/>
      <c r="K208" s="62"/>
      <c r="L208" s="420" t="str">
        <f t="shared" si="21"/>
        <v/>
      </c>
      <c r="M208" s="401" t="str">
        <f t="shared" si="19"/>
        <v/>
      </c>
    </row>
    <row r="209" spans="2:13" ht="13" x14ac:dyDescent="0.25">
      <c r="B209" s="146"/>
      <c r="C209" s="132"/>
      <c r="D209" s="15"/>
      <c r="E209" s="15"/>
      <c r="F209" s="15"/>
      <c r="G209" s="64"/>
      <c r="H209" s="17" t="str">
        <f t="shared" si="20"/>
        <v/>
      </c>
      <c r="I209" s="18"/>
      <c r="J209" s="62"/>
      <c r="K209" s="62"/>
      <c r="L209" s="420" t="str">
        <f t="shared" si="21"/>
        <v/>
      </c>
      <c r="M209" s="401" t="str">
        <f t="shared" si="19"/>
        <v/>
      </c>
    </row>
    <row r="210" spans="2:13" ht="13" x14ac:dyDescent="0.25">
      <c r="B210" s="146"/>
      <c r="C210" s="132"/>
      <c r="D210" s="15"/>
      <c r="E210" s="15"/>
      <c r="F210" s="15"/>
      <c r="G210" s="64"/>
      <c r="H210" s="17" t="str">
        <f t="shared" si="20"/>
        <v/>
      </c>
      <c r="I210" s="18"/>
      <c r="J210" s="62"/>
      <c r="K210" s="62"/>
      <c r="L210" s="420" t="str">
        <f t="shared" si="21"/>
        <v/>
      </c>
      <c r="M210" s="401" t="str">
        <f t="shared" si="19"/>
        <v/>
      </c>
    </row>
    <row r="211" spans="2:13" ht="13" x14ac:dyDescent="0.25">
      <c r="B211" s="146"/>
      <c r="C211" s="132"/>
      <c r="D211" s="15"/>
      <c r="E211" s="15"/>
      <c r="F211" s="15"/>
      <c r="G211" s="64"/>
      <c r="H211" s="17" t="str">
        <f t="shared" si="20"/>
        <v/>
      </c>
      <c r="I211" s="18"/>
      <c r="J211" s="62"/>
      <c r="K211" s="62"/>
      <c r="L211" s="420" t="str">
        <f t="shared" si="21"/>
        <v/>
      </c>
      <c r="M211" s="401" t="str">
        <f t="shared" si="19"/>
        <v/>
      </c>
    </row>
    <row r="212" spans="2:13" ht="13" x14ac:dyDescent="0.25">
      <c r="B212" s="146"/>
      <c r="C212" s="132"/>
      <c r="D212" s="15"/>
      <c r="E212" s="15"/>
      <c r="F212" s="15"/>
      <c r="G212" s="64"/>
      <c r="H212" s="17" t="str">
        <f t="shared" si="20"/>
        <v/>
      </c>
      <c r="I212" s="18"/>
      <c r="J212" s="62"/>
      <c r="K212" s="62"/>
      <c r="L212" s="420" t="str">
        <f t="shared" si="21"/>
        <v/>
      </c>
      <c r="M212" s="401" t="str">
        <f t="shared" si="19"/>
        <v/>
      </c>
    </row>
    <row r="213" spans="2:13" ht="13" x14ac:dyDescent="0.25">
      <c r="B213" s="146"/>
      <c r="C213" s="132"/>
      <c r="D213" s="15"/>
      <c r="E213" s="15"/>
      <c r="F213" s="15"/>
      <c r="G213" s="64"/>
      <c r="H213" s="17" t="str">
        <f t="shared" si="20"/>
        <v/>
      </c>
      <c r="I213" s="18"/>
      <c r="J213" s="62"/>
      <c r="K213" s="62"/>
      <c r="L213" s="420" t="str">
        <f t="shared" si="21"/>
        <v/>
      </c>
      <c r="M213" s="401" t="str">
        <f t="shared" si="19"/>
        <v/>
      </c>
    </row>
    <row r="214" spans="2:13" ht="13" x14ac:dyDescent="0.25">
      <c r="B214" s="146"/>
      <c r="C214" s="132"/>
      <c r="D214" s="15"/>
      <c r="E214" s="15"/>
      <c r="F214" s="15"/>
      <c r="G214" s="64"/>
      <c r="H214" s="17" t="str">
        <f t="shared" si="20"/>
        <v/>
      </c>
      <c r="I214" s="18"/>
      <c r="J214" s="62"/>
      <c r="K214" s="62"/>
      <c r="L214" s="420" t="str">
        <f t="shared" si="21"/>
        <v/>
      </c>
      <c r="M214" s="401" t="str">
        <f t="shared" si="19"/>
        <v/>
      </c>
    </row>
    <row r="215" spans="2:13" ht="13" x14ac:dyDescent="0.25">
      <c r="B215" s="146"/>
      <c r="C215" s="132"/>
      <c r="D215" s="15"/>
      <c r="E215" s="15"/>
      <c r="F215" s="15"/>
      <c r="G215" s="64"/>
      <c r="H215" s="17" t="str">
        <f t="shared" si="20"/>
        <v/>
      </c>
      <c r="I215" s="18"/>
      <c r="J215" s="62"/>
      <c r="K215" s="62"/>
      <c r="L215" s="62" t="str">
        <f t="shared" si="21"/>
        <v/>
      </c>
      <c r="M215" s="62" t="str">
        <f t="shared" si="19"/>
        <v/>
      </c>
    </row>
    <row r="216" spans="2:13" ht="13" x14ac:dyDescent="0.25">
      <c r="B216" s="146"/>
      <c r="C216" s="132"/>
      <c r="D216" s="15"/>
      <c r="E216" s="15"/>
      <c r="F216" s="15"/>
      <c r="G216" s="64"/>
      <c r="H216" s="17" t="str">
        <f t="shared" si="20"/>
        <v/>
      </c>
      <c r="I216" s="18"/>
      <c r="J216" s="62"/>
      <c r="K216" s="62"/>
      <c r="L216" s="62" t="str">
        <f t="shared" si="21"/>
        <v/>
      </c>
      <c r="M216" s="62" t="str">
        <f t="shared" si="19"/>
        <v/>
      </c>
    </row>
    <row r="217" spans="2:13" ht="13" x14ac:dyDescent="0.25">
      <c r="B217" s="146"/>
      <c r="C217" s="132"/>
      <c r="D217" s="15"/>
      <c r="E217" s="15"/>
      <c r="F217" s="15"/>
      <c r="G217" s="64"/>
      <c r="H217" s="17" t="str">
        <f t="shared" si="20"/>
        <v/>
      </c>
      <c r="I217" s="18"/>
      <c r="J217" s="62"/>
      <c r="K217" s="62"/>
      <c r="L217" s="62" t="str">
        <f t="shared" si="21"/>
        <v/>
      </c>
      <c r="M217" s="62" t="str">
        <f t="shared" si="19"/>
        <v/>
      </c>
    </row>
    <row r="218" spans="2:13" ht="13" x14ac:dyDescent="0.25">
      <c r="B218" s="146"/>
      <c r="C218" s="132"/>
      <c r="D218" s="15"/>
      <c r="E218" s="15"/>
      <c r="F218" s="15"/>
      <c r="G218" s="64"/>
      <c r="H218" s="17" t="str">
        <f t="shared" si="20"/>
        <v/>
      </c>
      <c r="I218" s="18"/>
      <c r="J218" s="62"/>
      <c r="K218" s="62"/>
      <c r="L218" s="62" t="str">
        <f t="shared" si="21"/>
        <v/>
      </c>
      <c r="M218" s="62" t="str">
        <f t="shared" si="19"/>
        <v/>
      </c>
    </row>
    <row r="219" spans="2:13" ht="13" x14ac:dyDescent="0.25">
      <c r="B219" s="146"/>
      <c r="C219" s="132"/>
      <c r="D219" s="15"/>
      <c r="E219" s="15"/>
      <c r="F219" s="15"/>
      <c r="G219" s="64"/>
      <c r="H219" s="17" t="str">
        <f t="shared" si="20"/>
        <v/>
      </c>
      <c r="I219" s="18"/>
      <c r="J219" s="62"/>
      <c r="K219" s="62"/>
      <c r="L219" s="62" t="str">
        <f t="shared" si="21"/>
        <v/>
      </c>
      <c r="M219" s="62" t="str">
        <f t="shared" si="19"/>
        <v/>
      </c>
    </row>
    <row r="220" spans="2:13" ht="13" x14ac:dyDescent="0.25">
      <c r="B220" s="146"/>
      <c r="C220" s="132"/>
      <c r="D220" s="15"/>
      <c r="E220" s="15"/>
      <c r="F220" s="15"/>
      <c r="G220" s="64"/>
      <c r="H220" s="17" t="str">
        <f t="shared" si="20"/>
        <v/>
      </c>
      <c r="I220" s="18"/>
      <c r="J220" s="62"/>
      <c r="K220" s="62"/>
      <c r="L220" s="62" t="str">
        <f t="shared" si="21"/>
        <v/>
      </c>
      <c r="M220" s="62" t="str">
        <f t="shared" si="19"/>
        <v/>
      </c>
    </row>
    <row r="221" spans="2:13" ht="13" x14ac:dyDescent="0.25">
      <c r="B221" s="146"/>
      <c r="C221" s="132"/>
      <c r="D221" s="15"/>
      <c r="E221" s="15"/>
      <c r="F221" s="15"/>
      <c r="G221" s="64"/>
      <c r="H221" s="17" t="str">
        <f t="shared" si="20"/>
        <v/>
      </c>
      <c r="I221" s="18"/>
      <c r="J221" s="62"/>
      <c r="K221" s="62"/>
      <c r="L221" s="62" t="str">
        <f t="shared" si="21"/>
        <v/>
      </c>
      <c r="M221" s="62" t="str">
        <f t="shared" si="19"/>
        <v/>
      </c>
    </row>
    <row r="222" spans="2:13" ht="13" x14ac:dyDescent="0.25">
      <c r="B222" s="146"/>
      <c r="C222" s="132"/>
      <c r="D222" s="15"/>
      <c r="E222" s="15"/>
      <c r="F222" s="15"/>
      <c r="G222" s="64"/>
      <c r="H222" s="17" t="str">
        <f t="shared" si="20"/>
        <v/>
      </c>
      <c r="I222" s="18"/>
      <c r="J222" s="62"/>
      <c r="K222" s="62"/>
      <c r="L222" s="62" t="str">
        <f t="shared" si="21"/>
        <v/>
      </c>
      <c r="M222" s="62" t="str">
        <f t="shared" si="19"/>
        <v/>
      </c>
    </row>
    <row r="223" spans="2:13" x14ac:dyDescent="0.25">
      <c r="B223" s="58"/>
      <c r="C223" s="50"/>
      <c r="D223" s="15"/>
      <c r="E223" s="15"/>
      <c r="F223" s="15"/>
      <c r="G223" s="64"/>
      <c r="H223" s="17" t="str">
        <f t="shared" si="20"/>
        <v/>
      </c>
      <c r="I223" s="18"/>
      <c r="J223" s="62"/>
      <c r="K223" s="62"/>
      <c r="L223" s="62" t="str">
        <f t="shared" si="21"/>
        <v/>
      </c>
      <c r="M223" s="62" t="str">
        <f t="shared" si="19"/>
        <v/>
      </c>
    </row>
    <row r="224" spans="2:13" x14ac:dyDescent="0.25">
      <c r="B224" s="58"/>
      <c r="C224" s="50"/>
      <c r="D224" s="15"/>
      <c r="E224" s="15"/>
      <c r="F224" s="15"/>
      <c r="G224" s="64"/>
      <c r="H224" s="17" t="str">
        <f t="shared" si="20"/>
        <v/>
      </c>
      <c r="I224" s="18"/>
      <c r="J224" s="62"/>
      <c r="K224" s="62"/>
      <c r="L224" s="420" t="str">
        <f t="shared" si="21"/>
        <v/>
      </c>
      <c r="M224" s="401" t="str">
        <f t="shared" si="19"/>
        <v/>
      </c>
    </row>
    <row r="225" spans="2:13" x14ac:dyDescent="0.25">
      <c r="B225" s="58"/>
      <c r="C225" s="50"/>
      <c r="D225" s="15"/>
      <c r="E225" s="15"/>
      <c r="F225" s="15"/>
      <c r="G225" s="64"/>
      <c r="H225" s="17" t="str">
        <f t="shared" si="20"/>
        <v/>
      </c>
      <c r="I225" s="18"/>
      <c r="J225" s="62"/>
      <c r="K225" s="62"/>
      <c r="L225" s="62" t="str">
        <f t="shared" si="21"/>
        <v/>
      </c>
      <c r="M225" s="62" t="str">
        <f t="shared" ref="M225:M228" si="22">IF(J225="","",IF(SUM(H225)=0,"",L225/H225))</f>
        <v/>
      </c>
    </row>
    <row r="226" spans="2:13" x14ac:dyDescent="0.25">
      <c r="B226" s="58"/>
      <c r="C226" s="50"/>
      <c r="D226" s="15"/>
      <c r="E226" s="15"/>
      <c r="F226" s="15"/>
      <c r="G226" s="64"/>
      <c r="H226" s="17" t="str">
        <f t="shared" ref="H226:H227" si="23">IF(D226="","",F226*G226)</f>
        <v/>
      </c>
      <c r="I226" s="18"/>
      <c r="J226" s="61"/>
      <c r="K226" s="62"/>
      <c r="L226" s="420" t="str">
        <f t="shared" ref="L226:L227" si="24">IF(J226="","",F226*K226)</f>
        <v/>
      </c>
      <c r="M226" s="401" t="str">
        <f t="shared" si="22"/>
        <v/>
      </c>
    </row>
    <row r="227" spans="2:13" x14ac:dyDescent="0.25">
      <c r="B227" s="58"/>
      <c r="C227" s="50"/>
      <c r="D227" s="15"/>
      <c r="E227" s="15"/>
      <c r="F227" s="15"/>
      <c r="G227" s="64"/>
      <c r="H227" s="17" t="str">
        <f t="shared" si="23"/>
        <v/>
      </c>
      <c r="I227" s="18"/>
      <c r="J227" s="592"/>
      <c r="K227" s="711"/>
      <c r="L227" s="746" t="str">
        <f t="shared" si="24"/>
        <v/>
      </c>
      <c r="M227" s="747" t="str">
        <f t="shared" si="22"/>
        <v/>
      </c>
    </row>
    <row r="228" spans="2:13" s="28" customFormat="1" ht="25" customHeight="1" x14ac:dyDescent="0.25">
      <c r="B228" s="84" t="str">
        <f>$B$12</f>
        <v>C4.2</v>
      </c>
      <c r="C228" s="30" t="str">
        <f>"TOTAL CARRIED FORWARD"&amp;IF(H228=H$1," TO SUMMARY (Page C"&amp;Page_A&amp;")","")</f>
        <v>TOTAL CARRIED FORWARD TO SUMMARY (Page C48)</v>
      </c>
      <c r="D228" s="31"/>
      <c r="E228" s="31"/>
      <c r="F228" s="32"/>
      <c r="G228" s="31"/>
      <c r="H228" s="33">
        <f>SUM(H161:H227)</f>
        <v>0</v>
      </c>
      <c r="I228" s="34"/>
      <c r="J228" s="408"/>
      <c r="K228" s="406"/>
      <c r="L228" s="418">
        <f>SUM(L161:L227)</f>
        <v>0</v>
      </c>
      <c r="M228" s="407" t="str">
        <f t="shared" si="22"/>
        <v/>
      </c>
    </row>
  </sheetData>
  <mergeCells count="18">
    <mergeCell ref="F3:H3"/>
    <mergeCell ref="B7:G9"/>
    <mergeCell ref="H6:H9"/>
    <mergeCell ref="B6:G6"/>
    <mergeCell ref="B75:D75"/>
    <mergeCell ref="F75:H77"/>
    <mergeCell ref="B76:D76"/>
    <mergeCell ref="B77:D77"/>
    <mergeCell ref="B156:G156"/>
    <mergeCell ref="H156:H159"/>
    <mergeCell ref="B157:G159"/>
    <mergeCell ref="B78:G78"/>
    <mergeCell ref="H78:H81"/>
    <mergeCell ref="B79:G81"/>
    <mergeCell ref="B153:D153"/>
    <mergeCell ref="F153:H155"/>
    <mergeCell ref="B154:D154"/>
    <mergeCell ref="B155:D155"/>
  </mergeCells>
  <conditionalFormatting sqref="G11:H74 G83:H152 G161:H228">
    <cfRule type="expression" dxfId="76"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2">
    <tabColor rgb="FF0070C0"/>
  </sheetPr>
  <dimension ref="A1:N212"/>
  <sheetViews>
    <sheetView view="pageBreakPreview" zoomScale="90" zoomScaleNormal="125" zoomScaleSheetLayoutView="90" zoomScalePageLayoutView="125" workbookViewId="0">
      <selection activeCell="G16" sqref="G16"/>
    </sheetView>
  </sheetViews>
  <sheetFormatPr defaultColWidth="8.81640625" defaultRowHeight="12.5" x14ac:dyDescent="0.25"/>
  <cols>
    <col min="1" max="1" width="0.81640625" style="1" customWidth="1"/>
    <col min="2" max="2" width="11.7265625" style="35" customWidth="1"/>
    <col min="3" max="3" width="46.4531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8.81640625" style="1"/>
  </cols>
  <sheetData>
    <row r="1" spans="1:14" s="250" customFormat="1" ht="11.5" x14ac:dyDescent="0.25">
      <c r="A1" s="242"/>
      <c r="B1" s="243"/>
      <c r="C1" s="244" t="s">
        <v>993</v>
      </c>
      <c r="D1" s="245"/>
      <c r="E1" s="245"/>
      <c r="F1" s="246" t="s">
        <v>994</v>
      </c>
      <c r="G1" s="244">
        <v>1</v>
      </c>
      <c r="H1" s="247">
        <f>MAX(H2:H219)</f>
        <v>0</v>
      </c>
      <c r="I1" s="247">
        <f>MAX(I2:I219)</f>
        <v>0</v>
      </c>
      <c r="J1" s="248"/>
      <c r="K1" s="249"/>
      <c r="L1" s="247">
        <f>MAX(L2:L219)</f>
        <v>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3"/>
    </row>
    <row r="6" spans="1:14" ht="13" x14ac:dyDescent="0.25">
      <c r="B6" s="1112" t="s">
        <v>8</v>
      </c>
      <c r="C6" s="1113"/>
      <c r="D6" s="1113"/>
      <c r="E6" s="1113"/>
      <c r="F6" s="1113"/>
      <c r="G6" s="1113"/>
      <c r="H6" s="1132" t="str">
        <f>"CHAPTER "&amp;B12</f>
        <v>CHAPTER C4.4</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3"/>
      <c r="I7" s="8"/>
    </row>
    <row r="8" spans="1:14" ht="12.75" customHeight="1" x14ac:dyDescent="0.25">
      <c r="B8" s="1117"/>
      <c r="C8" s="1118"/>
      <c r="D8" s="1118"/>
      <c r="E8" s="1118"/>
      <c r="F8" s="1118"/>
      <c r="G8" s="1118"/>
      <c r="H8" s="1133"/>
      <c r="I8" s="8"/>
    </row>
    <row r="9" spans="1:14" s="9" customFormat="1" ht="7.5" customHeight="1" x14ac:dyDescent="0.25">
      <c r="B9" s="1119"/>
      <c r="C9" s="1120"/>
      <c r="D9" s="1120"/>
      <c r="E9" s="1120"/>
      <c r="F9" s="1120"/>
      <c r="G9" s="1120"/>
      <c r="H9" s="1134"/>
      <c r="I9" s="12"/>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ht="13" x14ac:dyDescent="0.25">
      <c r="B11" s="782"/>
      <c r="C11" s="132"/>
      <c r="D11" s="82"/>
      <c r="E11" s="15"/>
      <c r="F11" s="15"/>
      <c r="G11" s="411"/>
      <c r="H11" s="743" t="str">
        <f t="shared" ref="H11:H74" si="0">IF(D11="","",F11*G11)</f>
        <v/>
      </c>
      <c r="I11" s="18"/>
      <c r="J11" s="702"/>
      <c r="K11" s="619"/>
      <c r="L11" s="420" t="str">
        <f t="shared" ref="L11" si="1">IF(J11="","",F11*K11)</f>
        <v/>
      </c>
      <c r="M11" s="401" t="str">
        <f t="shared" ref="M11" si="2">IF(J11="","",IF(SUM(H11)=0,"",L11/H11))</f>
        <v/>
      </c>
    </row>
    <row r="12" spans="1:14" ht="13" x14ac:dyDescent="0.25">
      <c r="B12" s="146" t="s">
        <v>575</v>
      </c>
      <c r="C12" s="132" t="s">
        <v>574</v>
      </c>
      <c r="D12" s="15"/>
      <c r="E12" s="15"/>
      <c r="F12" s="15"/>
      <c r="G12" s="411"/>
      <c r="H12" s="743" t="str">
        <f t="shared" si="0"/>
        <v/>
      </c>
      <c r="I12" s="18"/>
      <c r="J12" s="61"/>
      <c r="K12" s="399"/>
      <c r="L12" s="420" t="str">
        <f t="shared" ref="L12:L73" si="3">IF(J12="","",F12*K12)</f>
        <v/>
      </c>
      <c r="M12" s="401" t="str">
        <f t="shared" ref="M12:M73" si="4">IF(J12="","",IF(SUM(H12)=0,"",L12/H12))</f>
        <v/>
      </c>
    </row>
    <row r="13" spans="1:14" x14ac:dyDescent="0.25">
      <c r="B13" s="780"/>
      <c r="C13" s="36"/>
      <c r="D13" s="15"/>
      <c r="E13" s="15"/>
      <c r="F13" s="15"/>
      <c r="G13" s="411"/>
      <c r="H13" s="743" t="str">
        <f t="shared" si="0"/>
        <v/>
      </c>
      <c r="I13" s="18"/>
      <c r="J13" s="61"/>
      <c r="K13" s="399"/>
      <c r="L13" s="420" t="str">
        <f t="shared" si="3"/>
        <v/>
      </c>
      <c r="M13" s="401" t="str">
        <f t="shared" si="4"/>
        <v/>
      </c>
    </row>
    <row r="14" spans="1:14" ht="39" x14ac:dyDescent="0.3">
      <c r="B14" s="779" t="s">
        <v>573</v>
      </c>
      <c r="C14" s="618" t="s">
        <v>572</v>
      </c>
      <c r="D14" s="15"/>
      <c r="E14" s="15"/>
      <c r="F14" s="15"/>
      <c r="G14" s="411"/>
      <c r="H14" s="743" t="str">
        <f t="shared" si="0"/>
        <v/>
      </c>
      <c r="I14" s="18"/>
      <c r="J14" s="61"/>
      <c r="K14" s="399"/>
      <c r="L14" s="420" t="str">
        <f t="shared" si="3"/>
        <v/>
      </c>
      <c r="M14" s="401" t="str">
        <f t="shared" si="4"/>
        <v/>
      </c>
    </row>
    <row r="15" spans="1:14" x14ac:dyDescent="0.25">
      <c r="B15" s="150"/>
      <c r="D15" s="15"/>
      <c r="E15" s="15"/>
      <c r="F15" s="15"/>
      <c r="G15" s="411"/>
      <c r="H15" s="743" t="str">
        <f t="shared" si="0"/>
        <v/>
      </c>
      <c r="I15" s="18"/>
      <c r="J15" s="61"/>
      <c r="K15" s="399"/>
      <c r="L15" s="420" t="str">
        <f t="shared" si="3"/>
        <v/>
      </c>
      <c r="M15" s="401" t="str">
        <f t="shared" si="4"/>
        <v/>
      </c>
    </row>
    <row r="16" spans="1:14" x14ac:dyDescent="0.25">
      <c r="B16" s="780" t="s">
        <v>45</v>
      </c>
      <c r="C16" s="36" t="s">
        <v>806</v>
      </c>
      <c r="D16" s="15" t="s">
        <v>577</v>
      </c>
      <c r="E16" s="15"/>
      <c r="F16" s="24">
        <f>6600+700</f>
        <v>7300</v>
      </c>
      <c r="G16" s="67"/>
      <c r="H16" s="743">
        <f t="shared" si="0"/>
        <v>0</v>
      </c>
      <c r="I16" s="18"/>
      <c r="J16" s="61" t="s">
        <v>1721</v>
      </c>
      <c r="K16" s="400">
        <f>ROUND(Labour_perc_roads*G16,0)</f>
        <v>0</v>
      </c>
      <c r="L16" s="420">
        <f t="shared" si="3"/>
        <v>0</v>
      </c>
      <c r="M16" s="401" t="str">
        <f t="shared" si="4"/>
        <v/>
      </c>
    </row>
    <row r="17" spans="2:13" x14ac:dyDescent="0.25">
      <c r="B17" s="780"/>
      <c r="C17" s="55"/>
      <c r="D17" s="15"/>
      <c r="E17" s="15"/>
      <c r="F17" s="24"/>
      <c r="G17" s="767"/>
      <c r="H17" s="743" t="str">
        <f t="shared" si="0"/>
        <v/>
      </c>
      <c r="I17" s="57"/>
      <c r="J17" s="61"/>
      <c r="K17" s="399"/>
      <c r="L17" s="420" t="str">
        <f t="shared" si="3"/>
        <v/>
      </c>
      <c r="M17" s="401" t="str">
        <f t="shared" si="4"/>
        <v/>
      </c>
    </row>
    <row r="18" spans="2:13" x14ac:dyDescent="0.25">
      <c r="B18" s="780" t="s">
        <v>237</v>
      </c>
      <c r="C18" s="36" t="s">
        <v>2197</v>
      </c>
      <c r="D18" s="15" t="s">
        <v>577</v>
      </c>
      <c r="E18" s="15"/>
      <c r="F18" s="24">
        <v>7100</v>
      </c>
      <c r="G18" s="67"/>
      <c r="H18" s="743">
        <f t="shared" si="0"/>
        <v>0</v>
      </c>
      <c r="I18" s="18"/>
      <c r="J18" s="61" t="s">
        <v>1721</v>
      </c>
      <c r="K18" s="399">
        <f>ROUND(Labour_perc_roads*G18,0)</f>
        <v>0</v>
      </c>
      <c r="L18" s="420">
        <f t="shared" si="3"/>
        <v>0</v>
      </c>
      <c r="M18" s="401" t="str">
        <f t="shared" si="4"/>
        <v/>
      </c>
    </row>
    <row r="19" spans="2:13" x14ac:dyDescent="0.25">
      <c r="B19" s="150"/>
      <c r="C19" s="50"/>
      <c r="D19" s="15"/>
      <c r="E19" s="15"/>
      <c r="F19" s="24"/>
      <c r="G19" s="67"/>
      <c r="H19" s="743" t="str">
        <f t="shared" si="0"/>
        <v/>
      </c>
      <c r="I19" s="18"/>
      <c r="J19" s="61"/>
      <c r="K19" s="399"/>
      <c r="L19" s="420" t="str">
        <f t="shared" si="3"/>
        <v/>
      </c>
      <c r="M19" s="401" t="str">
        <f t="shared" si="4"/>
        <v/>
      </c>
    </row>
    <row r="20" spans="2:13" x14ac:dyDescent="0.25">
      <c r="B20" s="780" t="s">
        <v>236</v>
      </c>
      <c r="C20" s="36" t="s">
        <v>2196</v>
      </c>
      <c r="D20" s="15" t="s">
        <v>577</v>
      </c>
      <c r="E20" s="15"/>
      <c r="F20" s="24">
        <v>3800</v>
      </c>
      <c r="G20" s="67"/>
      <c r="H20" s="743">
        <f t="shared" si="0"/>
        <v>0</v>
      </c>
      <c r="I20" s="18"/>
      <c r="J20" s="61" t="s">
        <v>1721</v>
      </c>
      <c r="K20" s="402">
        <f>ROUND(Labour_perc_roads*G20,0)</f>
        <v>0</v>
      </c>
      <c r="L20" s="420">
        <f t="shared" si="3"/>
        <v>0</v>
      </c>
      <c r="M20" s="401" t="str">
        <f t="shared" si="4"/>
        <v/>
      </c>
    </row>
    <row r="21" spans="2:13" x14ac:dyDescent="0.25">
      <c r="B21" s="150"/>
      <c r="D21" s="15"/>
      <c r="E21" s="15"/>
      <c r="F21" s="24"/>
      <c r="G21" s="67"/>
      <c r="H21" s="743" t="str">
        <f t="shared" si="0"/>
        <v/>
      </c>
      <c r="I21" s="18"/>
      <c r="J21" s="61"/>
      <c r="K21" s="399"/>
      <c r="L21" s="420" t="str">
        <f t="shared" si="3"/>
        <v/>
      </c>
      <c r="M21" s="401" t="str">
        <f t="shared" si="4"/>
        <v/>
      </c>
    </row>
    <row r="22" spans="2:13" ht="14.5" x14ac:dyDescent="0.25">
      <c r="B22" s="783"/>
      <c r="C22" s="36"/>
      <c r="D22" s="61"/>
      <c r="E22" s="61"/>
      <c r="F22" s="24"/>
      <c r="G22" s="67"/>
      <c r="H22" s="743" t="str">
        <f t="shared" ref="H22:H34" si="5">IF(D22="","",F22*G22)</f>
        <v/>
      </c>
      <c r="I22" s="18"/>
      <c r="J22" s="61"/>
      <c r="K22" s="402"/>
      <c r="L22" s="420" t="str">
        <f t="shared" ref="L22:L34" si="6">IF(J22="","",F22*K22)</f>
        <v/>
      </c>
      <c r="M22" s="401" t="str">
        <f t="shared" si="4"/>
        <v/>
      </c>
    </row>
    <row r="23" spans="2:13" x14ac:dyDescent="0.25">
      <c r="B23" s="58" t="s">
        <v>571</v>
      </c>
      <c r="C23" s="3" t="s">
        <v>570</v>
      </c>
      <c r="D23" s="15"/>
      <c r="E23" s="15"/>
      <c r="F23" s="24"/>
      <c r="G23" s="421"/>
      <c r="H23" s="743" t="str">
        <f t="shared" si="5"/>
        <v/>
      </c>
      <c r="I23" s="63"/>
      <c r="J23" s="61"/>
      <c r="K23" s="402"/>
      <c r="L23" s="420" t="str">
        <f t="shared" si="6"/>
        <v/>
      </c>
      <c r="M23" s="401" t="str">
        <f t="shared" si="4"/>
        <v/>
      </c>
    </row>
    <row r="24" spans="2:13" x14ac:dyDescent="0.25">
      <c r="B24" s="58"/>
      <c r="C24" s="36"/>
      <c r="D24" s="15"/>
      <c r="E24" s="15"/>
      <c r="F24" s="24"/>
      <c r="G24" s="421"/>
      <c r="H24" s="17" t="str">
        <f t="shared" si="5"/>
        <v/>
      </c>
      <c r="I24" s="63"/>
      <c r="J24" s="61"/>
      <c r="K24" s="399"/>
      <c r="L24" s="420" t="str">
        <f t="shared" si="6"/>
        <v/>
      </c>
      <c r="M24" s="401" t="str">
        <f t="shared" si="4"/>
        <v/>
      </c>
    </row>
    <row r="25" spans="2:13" x14ac:dyDescent="0.25">
      <c r="B25" s="58" t="s">
        <v>569</v>
      </c>
      <c r="C25" s="3" t="s">
        <v>245</v>
      </c>
      <c r="D25" s="15" t="s">
        <v>7</v>
      </c>
      <c r="E25" s="15"/>
      <c r="F25" s="24">
        <f>Quantities!$S$775</f>
        <v>330</v>
      </c>
      <c r="G25" s="421"/>
      <c r="H25" s="17">
        <f t="shared" si="5"/>
        <v>0</v>
      </c>
      <c r="I25" s="63"/>
      <c r="J25" s="61" t="s">
        <v>1721</v>
      </c>
      <c r="K25" s="399">
        <f>ROUND(Labour_perc_roads*G25,0)</f>
        <v>0</v>
      </c>
      <c r="L25" s="420">
        <f t="shared" si="6"/>
        <v>0</v>
      </c>
      <c r="M25" s="401" t="str">
        <f t="shared" si="4"/>
        <v/>
      </c>
    </row>
    <row r="26" spans="2:13" x14ac:dyDescent="0.25">
      <c r="B26" s="58"/>
      <c r="C26" s="36"/>
      <c r="D26" s="15"/>
      <c r="E26" s="15"/>
      <c r="F26" s="24"/>
      <c r="G26" s="421"/>
      <c r="H26" s="17" t="str">
        <f t="shared" si="5"/>
        <v/>
      </c>
      <c r="I26" s="63"/>
      <c r="J26" s="61"/>
      <c r="K26" s="399"/>
      <c r="L26" s="420" t="str">
        <f t="shared" si="6"/>
        <v/>
      </c>
      <c r="M26" s="401" t="str">
        <f t="shared" si="4"/>
        <v/>
      </c>
    </row>
    <row r="27" spans="2:13" x14ac:dyDescent="0.25">
      <c r="B27" s="780" t="s">
        <v>568</v>
      </c>
      <c r="C27" s="3" t="s">
        <v>567</v>
      </c>
      <c r="D27" s="15" t="s">
        <v>7</v>
      </c>
      <c r="E27" s="15"/>
      <c r="F27" s="24">
        <f>Quantities!$S$777</f>
        <v>110</v>
      </c>
      <c r="G27" s="421"/>
      <c r="H27" s="17">
        <f t="shared" si="5"/>
        <v>0</v>
      </c>
      <c r="I27" s="63"/>
      <c r="J27" s="61" t="s">
        <v>1721</v>
      </c>
      <c r="K27" s="399">
        <f>ROUND(Labour_perc_roads*G27,0)</f>
        <v>0</v>
      </c>
      <c r="L27" s="420">
        <f t="shared" si="6"/>
        <v>0</v>
      </c>
      <c r="M27" s="401" t="str">
        <f t="shared" si="4"/>
        <v/>
      </c>
    </row>
    <row r="28" spans="2:13" x14ac:dyDescent="0.25">
      <c r="B28" s="780"/>
      <c r="C28" s="36"/>
      <c r="D28" s="15"/>
      <c r="E28" s="15"/>
      <c r="F28" s="24"/>
      <c r="G28" s="421"/>
      <c r="H28" s="17" t="str">
        <f t="shared" si="5"/>
        <v/>
      </c>
      <c r="I28" s="63"/>
      <c r="J28" s="61"/>
      <c r="K28" s="399"/>
      <c r="L28" s="420" t="str">
        <f t="shared" si="6"/>
        <v/>
      </c>
      <c r="M28" s="401" t="str">
        <f t="shared" si="4"/>
        <v/>
      </c>
    </row>
    <row r="29" spans="2:13" x14ac:dyDescent="0.25">
      <c r="B29" s="780"/>
      <c r="D29" s="15"/>
      <c r="E29" s="15"/>
      <c r="F29" s="24"/>
      <c r="G29" s="421"/>
      <c r="H29" s="17" t="str">
        <f t="shared" si="5"/>
        <v/>
      </c>
      <c r="I29" s="63"/>
      <c r="J29" s="61"/>
      <c r="K29" s="399"/>
      <c r="L29" s="420" t="str">
        <f t="shared" si="6"/>
        <v/>
      </c>
      <c r="M29" s="401" t="str">
        <f t="shared" si="4"/>
        <v/>
      </c>
    </row>
    <row r="30" spans="2:13" x14ac:dyDescent="0.25">
      <c r="B30" s="780"/>
      <c r="C30" s="36"/>
      <c r="D30" s="15"/>
      <c r="E30" s="15"/>
      <c r="F30" s="24"/>
      <c r="G30" s="421"/>
      <c r="H30" s="743" t="str">
        <f t="shared" si="5"/>
        <v/>
      </c>
      <c r="I30" s="63"/>
      <c r="J30" s="61"/>
      <c r="K30" s="399"/>
      <c r="L30" s="420" t="str">
        <f t="shared" si="6"/>
        <v/>
      </c>
      <c r="M30" s="401" t="str">
        <f t="shared" si="4"/>
        <v/>
      </c>
    </row>
    <row r="31" spans="2:13" x14ac:dyDescent="0.25">
      <c r="B31" s="780"/>
      <c r="D31" s="15"/>
      <c r="E31" s="15"/>
      <c r="F31" s="24"/>
      <c r="G31" s="421"/>
      <c r="H31" s="17" t="str">
        <f t="shared" si="5"/>
        <v/>
      </c>
      <c r="I31" s="63"/>
      <c r="J31" s="61"/>
      <c r="K31" s="399"/>
      <c r="L31" s="420" t="str">
        <f t="shared" si="6"/>
        <v/>
      </c>
      <c r="M31" s="401" t="str">
        <f t="shared" si="4"/>
        <v/>
      </c>
    </row>
    <row r="32" spans="2:13" x14ac:dyDescent="0.25">
      <c r="B32" s="780"/>
      <c r="C32" s="36"/>
      <c r="D32" s="15"/>
      <c r="E32" s="15"/>
      <c r="F32" s="24"/>
      <c r="G32" s="421"/>
      <c r="H32" s="17" t="str">
        <f t="shared" si="5"/>
        <v/>
      </c>
      <c r="I32" s="63"/>
      <c r="J32" s="61"/>
      <c r="K32" s="399"/>
      <c r="L32" s="420" t="str">
        <f t="shared" si="6"/>
        <v/>
      </c>
      <c r="M32" s="401" t="str">
        <f t="shared" si="4"/>
        <v/>
      </c>
    </row>
    <row r="33" spans="2:13" x14ac:dyDescent="0.25">
      <c r="B33" s="780"/>
      <c r="D33" s="15"/>
      <c r="E33" s="15"/>
      <c r="F33" s="24"/>
      <c r="G33" s="421"/>
      <c r="H33" s="17" t="str">
        <f t="shared" si="5"/>
        <v/>
      </c>
      <c r="I33" s="63"/>
      <c r="J33" s="61"/>
      <c r="K33" s="399"/>
      <c r="L33" s="420" t="str">
        <f t="shared" si="6"/>
        <v/>
      </c>
      <c r="M33" s="401" t="str">
        <f t="shared" si="4"/>
        <v/>
      </c>
    </row>
    <row r="34" spans="2:13" x14ac:dyDescent="0.25">
      <c r="B34" s="780"/>
      <c r="C34" s="36"/>
      <c r="D34" s="15"/>
      <c r="E34" s="15"/>
      <c r="F34" s="24"/>
      <c r="G34" s="421"/>
      <c r="H34" s="17" t="str">
        <f t="shared" si="5"/>
        <v/>
      </c>
      <c r="I34" s="63"/>
      <c r="J34" s="61"/>
      <c r="K34" s="399"/>
      <c r="L34" s="420" t="str">
        <f t="shared" si="6"/>
        <v/>
      </c>
      <c r="M34" s="401" t="str">
        <f t="shared" si="4"/>
        <v/>
      </c>
    </row>
    <row r="35" spans="2:13" x14ac:dyDescent="0.25">
      <c r="B35" s="780"/>
      <c r="D35" s="15"/>
      <c r="E35" s="15"/>
      <c r="F35" s="24"/>
      <c r="G35" s="421"/>
      <c r="H35" s="17" t="str">
        <f t="shared" si="0"/>
        <v/>
      </c>
      <c r="I35" s="63"/>
      <c r="J35" s="61"/>
      <c r="K35" s="399"/>
      <c r="L35" s="420" t="str">
        <f t="shared" si="3"/>
        <v/>
      </c>
      <c r="M35" s="401" t="str">
        <f t="shared" si="4"/>
        <v/>
      </c>
    </row>
    <row r="36" spans="2:13" x14ac:dyDescent="0.25">
      <c r="B36" s="780"/>
      <c r="C36" s="36"/>
      <c r="D36" s="15"/>
      <c r="E36" s="15"/>
      <c r="F36" s="24"/>
      <c r="G36" s="421"/>
      <c r="H36" s="17" t="str">
        <f t="shared" si="0"/>
        <v/>
      </c>
      <c r="I36" s="63"/>
      <c r="J36" s="61"/>
      <c r="K36" s="402"/>
      <c r="L36" s="420" t="str">
        <f t="shared" si="3"/>
        <v/>
      </c>
      <c r="M36" s="401" t="str">
        <f t="shared" si="4"/>
        <v/>
      </c>
    </row>
    <row r="37" spans="2:13" x14ac:dyDescent="0.25">
      <c r="B37" s="780"/>
      <c r="D37" s="15"/>
      <c r="E37" s="15"/>
      <c r="F37" s="24"/>
      <c r="G37" s="421"/>
      <c r="H37" s="17" t="str">
        <f t="shared" si="0"/>
        <v/>
      </c>
      <c r="I37" s="63"/>
      <c r="J37" s="61"/>
      <c r="K37" s="399"/>
      <c r="L37" s="420" t="str">
        <f t="shared" si="3"/>
        <v/>
      </c>
      <c r="M37" s="401" t="str">
        <f t="shared" si="4"/>
        <v/>
      </c>
    </row>
    <row r="38" spans="2:13" x14ac:dyDescent="0.25">
      <c r="B38" s="780"/>
      <c r="C38" s="36"/>
      <c r="D38" s="15"/>
      <c r="E38" s="15"/>
      <c r="F38" s="24"/>
      <c r="G38" s="421"/>
      <c r="H38" s="17" t="str">
        <f t="shared" si="0"/>
        <v/>
      </c>
      <c r="I38" s="63"/>
      <c r="J38" s="61"/>
      <c r="K38" s="399"/>
      <c r="L38" s="420" t="str">
        <f t="shared" si="3"/>
        <v/>
      </c>
      <c r="M38" s="401" t="str">
        <f t="shared" si="4"/>
        <v/>
      </c>
    </row>
    <row r="39" spans="2:13" x14ac:dyDescent="0.25">
      <c r="B39" s="780"/>
      <c r="D39" s="15"/>
      <c r="E39" s="15"/>
      <c r="F39" s="24"/>
      <c r="G39" s="421"/>
      <c r="H39" s="17" t="str">
        <f t="shared" si="0"/>
        <v/>
      </c>
      <c r="I39" s="63"/>
      <c r="J39" s="61"/>
      <c r="K39" s="402">
        <f>ROUND(Labour_perc_roads*G39,0)</f>
        <v>0</v>
      </c>
      <c r="L39" s="420" t="str">
        <f t="shared" si="3"/>
        <v/>
      </c>
      <c r="M39" s="401" t="str">
        <f t="shared" si="4"/>
        <v/>
      </c>
    </row>
    <row r="40" spans="2:13" x14ac:dyDescent="0.25">
      <c r="B40" s="780"/>
      <c r="C40" s="36"/>
      <c r="D40" s="15"/>
      <c r="E40" s="15"/>
      <c r="F40" s="24"/>
      <c r="G40" s="421"/>
      <c r="H40" s="17" t="str">
        <f t="shared" si="0"/>
        <v/>
      </c>
      <c r="I40" s="63"/>
      <c r="J40" s="61"/>
      <c r="K40" s="399"/>
      <c r="L40" s="420" t="str">
        <f t="shared" si="3"/>
        <v/>
      </c>
      <c r="M40" s="401" t="str">
        <f t="shared" si="4"/>
        <v/>
      </c>
    </row>
    <row r="41" spans="2:13" x14ac:dyDescent="0.25">
      <c r="B41" s="780"/>
      <c r="D41" s="15"/>
      <c r="E41" s="15"/>
      <c r="F41" s="24"/>
      <c r="G41" s="421"/>
      <c r="H41" s="17" t="str">
        <f t="shared" si="0"/>
        <v/>
      </c>
      <c r="I41" s="63"/>
      <c r="J41" s="61"/>
      <c r="K41" s="399">
        <f>ROUND(Labour_perc_roads*G41,0)</f>
        <v>0</v>
      </c>
      <c r="L41" s="420" t="str">
        <f t="shared" si="3"/>
        <v/>
      </c>
      <c r="M41" s="401" t="str">
        <f t="shared" si="4"/>
        <v/>
      </c>
    </row>
    <row r="42" spans="2:13" x14ac:dyDescent="0.25">
      <c r="B42" s="150"/>
      <c r="C42" s="36"/>
      <c r="D42" s="15"/>
      <c r="E42" s="15"/>
      <c r="F42" s="24"/>
      <c r="G42" s="421"/>
      <c r="H42" s="17" t="str">
        <f t="shared" si="0"/>
        <v/>
      </c>
      <c r="I42" s="63"/>
      <c r="J42" s="61"/>
      <c r="K42" s="399"/>
      <c r="L42" s="420" t="str">
        <f t="shared" si="3"/>
        <v/>
      </c>
      <c r="M42" s="401" t="str">
        <f t="shared" si="4"/>
        <v/>
      </c>
    </row>
    <row r="43" spans="2:13" x14ac:dyDescent="0.25">
      <c r="B43" s="780"/>
      <c r="D43" s="15"/>
      <c r="E43" s="15"/>
      <c r="F43" s="24"/>
      <c r="G43" s="422"/>
      <c r="H43" s="17" t="str">
        <f t="shared" si="0"/>
        <v/>
      </c>
      <c r="I43" s="63"/>
      <c r="J43" s="61"/>
      <c r="K43" s="399"/>
      <c r="L43" s="420" t="str">
        <f t="shared" si="3"/>
        <v/>
      </c>
      <c r="M43" s="401" t="str">
        <f t="shared" si="4"/>
        <v/>
      </c>
    </row>
    <row r="44" spans="2:13" x14ac:dyDescent="0.25">
      <c r="B44" s="150"/>
      <c r="C44" s="36"/>
      <c r="D44" s="15"/>
      <c r="E44" s="15"/>
      <c r="F44" s="24"/>
      <c r="G44" s="421"/>
      <c r="H44" s="17" t="str">
        <f t="shared" si="0"/>
        <v/>
      </c>
      <c r="I44" s="63"/>
      <c r="J44" s="61"/>
      <c r="K44" s="62"/>
      <c r="L44" s="420" t="str">
        <f t="shared" si="3"/>
        <v/>
      </c>
      <c r="M44" s="401" t="str">
        <f t="shared" si="4"/>
        <v/>
      </c>
    </row>
    <row r="45" spans="2:13" x14ac:dyDescent="0.25">
      <c r="B45" s="780"/>
      <c r="D45" s="15"/>
      <c r="E45" s="15"/>
      <c r="F45" s="24"/>
      <c r="G45" s="423"/>
      <c r="H45" s="17" t="str">
        <f t="shared" si="0"/>
        <v/>
      </c>
      <c r="I45" s="63"/>
      <c r="J45" s="61"/>
      <c r="K45" s="399"/>
      <c r="L45" s="420" t="str">
        <f t="shared" si="3"/>
        <v/>
      </c>
      <c r="M45" s="401" t="str">
        <f t="shared" si="4"/>
        <v/>
      </c>
    </row>
    <row r="46" spans="2:13" x14ac:dyDescent="0.25">
      <c r="B46" s="150"/>
      <c r="C46" s="36"/>
      <c r="D46" s="15"/>
      <c r="E46" s="15"/>
      <c r="F46" s="24"/>
      <c r="G46" s="421"/>
      <c r="H46" s="17" t="str">
        <f t="shared" si="0"/>
        <v/>
      </c>
      <c r="I46" s="63"/>
      <c r="J46" s="61"/>
      <c r="K46" s="62"/>
      <c r="L46" s="420" t="str">
        <f t="shared" si="3"/>
        <v/>
      </c>
      <c r="M46" s="401" t="str">
        <f t="shared" si="4"/>
        <v/>
      </c>
    </row>
    <row r="47" spans="2:13" x14ac:dyDescent="0.25">
      <c r="B47" s="780"/>
      <c r="D47" s="15"/>
      <c r="E47" s="15"/>
      <c r="F47" s="24"/>
      <c r="G47" s="411"/>
      <c r="H47" s="17" t="str">
        <f t="shared" si="0"/>
        <v/>
      </c>
      <c r="I47" s="18"/>
      <c r="J47" s="62"/>
      <c r="K47" s="62"/>
      <c r="L47" s="420" t="str">
        <f t="shared" si="3"/>
        <v/>
      </c>
      <c r="M47" s="401" t="str">
        <f t="shared" si="4"/>
        <v/>
      </c>
    </row>
    <row r="48" spans="2:13" ht="26.15" customHeight="1" x14ac:dyDescent="0.25">
      <c r="B48" s="150"/>
      <c r="C48" s="55"/>
      <c r="D48" s="15"/>
      <c r="E48" s="15"/>
      <c r="F48" s="24"/>
      <c r="G48" s="411"/>
      <c r="H48" s="17" t="str">
        <f t="shared" si="0"/>
        <v/>
      </c>
      <c r="I48" s="18"/>
      <c r="J48" s="62"/>
      <c r="K48" s="62"/>
      <c r="L48" s="420" t="str">
        <f t="shared" si="3"/>
        <v/>
      </c>
      <c r="M48" s="401" t="str">
        <f t="shared" si="4"/>
        <v/>
      </c>
    </row>
    <row r="49" spans="2:13" x14ac:dyDescent="0.25">
      <c r="B49" s="780"/>
      <c r="D49" s="15"/>
      <c r="E49" s="15"/>
      <c r="F49" s="24"/>
      <c r="G49" s="422"/>
      <c r="H49" s="17" t="str">
        <f t="shared" si="0"/>
        <v/>
      </c>
      <c r="I49" s="57"/>
      <c r="J49" s="62"/>
      <c r="K49" s="62"/>
      <c r="L49" s="420" t="str">
        <f t="shared" si="3"/>
        <v/>
      </c>
      <c r="M49" s="401" t="str">
        <f t="shared" si="4"/>
        <v/>
      </c>
    </row>
    <row r="50" spans="2:13" ht="24.65" customHeight="1" x14ac:dyDescent="0.25">
      <c r="B50" s="150"/>
      <c r="C50" s="55"/>
      <c r="D50" s="15"/>
      <c r="E50" s="15"/>
      <c r="F50" s="24"/>
      <c r="G50" s="411"/>
      <c r="H50" s="17" t="str">
        <f t="shared" si="0"/>
        <v/>
      </c>
      <c r="I50" s="18"/>
      <c r="J50" s="62"/>
      <c r="K50" s="62"/>
      <c r="L50" s="420" t="str">
        <f t="shared" si="3"/>
        <v/>
      </c>
      <c r="M50" s="401" t="str">
        <f t="shared" si="4"/>
        <v/>
      </c>
    </row>
    <row r="51" spans="2:13" s="36" customFormat="1" x14ac:dyDescent="0.25">
      <c r="B51" s="780"/>
      <c r="C51" s="55"/>
      <c r="D51" s="61"/>
      <c r="E51" s="61"/>
      <c r="F51" s="24"/>
      <c r="G51" s="411"/>
      <c r="H51" s="17" t="str">
        <f t="shared" si="0"/>
        <v/>
      </c>
      <c r="I51" s="18"/>
      <c r="J51" s="62"/>
      <c r="K51" s="62"/>
      <c r="L51" s="420" t="str">
        <f t="shared" si="3"/>
        <v/>
      </c>
      <c r="M51" s="401" t="str">
        <f t="shared" si="4"/>
        <v/>
      </c>
    </row>
    <row r="52" spans="2:13" x14ac:dyDescent="0.25">
      <c r="B52" s="780"/>
      <c r="C52" s="36"/>
      <c r="D52" s="15"/>
      <c r="E52" s="15"/>
      <c r="F52" s="24"/>
      <c r="G52" s="422"/>
      <c r="H52" s="17" t="str">
        <f t="shared" si="0"/>
        <v/>
      </c>
      <c r="I52" s="57"/>
      <c r="J52" s="62"/>
      <c r="K52" s="62"/>
      <c r="L52" s="420" t="str">
        <f t="shared" si="3"/>
        <v/>
      </c>
      <c r="M52" s="401" t="str">
        <f t="shared" si="4"/>
        <v/>
      </c>
    </row>
    <row r="53" spans="2:13" x14ac:dyDescent="0.25">
      <c r="B53" s="150"/>
      <c r="C53" s="55"/>
      <c r="D53" s="15"/>
      <c r="E53" s="15"/>
      <c r="F53" s="24"/>
      <c r="G53" s="422"/>
      <c r="H53" s="17" t="str">
        <f t="shared" si="0"/>
        <v/>
      </c>
      <c r="I53" s="57"/>
      <c r="J53" s="62"/>
      <c r="K53" s="62"/>
      <c r="L53" s="420" t="str">
        <f t="shared" si="3"/>
        <v/>
      </c>
      <c r="M53" s="401" t="str">
        <f t="shared" si="4"/>
        <v/>
      </c>
    </row>
    <row r="54" spans="2:13" x14ac:dyDescent="0.25">
      <c r="B54" s="58"/>
      <c r="C54" s="36"/>
      <c r="D54" s="15"/>
      <c r="E54" s="15"/>
      <c r="F54" s="24"/>
      <c r="G54" s="411"/>
      <c r="H54" s="17" t="str">
        <f t="shared" si="0"/>
        <v/>
      </c>
      <c r="I54" s="18"/>
      <c r="J54" s="62"/>
      <c r="K54" s="62"/>
      <c r="L54" s="420" t="str">
        <f t="shared" si="3"/>
        <v/>
      </c>
      <c r="M54" s="401" t="str">
        <f t="shared" si="4"/>
        <v/>
      </c>
    </row>
    <row r="55" spans="2:13" x14ac:dyDescent="0.25">
      <c r="B55" s="58"/>
      <c r="D55" s="15"/>
      <c r="E55" s="15"/>
      <c r="F55" s="24"/>
      <c r="G55" s="411"/>
      <c r="H55" s="17" t="str">
        <f t="shared" si="0"/>
        <v/>
      </c>
      <c r="I55" s="18"/>
      <c r="J55" s="62"/>
      <c r="K55" s="62"/>
      <c r="L55" s="420" t="str">
        <f t="shared" si="3"/>
        <v/>
      </c>
      <c r="M55" s="401" t="str">
        <f t="shared" si="4"/>
        <v/>
      </c>
    </row>
    <row r="56" spans="2:13" x14ac:dyDescent="0.25">
      <c r="B56" s="58"/>
      <c r="C56" s="36"/>
      <c r="D56" s="15"/>
      <c r="E56" s="15"/>
      <c r="F56" s="24"/>
      <c r="G56" s="423"/>
      <c r="H56" s="17" t="str">
        <f t="shared" si="0"/>
        <v/>
      </c>
      <c r="I56" s="18"/>
      <c r="J56" s="62"/>
      <c r="K56" s="62"/>
      <c r="L56" s="420" t="str">
        <f t="shared" si="3"/>
        <v/>
      </c>
      <c r="M56" s="401" t="str">
        <f t="shared" si="4"/>
        <v/>
      </c>
    </row>
    <row r="57" spans="2:13" x14ac:dyDescent="0.25">
      <c r="B57" s="780"/>
      <c r="C57" s="55"/>
      <c r="D57" s="15"/>
      <c r="E57" s="15"/>
      <c r="F57" s="24"/>
      <c r="G57" s="423"/>
      <c r="H57" s="17" t="str">
        <f t="shared" si="0"/>
        <v/>
      </c>
      <c r="I57" s="18"/>
      <c r="J57" s="62"/>
      <c r="K57" s="62"/>
      <c r="L57" s="420" t="str">
        <f t="shared" si="3"/>
        <v/>
      </c>
      <c r="M57" s="401" t="str">
        <f t="shared" si="4"/>
        <v/>
      </c>
    </row>
    <row r="58" spans="2:13" x14ac:dyDescent="0.25">
      <c r="B58" s="780"/>
      <c r="C58" s="36"/>
      <c r="D58" s="15"/>
      <c r="E58" s="15"/>
      <c r="F58" s="15"/>
      <c r="G58" s="411"/>
      <c r="H58" s="17" t="str">
        <f t="shared" si="0"/>
        <v/>
      </c>
      <c r="I58" s="18"/>
      <c r="J58" s="62"/>
      <c r="K58" s="62"/>
      <c r="L58" s="420" t="str">
        <f t="shared" si="3"/>
        <v/>
      </c>
      <c r="M58" s="401" t="str">
        <f t="shared" si="4"/>
        <v/>
      </c>
    </row>
    <row r="59" spans="2:13" x14ac:dyDescent="0.25">
      <c r="B59" s="150"/>
      <c r="C59" s="36"/>
      <c r="D59" s="61"/>
      <c r="E59" s="61"/>
      <c r="F59" s="15"/>
      <c r="G59" s="411"/>
      <c r="H59" s="17" t="str">
        <f t="shared" si="0"/>
        <v/>
      </c>
      <c r="I59" s="18"/>
      <c r="J59" s="62"/>
      <c r="K59" s="62"/>
      <c r="L59" s="420" t="str">
        <f t="shared" si="3"/>
        <v/>
      </c>
      <c r="M59" s="401" t="str">
        <f t="shared" si="4"/>
        <v/>
      </c>
    </row>
    <row r="60" spans="2:13" x14ac:dyDescent="0.25">
      <c r="B60" s="780"/>
      <c r="C60" s="36"/>
      <c r="D60" s="15"/>
      <c r="E60" s="15"/>
      <c r="F60" s="15"/>
      <c r="G60" s="422"/>
      <c r="H60" s="17" t="str">
        <f t="shared" si="0"/>
        <v/>
      </c>
      <c r="I60" s="18"/>
      <c r="J60" s="62"/>
      <c r="K60" s="62"/>
      <c r="L60" s="420" t="str">
        <f t="shared" si="3"/>
        <v/>
      </c>
      <c r="M60" s="401" t="str">
        <f t="shared" si="4"/>
        <v/>
      </c>
    </row>
    <row r="61" spans="2:13" x14ac:dyDescent="0.25">
      <c r="B61" s="150"/>
      <c r="D61" s="15"/>
      <c r="E61" s="15"/>
      <c r="F61" s="15"/>
      <c r="G61" s="422"/>
      <c r="H61" s="17" t="str">
        <f t="shared" si="0"/>
        <v/>
      </c>
      <c r="I61" s="18"/>
      <c r="J61" s="62"/>
      <c r="K61" s="62"/>
      <c r="L61" s="420" t="str">
        <f t="shared" si="3"/>
        <v/>
      </c>
      <c r="M61" s="401" t="str">
        <f t="shared" si="4"/>
        <v/>
      </c>
    </row>
    <row r="62" spans="2:13" x14ac:dyDescent="0.25">
      <c r="B62" s="780"/>
      <c r="C62" s="36"/>
      <c r="D62" s="15"/>
      <c r="E62" s="15"/>
      <c r="F62" s="15"/>
      <c r="G62" s="422"/>
      <c r="H62" s="17" t="str">
        <f t="shared" si="0"/>
        <v/>
      </c>
      <c r="I62" s="18"/>
      <c r="J62" s="62"/>
      <c r="K62" s="62"/>
      <c r="L62" s="420" t="str">
        <f t="shared" si="3"/>
        <v/>
      </c>
      <c r="M62" s="401" t="str">
        <f t="shared" si="4"/>
        <v/>
      </c>
    </row>
    <row r="63" spans="2:13" x14ac:dyDescent="0.25">
      <c r="B63" s="780"/>
      <c r="C63" s="36"/>
      <c r="D63" s="15"/>
      <c r="E63" s="15"/>
      <c r="F63" s="15"/>
      <c r="G63" s="422"/>
      <c r="H63" s="17" t="str">
        <f t="shared" si="0"/>
        <v/>
      </c>
      <c r="I63" s="18"/>
      <c r="J63" s="62"/>
      <c r="K63" s="62"/>
      <c r="L63" s="420" t="str">
        <f t="shared" si="3"/>
        <v/>
      </c>
      <c r="M63" s="401" t="str">
        <f t="shared" si="4"/>
        <v/>
      </c>
    </row>
    <row r="64" spans="2:13" x14ac:dyDescent="0.25">
      <c r="B64" s="58"/>
      <c r="C64" s="36"/>
      <c r="D64" s="15"/>
      <c r="E64" s="15"/>
      <c r="F64" s="15"/>
      <c r="G64" s="422"/>
      <c r="H64" s="17" t="str">
        <f t="shared" si="0"/>
        <v/>
      </c>
      <c r="I64" s="18"/>
      <c r="J64" s="62"/>
      <c r="K64" s="62"/>
      <c r="L64" s="420" t="str">
        <f t="shared" si="3"/>
        <v/>
      </c>
      <c r="M64" s="401" t="str">
        <f t="shared" si="4"/>
        <v/>
      </c>
    </row>
    <row r="65" spans="2:13" x14ac:dyDescent="0.25">
      <c r="B65" s="58"/>
      <c r="D65" s="15"/>
      <c r="E65" s="15"/>
      <c r="F65" s="15"/>
      <c r="G65" s="422"/>
      <c r="H65" s="17" t="str">
        <f t="shared" si="0"/>
        <v/>
      </c>
      <c r="I65" s="18"/>
      <c r="J65" s="62"/>
      <c r="K65" s="62"/>
      <c r="L65" s="62" t="str">
        <f t="shared" si="3"/>
        <v/>
      </c>
      <c r="M65" s="62" t="str">
        <f t="shared" si="4"/>
        <v/>
      </c>
    </row>
    <row r="66" spans="2:13" x14ac:dyDescent="0.25">
      <c r="B66" s="58"/>
      <c r="C66" s="36"/>
      <c r="D66" s="15"/>
      <c r="E66" s="15"/>
      <c r="F66" s="15"/>
      <c r="G66" s="422"/>
      <c r="H66" s="17" t="str">
        <f t="shared" si="0"/>
        <v/>
      </c>
      <c r="I66" s="18"/>
      <c r="J66" s="62"/>
      <c r="K66" s="62"/>
      <c r="L66" s="62" t="str">
        <f t="shared" si="3"/>
        <v/>
      </c>
      <c r="M66" s="62" t="str">
        <f t="shared" si="4"/>
        <v/>
      </c>
    </row>
    <row r="67" spans="2:13" x14ac:dyDescent="0.25">
      <c r="B67" s="58"/>
      <c r="D67" s="15"/>
      <c r="E67" s="15"/>
      <c r="F67" s="15"/>
      <c r="G67" s="422"/>
      <c r="H67" s="17" t="str">
        <f t="shared" si="0"/>
        <v/>
      </c>
      <c r="I67" s="18"/>
      <c r="J67" s="62"/>
      <c r="K67" s="62"/>
      <c r="L67" s="62" t="str">
        <f t="shared" si="3"/>
        <v/>
      </c>
      <c r="M67" s="62" t="str">
        <f t="shared" si="4"/>
        <v/>
      </c>
    </row>
    <row r="68" spans="2:13" x14ac:dyDescent="0.25">
      <c r="B68" s="58"/>
      <c r="D68" s="15"/>
      <c r="E68" s="15"/>
      <c r="F68" s="15"/>
      <c r="G68" s="422"/>
      <c r="H68" s="17" t="str">
        <f t="shared" si="0"/>
        <v/>
      </c>
      <c r="I68" s="18"/>
      <c r="J68" s="62"/>
      <c r="K68" s="62"/>
      <c r="L68" s="62" t="str">
        <f t="shared" si="3"/>
        <v/>
      </c>
      <c r="M68" s="62" t="str">
        <f t="shared" si="4"/>
        <v/>
      </c>
    </row>
    <row r="69" spans="2:13" x14ac:dyDescent="0.25">
      <c r="B69" s="58"/>
      <c r="D69" s="15"/>
      <c r="E69" s="15"/>
      <c r="F69" s="15"/>
      <c r="G69" s="422"/>
      <c r="H69" s="17" t="str">
        <f t="shared" si="0"/>
        <v/>
      </c>
      <c r="I69" s="18"/>
      <c r="J69" s="62"/>
      <c r="K69" s="62"/>
      <c r="L69" s="62" t="str">
        <f t="shared" si="3"/>
        <v/>
      </c>
      <c r="M69" s="62" t="str">
        <f t="shared" si="4"/>
        <v/>
      </c>
    </row>
    <row r="70" spans="2:13" x14ac:dyDescent="0.25">
      <c r="B70" s="58"/>
      <c r="C70" s="36"/>
      <c r="D70" s="15"/>
      <c r="E70" s="15"/>
      <c r="F70" s="15"/>
      <c r="G70" s="424"/>
      <c r="H70" s="17" t="str">
        <f t="shared" si="0"/>
        <v/>
      </c>
      <c r="I70" s="18"/>
      <c r="J70" s="62"/>
      <c r="K70" s="62"/>
      <c r="L70" s="62" t="str">
        <f t="shared" si="3"/>
        <v/>
      </c>
      <c r="M70" s="62" t="str">
        <f t="shared" si="4"/>
        <v/>
      </c>
    </row>
    <row r="71" spans="2:13" x14ac:dyDescent="0.25">
      <c r="B71" s="58"/>
      <c r="C71" s="51"/>
      <c r="D71" s="15"/>
      <c r="E71" s="15"/>
      <c r="F71" s="15"/>
      <c r="G71" s="424"/>
      <c r="H71" s="17" t="str">
        <f t="shared" si="0"/>
        <v/>
      </c>
      <c r="I71" s="18"/>
      <c r="J71" s="62"/>
      <c r="K71" s="62"/>
      <c r="L71" s="62" t="str">
        <f t="shared" si="3"/>
        <v/>
      </c>
      <c r="M71" s="62" t="str">
        <f t="shared" si="4"/>
        <v/>
      </c>
    </row>
    <row r="72" spans="2:13" x14ac:dyDescent="0.25">
      <c r="B72" s="780"/>
      <c r="C72" s="36"/>
      <c r="D72" s="15"/>
      <c r="E72" s="15"/>
      <c r="F72" s="15"/>
      <c r="G72" s="422"/>
      <c r="H72" s="17" t="str">
        <f t="shared" si="0"/>
        <v/>
      </c>
      <c r="I72" s="18"/>
      <c r="J72" s="62"/>
      <c r="K72" s="62"/>
      <c r="L72" s="62" t="str">
        <f t="shared" si="3"/>
        <v/>
      </c>
      <c r="M72" s="62" t="str">
        <f t="shared" si="4"/>
        <v/>
      </c>
    </row>
    <row r="73" spans="2:13" x14ac:dyDescent="0.25">
      <c r="B73" s="780"/>
      <c r="C73" s="36"/>
      <c r="D73" s="15"/>
      <c r="E73" s="15"/>
      <c r="F73" s="15"/>
      <c r="G73" s="422"/>
      <c r="H73" s="17" t="str">
        <f t="shared" si="0"/>
        <v/>
      </c>
      <c r="I73" s="18"/>
      <c r="J73" s="62"/>
      <c r="K73" s="62"/>
      <c r="L73" s="420" t="str">
        <f t="shared" si="3"/>
        <v/>
      </c>
      <c r="M73" s="401" t="str">
        <f t="shared" si="4"/>
        <v/>
      </c>
    </row>
    <row r="74" spans="2:13" x14ac:dyDescent="0.25">
      <c r="B74" s="780"/>
      <c r="C74" s="36"/>
      <c r="D74" s="15"/>
      <c r="E74" s="15"/>
      <c r="F74" s="15"/>
      <c r="G74" s="422"/>
      <c r="H74" s="17" t="str">
        <f t="shared" si="0"/>
        <v/>
      </c>
      <c r="I74" s="18"/>
      <c r="J74" s="61"/>
      <c r="K74" s="696"/>
      <c r="L74" s="420" t="str">
        <f t="shared" ref="L74" si="7">IF(J74="","",F74*K74)</f>
        <v/>
      </c>
      <c r="M74" s="401" t="str">
        <f t="shared" ref="M74" si="8">IF(J74="","",IF(SUM(H74)=0,"",L74/H74))</f>
        <v/>
      </c>
    </row>
    <row r="75" spans="2:13" s="28" customFormat="1" ht="19.5" customHeight="1" x14ac:dyDescent="0.25">
      <c r="B75" s="135" t="str">
        <f>$B$12</f>
        <v>C4.4</v>
      </c>
      <c r="C75" s="498" t="str">
        <f>"TOTAL CARRIED FORWARD"&amp;IF(H75=H$1," TO SUMMARY (Page C"&amp;Page_A&amp;")","")</f>
        <v>TOTAL CARRIED FORWARD TO SUMMARY (Page C48)</v>
      </c>
      <c r="D75" s="31"/>
      <c r="E75" s="31"/>
      <c r="F75" s="32"/>
      <c r="G75" s="31"/>
      <c r="H75" s="33">
        <f>SUM(H11:H74)</f>
        <v>0</v>
      </c>
      <c r="I75" s="34"/>
      <c r="J75" s="408"/>
      <c r="K75" s="406"/>
      <c r="L75" s="418">
        <f>SUM(L11:L74)</f>
        <v>0</v>
      </c>
      <c r="M75" s="407" t="str">
        <f t="shared" ref="M75" si="9">IF(J75="","",IF(SUM(H75)=0,"",L75/H75))</f>
        <v/>
      </c>
    </row>
    <row r="76" spans="2:13" ht="13" x14ac:dyDescent="0.25">
      <c r="B76" s="1108" t="str">
        <f>Client1</f>
        <v>Province of KwaZulu-Natal</v>
      </c>
      <c r="C76" s="1108"/>
      <c r="D76" s="1108"/>
      <c r="E76" s="87"/>
      <c r="F76" s="1109" t="str">
        <f>"Contract No. "&amp;ContractNo</f>
        <v>Contract No. ZNB 00399/00000/HOD/INF/21/T</v>
      </c>
      <c r="G76" s="1109"/>
      <c r="H76" s="1109"/>
    </row>
    <row r="77" spans="2:13" ht="13" x14ac:dyDescent="0.25">
      <c r="B77" s="1108" t="str">
        <f>Client2</f>
        <v>Department of Transport</v>
      </c>
      <c r="C77" s="1108"/>
      <c r="D77" s="1108"/>
      <c r="E77" s="87"/>
      <c r="F77" s="1109"/>
      <c r="G77" s="1109"/>
      <c r="H77" s="1109"/>
    </row>
    <row r="78" spans="2:13" x14ac:dyDescent="0.25">
      <c r="B78" s="1111"/>
      <c r="C78" s="1111"/>
      <c r="D78" s="1111"/>
      <c r="E78" s="78"/>
      <c r="F78" s="1110"/>
      <c r="G78" s="1110"/>
      <c r="H78" s="1110"/>
    </row>
    <row r="79" spans="2:13" ht="13" x14ac:dyDescent="0.25">
      <c r="B79" s="1112" t="s">
        <v>8</v>
      </c>
      <c r="C79" s="1113"/>
      <c r="D79" s="1113"/>
      <c r="E79" s="1113"/>
      <c r="F79" s="1113"/>
      <c r="G79" s="1113"/>
      <c r="H79" s="1128" t="str">
        <f>$H$6</f>
        <v>CHAPTER C4.4</v>
      </c>
      <c r="I79" s="6"/>
    </row>
    <row r="80" spans="2:13" ht="13" x14ac:dyDescent="0.25">
      <c r="B80" s="1117" t="str">
        <f>ContractDescription</f>
        <v>THE CONSTRUCTION OF EARTHWORKS, LAYERWORKS, SURFACING, CULVERTS AND CWAKA RIVER BRIDGE FROM KM 11.600 TO KM 14.000 ON MAIN ROAD P494 IN THE KING CETSHWAYO DISTRICT UNDER EMPANGENI REGION</v>
      </c>
      <c r="C80" s="1118"/>
      <c r="D80" s="1118"/>
      <c r="E80" s="1118"/>
      <c r="F80" s="1118"/>
      <c r="G80" s="1118"/>
      <c r="H80" s="1109"/>
      <c r="I80" s="8"/>
    </row>
    <row r="81" spans="1:13" ht="13" x14ac:dyDescent="0.25">
      <c r="B81" s="1117"/>
      <c r="C81" s="1118"/>
      <c r="D81" s="1118"/>
      <c r="E81" s="1118"/>
      <c r="F81" s="1118"/>
      <c r="G81" s="1118"/>
      <c r="H81" s="1109"/>
      <c r="I81" s="8"/>
    </row>
    <row r="82" spans="1:13" ht="13" x14ac:dyDescent="0.25">
      <c r="B82" s="1119"/>
      <c r="C82" s="1120"/>
      <c r="D82" s="1120"/>
      <c r="E82" s="1120"/>
      <c r="F82" s="1120"/>
      <c r="G82" s="1120"/>
      <c r="H82" s="1110"/>
      <c r="I82" s="8"/>
    </row>
    <row r="83" spans="1:13" s="9" customFormat="1" ht="25" customHeight="1" x14ac:dyDescent="0.25">
      <c r="B83" s="74" t="s">
        <v>0</v>
      </c>
      <c r="C83" s="11" t="s">
        <v>1</v>
      </c>
      <c r="D83" s="11" t="s">
        <v>2</v>
      </c>
      <c r="E83" s="11"/>
      <c r="F83" s="11" t="s">
        <v>3</v>
      </c>
      <c r="G83" s="11" t="s">
        <v>4</v>
      </c>
      <c r="H83" s="11" t="s">
        <v>5</v>
      </c>
      <c r="I83" s="12"/>
      <c r="J83" s="408" t="s">
        <v>996</v>
      </c>
      <c r="K83" s="253" t="s">
        <v>997</v>
      </c>
      <c r="L83" s="253" t="s">
        <v>998</v>
      </c>
      <c r="M83" s="253" t="s">
        <v>999</v>
      </c>
    </row>
    <row r="84" spans="1:13" s="28" customFormat="1" ht="19.5" customHeight="1" x14ac:dyDescent="0.25">
      <c r="B84" s="80"/>
      <c r="C84" s="30" t="s">
        <v>27</v>
      </c>
      <c r="D84" s="31"/>
      <c r="E84" s="31"/>
      <c r="F84" s="32"/>
      <c r="G84" s="31"/>
      <c r="H84" s="33">
        <f>H75</f>
        <v>0</v>
      </c>
      <c r="I84" s="34"/>
      <c r="J84" s="744"/>
      <c r="K84" s="409"/>
      <c r="L84" s="419">
        <f>L75</f>
        <v>0</v>
      </c>
      <c r="M84" s="410" t="str">
        <f t="shared" ref="M84:M85" si="10">IF(J84="","",IF(SUM(H84)=0,"",L84/H84))</f>
        <v/>
      </c>
    </row>
    <row r="85" spans="1:13" x14ac:dyDescent="0.25">
      <c r="A85" s="784"/>
      <c r="B85" s="780"/>
      <c r="C85" s="36"/>
      <c r="D85" s="21"/>
      <c r="E85" s="21"/>
      <c r="F85" s="21"/>
      <c r="G85" s="38"/>
      <c r="H85" s="17" t="str">
        <f t="shared" ref="H85" si="11">IF(D85="","",F85*G85)</f>
        <v/>
      </c>
      <c r="I85" s="40"/>
      <c r="J85" s="61"/>
      <c r="K85" s="399"/>
      <c r="L85" s="420" t="str">
        <f t="shared" ref="L85" si="12">IF(J85="","",F85*K85)</f>
        <v/>
      </c>
      <c r="M85" s="401" t="str">
        <f t="shared" si="10"/>
        <v/>
      </c>
    </row>
    <row r="86" spans="1:13" x14ac:dyDescent="0.25">
      <c r="A86" s="784"/>
      <c r="B86" s="780"/>
      <c r="C86" s="55"/>
      <c r="D86" s="21"/>
      <c r="E86" s="21"/>
      <c r="F86" s="21"/>
      <c r="G86" s="44"/>
      <c r="H86" s="743" t="str">
        <f t="shared" ref="H86:H145" si="13">IF(D86="","",F86*G86)</f>
        <v/>
      </c>
      <c r="I86" s="40"/>
      <c r="J86" s="61"/>
      <c r="K86" s="399"/>
      <c r="L86" s="420" t="str">
        <f t="shared" ref="L86:L145" si="14">IF(J86="","",F86*K86)</f>
        <v/>
      </c>
      <c r="M86" s="401" t="str">
        <f t="shared" ref="M86:M145" si="15">IF(J86="","",IF(SUM(H86)=0,"",L86/H86))</f>
        <v/>
      </c>
    </row>
    <row r="87" spans="1:13" x14ac:dyDescent="0.25">
      <c r="A87" s="784"/>
      <c r="B87" s="150"/>
      <c r="C87" s="36"/>
      <c r="D87" s="21"/>
      <c r="E87" s="21"/>
      <c r="F87" s="21"/>
      <c r="G87" s="44"/>
      <c r="H87" s="743" t="str">
        <f t="shared" si="13"/>
        <v/>
      </c>
      <c r="I87" s="40"/>
      <c r="J87" s="61"/>
      <c r="K87" s="399"/>
      <c r="L87" s="420" t="str">
        <f t="shared" si="14"/>
        <v/>
      </c>
      <c r="M87" s="401" t="str">
        <f t="shared" si="15"/>
        <v/>
      </c>
    </row>
    <row r="88" spans="1:13" x14ac:dyDescent="0.25">
      <c r="A88" s="784"/>
      <c r="B88" s="780"/>
      <c r="C88" s="36"/>
      <c r="D88" s="21"/>
      <c r="E88" s="21"/>
      <c r="F88" s="21"/>
      <c r="G88" s="44"/>
      <c r="H88" s="743" t="str">
        <f t="shared" si="13"/>
        <v/>
      </c>
      <c r="I88" s="40"/>
      <c r="J88" s="61"/>
      <c r="K88" s="399"/>
      <c r="L88" s="420" t="str">
        <f t="shared" si="14"/>
        <v/>
      </c>
      <c r="M88" s="401" t="str">
        <f t="shared" si="15"/>
        <v/>
      </c>
    </row>
    <row r="89" spans="1:13" x14ac:dyDescent="0.25">
      <c r="A89" s="784"/>
      <c r="B89" s="150"/>
      <c r="C89" s="36"/>
      <c r="D89" s="21"/>
      <c r="E89" s="21"/>
      <c r="F89" s="21"/>
      <c r="G89" s="44"/>
      <c r="H89" s="743" t="str">
        <f t="shared" si="13"/>
        <v/>
      </c>
      <c r="I89" s="40"/>
      <c r="J89" s="61"/>
      <c r="K89" s="400"/>
      <c r="L89" s="420" t="str">
        <f t="shared" si="14"/>
        <v/>
      </c>
      <c r="M89" s="401" t="str">
        <f t="shared" si="15"/>
        <v/>
      </c>
    </row>
    <row r="90" spans="1:13" x14ac:dyDescent="0.25">
      <c r="A90" s="784"/>
      <c r="B90" s="58"/>
      <c r="C90" s="36"/>
      <c r="D90" s="21"/>
      <c r="E90" s="21"/>
      <c r="F90" s="37"/>
      <c r="G90" s="44"/>
      <c r="H90" s="743" t="str">
        <f t="shared" si="13"/>
        <v/>
      </c>
      <c r="J90" s="61"/>
      <c r="K90" s="399"/>
      <c r="L90" s="420" t="str">
        <f t="shared" si="14"/>
        <v/>
      </c>
      <c r="M90" s="401" t="str">
        <f t="shared" si="15"/>
        <v/>
      </c>
    </row>
    <row r="91" spans="1:13" x14ac:dyDescent="0.25">
      <c r="A91" s="784"/>
      <c r="B91" s="58"/>
      <c r="D91" s="21"/>
      <c r="E91" s="21"/>
      <c r="F91" s="21"/>
      <c r="G91" s="44"/>
      <c r="H91" s="743" t="str">
        <f t="shared" si="13"/>
        <v/>
      </c>
      <c r="I91" s="40"/>
      <c r="J91" s="61"/>
      <c r="K91" s="399"/>
      <c r="L91" s="420" t="str">
        <f t="shared" si="14"/>
        <v/>
      </c>
      <c r="M91" s="401" t="str">
        <f t="shared" si="15"/>
        <v/>
      </c>
    </row>
    <row r="92" spans="1:13" x14ac:dyDescent="0.25">
      <c r="A92" s="784"/>
      <c r="B92" s="58"/>
      <c r="C92" s="36"/>
      <c r="D92" s="21"/>
      <c r="E92" s="21"/>
      <c r="F92" s="37"/>
      <c r="G92" s="44"/>
      <c r="H92" s="743" t="str">
        <f t="shared" si="13"/>
        <v/>
      </c>
      <c r="I92" s="45"/>
      <c r="J92" s="61"/>
      <c r="K92" s="399"/>
      <c r="L92" s="420" t="str">
        <f t="shared" si="14"/>
        <v/>
      </c>
      <c r="M92" s="401" t="str">
        <f t="shared" si="15"/>
        <v/>
      </c>
    </row>
    <row r="93" spans="1:13" x14ac:dyDescent="0.25">
      <c r="A93" s="784"/>
      <c r="B93" s="58"/>
      <c r="D93" s="21"/>
      <c r="E93" s="21"/>
      <c r="F93" s="37"/>
      <c r="G93" s="44"/>
      <c r="H93" s="743" t="str">
        <f t="shared" si="13"/>
        <v/>
      </c>
      <c r="I93" s="45"/>
      <c r="J93" s="61"/>
      <c r="K93" s="402"/>
      <c r="L93" s="420" t="str">
        <f t="shared" si="14"/>
        <v/>
      </c>
      <c r="M93" s="401" t="str">
        <f t="shared" si="15"/>
        <v/>
      </c>
    </row>
    <row r="94" spans="1:13" x14ac:dyDescent="0.25">
      <c r="A94" s="784"/>
      <c r="B94" s="58"/>
      <c r="C94" s="36"/>
      <c r="D94" s="21"/>
      <c r="E94" s="21"/>
      <c r="F94" s="37"/>
      <c r="G94" s="44"/>
      <c r="H94" s="743" t="str">
        <f t="shared" si="13"/>
        <v/>
      </c>
      <c r="I94" s="45"/>
      <c r="J94" s="61"/>
      <c r="K94" s="402"/>
      <c r="L94" s="420" t="str">
        <f t="shared" si="14"/>
        <v/>
      </c>
      <c r="M94" s="401" t="str">
        <f t="shared" si="15"/>
        <v/>
      </c>
    </row>
    <row r="95" spans="1:13" x14ac:dyDescent="0.25">
      <c r="A95" s="784"/>
      <c r="B95" s="58"/>
      <c r="D95" s="21"/>
      <c r="E95" s="21"/>
      <c r="F95" s="37"/>
      <c r="G95" s="44"/>
      <c r="H95" s="743" t="str">
        <f t="shared" si="13"/>
        <v/>
      </c>
      <c r="I95" s="45"/>
      <c r="J95" s="61"/>
      <c r="K95" s="402"/>
      <c r="L95" s="420" t="str">
        <f t="shared" si="14"/>
        <v/>
      </c>
      <c r="M95" s="401" t="str">
        <f t="shared" si="15"/>
        <v/>
      </c>
    </row>
    <row r="96" spans="1:13" x14ac:dyDescent="0.25">
      <c r="A96" s="784"/>
      <c r="B96" s="58"/>
      <c r="C96" s="36"/>
      <c r="D96" s="21"/>
      <c r="E96" s="21"/>
      <c r="F96" s="37"/>
      <c r="G96" s="44"/>
      <c r="H96" s="743" t="str">
        <f t="shared" si="13"/>
        <v/>
      </c>
      <c r="I96" s="45"/>
      <c r="J96" s="61"/>
      <c r="K96" s="402"/>
      <c r="L96" s="420" t="str">
        <f t="shared" si="14"/>
        <v/>
      </c>
      <c r="M96" s="401" t="str">
        <f t="shared" si="15"/>
        <v/>
      </c>
    </row>
    <row r="97" spans="1:13" x14ac:dyDescent="0.25">
      <c r="A97" s="784"/>
      <c r="B97" s="58"/>
      <c r="D97" s="21"/>
      <c r="E97" s="21"/>
      <c r="F97" s="37"/>
      <c r="G97" s="44"/>
      <c r="H97" s="743" t="str">
        <f t="shared" si="13"/>
        <v/>
      </c>
      <c r="I97" s="45"/>
      <c r="J97" s="61"/>
      <c r="K97" s="399"/>
      <c r="L97" s="420" t="str">
        <f t="shared" si="14"/>
        <v/>
      </c>
      <c r="M97" s="401" t="str">
        <f t="shared" si="15"/>
        <v/>
      </c>
    </row>
    <row r="98" spans="1:13" x14ac:dyDescent="0.25">
      <c r="A98" s="784"/>
      <c r="B98" s="58"/>
      <c r="C98" s="36"/>
      <c r="D98" s="21"/>
      <c r="E98" s="21"/>
      <c r="F98" s="37"/>
      <c r="G98" s="44"/>
      <c r="H98" s="743" t="str">
        <f t="shared" si="13"/>
        <v/>
      </c>
      <c r="I98" s="45"/>
      <c r="J98" s="61"/>
      <c r="K98" s="399"/>
      <c r="L98" s="420" t="str">
        <f t="shared" si="14"/>
        <v/>
      </c>
      <c r="M98" s="401" t="str">
        <f t="shared" si="15"/>
        <v/>
      </c>
    </row>
    <row r="99" spans="1:13" x14ac:dyDescent="0.25">
      <c r="A99" s="784"/>
      <c r="B99" s="780"/>
      <c r="D99" s="21"/>
      <c r="E99" s="21"/>
      <c r="F99" s="37"/>
      <c r="G99" s="44"/>
      <c r="H99" s="743" t="str">
        <f t="shared" si="13"/>
        <v/>
      </c>
      <c r="I99" s="45"/>
      <c r="J99" s="61"/>
      <c r="K99" s="399"/>
      <c r="L99" s="420" t="str">
        <f t="shared" si="14"/>
        <v/>
      </c>
      <c r="M99" s="401" t="str">
        <f t="shared" si="15"/>
        <v/>
      </c>
    </row>
    <row r="100" spans="1:13" x14ac:dyDescent="0.25">
      <c r="A100" s="784"/>
      <c r="B100" s="780"/>
      <c r="C100" s="36"/>
      <c r="D100" s="21"/>
      <c r="E100" s="21"/>
      <c r="F100" s="37"/>
      <c r="G100" s="44"/>
      <c r="H100" s="743" t="str">
        <f t="shared" si="13"/>
        <v/>
      </c>
      <c r="I100" s="45"/>
      <c r="J100" s="61"/>
      <c r="K100" s="399"/>
      <c r="L100" s="420" t="str">
        <f t="shared" si="14"/>
        <v/>
      </c>
      <c r="M100" s="401" t="str">
        <f t="shared" si="15"/>
        <v/>
      </c>
    </row>
    <row r="101" spans="1:13" x14ac:dyDescent="0.25">
      <c r="A101" s="784"/>
      <c r="B101" s="780"/>
      <c r="D101" s="21"/>
      <c r="E101" s="21"/>
      <c r="F101" s="37"/>
      <c r="G101" s="38"/>
      <c r="H101" s="17" t="str">
        <f t="shared" si="13"/>
        <v/>
      </c>
      <c r="I101" s="45"/>
      <c r="J101" s="61"/>
      <c r="K101" s="399"/>
      <c r="L101" s="420" t="str">
        <f t="shared" si="14"/>
        <v/>
      </c>
      <c r="M101" s="401" t="str">
        <f t="shared" si="15"/>
        <v/>
      </c>
    </row>
    <row r="102" spans="1:13" x14ac:dyDescent="0.25">
      <c r="A102" s="784"/>
      <c r="B102" s="780"/>
      <c r="C102" s="36"/>
      <c r="D102" s="21"/>
      <c r="E102" s="21"/>
      <c r="F102" s="37"/>
      <c r="G102" s="38"/>
      <c r="H102" s="17" t="str">
        <f t="shared" si="13"/>
        <v/>
      </c>
      <c r="I102" s="45"/>
      <c r="J102" s="61"/>
      <c r="K102" s="399"/>
      <c r="L102" s="420" t="str">
        <f t="shared" si="14"/>
        <v/>
      </c>
      <c r="M102" s="401" t="str">
        <f t="shared" si="15"/>
        <v/>
      </c>
    </row>
    <row r="103" spans="1:13" x14ac:dyDescent="0.25">
      <c r="A103" s="784"/>
      <c r="B103" s="780"/>
      <c r="D103" s="21"/>
      <c r="E103" s="21"/>
      <c r="F103" s="37"/>
      <c r="G103" s="38"/>
      <c r="H103" s="17" t="str">
        <f t="shared" si="13"/>
        <v/>
      </c>
      <c r="I103" s="45"/>
      <c r="J103" s="61"/>
      <c r="K103" s="399"/>
      <c r="L103" s="420" t="str">
        <f t="shared" si="14"/>
        <v/>
      </c>
      <c r="M103" s="401" t="str">
        <f t="shared" si="15"/>
        <v/>
      </c>
    </row>
    <row r="104" spans="1:13" x14ac:dyDescent="0.25">
      <c r="A104" s="784"/>
      <c r="B104" s="780"/>
      <c r="C104" s="36"/>
      <c r="D104" s="21"/>
      <c r="E104" s="21"/>
      <c r="F104" s="37"/>
      <c r="G104" s="38"/>
      <c r="H104" s="17" t="str">
        <f t="shared" si="13"/>
        <v/>
      </c>
      <c r="I104" s="45"/>
      <c r="J104" s="61"/>
      <c r="K104" s="399"/>
      <c r="L104" s="420" t="str">
        <f t="shared" si="14"/>
        <v/>
      </c>
      <c r="M104" s="401" t="str">
        <f t="shared" si="15"/>
        <v/>
      </c>
    </row>
    <row r="105" spans="1:13" x14ac:dyDescent="0.25">
      <c r="A105" s="784"/>
      <c r="B105" s="780"/>
      <c r="D105" s="21"/>
      <c r="E105" s="21"/>
      <c r="F105" s="37"/>
      <c r="G105" s="38"/>
      <c r="H105" s="17" t="str">
        <f t="shared" si="13"/>
        <v/>
      </c>
      <c r="I105" s="45"/>
      <c r="J105" s="61"/>
      <c r="K105" s="399"/>
      <c r="L105" s="420" t="str">
        <f t="shared" si="14"/>
        <v/>
      </c>
      <c r="M105" s="401" t="str">
        <f t="shared" si="15"/>
        <v/>
      </c>
    </row>
    <row r="106" spans="1:13" x14ac:dyDescent="0.25">
      <c r="A106" s="784"/>
      <c r="B106" s="780"/>
      <c r="C106" s="36"/>
      <c r="D106" s="21"/>
      <c r="E106" s="21"/>
      <c r="F106" s="37"/>
      <c r="G106" s="38"/>
      <c r="H106" s="17" t="str">
        <f t="shared" si="13"/>
        <v/>
      </c>
      <c r="I106" s="45"/>
      <c r="J106" s="61"/>
      <c r="K106" s="399"/>
      <c r="L106" s="420" t="str">
        <f t="shared" si="14"/>
        <v/>
      </c>
      <c r="M106" s="401" t="str">
        <f t="shared" si="15"/>
        <v/>
      </c>
    </row>
    <row r="107" spans="1:13" x14ac:dyDescent="0.25">
      <c r="A107" s="784"/>
      <c r="B107" s="780"/>
      <c r="D107" s="21"/>
      <c r="E107" s="21"/>
      <c r="F107" s="37"/>
      <c r="G107" s="38"/>
      <c r="H107" s="17" t="str">
        <f t="shared" si="13"/>
        <v/>
      </c>
      <c r="I107" s="45"/>
      <c r="J107" s="61"/>
      <c r="K107" s="399"/>
      <c r="L107" s="420" t="str">
        <f t="shared" si="14"/>
        <v/>
      </c>
      <c r="M107" s="401" t="str">
        <f t="shared" si="15"/>
        <v/>
      </c>
    </row>
    <row r="108" spans="1:13" x14ac:dyDescent="0.25">
      <c r="A108" s="784"/>
      <c r="B108" s="780"/>
      <c r="C108" s="36"/>
      <c r="D108" s="21"/>
      <c r="E108" s="21"/>
      <c r="F108" s="37"/>
      <c r="G108" s="38"/>
      <c r="H108" s="17" t="str">
        <f t="shared" si="13"/>
        <v/>
      </c>
      <c r="I108" s="45"/>
      <c r="J108" s="61"/>
      <c r="K108" s="399"/>
      <c r="L108" s="420" t="str">
        <f t="shared" si="14"/>
        <v/>
      </c>
      <c r="M108" s="401" t="str">
        <f t="shared" si="15"/>
        <v/>
      </c>
    </row>
    <row r="109" spans="1:13" x14ac:dyDescent="0.25">
      <c r="A109" s="784"/>
      <c r="B109" s="780"/>
      <c r="D109" s="21"/>
      <c r="E109" s="21"/>
      <c r="F109" s="37"/>
      <c r="G109" s="38"/>
      <c r="H109" s="17" t="str">
        <f t="shared" si="13"/>
        <v/>
      </c>
      <c r="J109" s="61"/>
      <c r="K109" s="402"/>
      <c r="L109" s="420" t="str">
        <f t="shared" si="14"/>
        <v/>
      </c>
      <c r="M109" s="401" t="str">
        <f t="shared" si="15"/>
        <v/>
      </c>
    </row>
    <row r="110" spans="1:13" x14ac:dyDescent="0.25">
      <c r="A110" s="784"/>
      <c r="B110" s="780"/>
      <c r="C110" s="36"/>
      <c r="D110" s="21"/>
      <c r="E110" s="21"/>
      <c r="F110" s="37"/>
      <c r="G110" s="38"/>
      <c r="H110" s="17" t="str">
        <f t="shared" si="13"/>
        <v/>
      </c>
      <c r="J110" s="61"/>
      <c r="K110" s="399"/>
      <c r="L110" s="420" t="str">
        <f t="shared" si="14"/>
        <v/>
      </c>
      <c r="M110" s="401" t="str">
        <f t="shared" si="15"/>
        <v/>
      </c>
    </row>
    <row r="111" spans="1:13" x14ac:dyDescent="0.25">
      <c r="A111" s="784"/>
      <c r="B111" s="780"/>
      <c r="D111" s="21"/>
      <c r="E111" s="21"/>
      <c r="F111" s="37"/>
      <c r="G111" s="38"/>
      <c r="H111" s="17" t="str">
        <f t="shared" si="13"/>
        <v/>
      </c>
      <c r="J111" s="61"/>
      <c r="K111" s="399"/>
      <c r="L111" s="420" t="str">
        <f t="shared" si="14"/>
        <v/>
      </c>
      <c r="M111" s="401" t="str">
        <f t="shared" si="15"/>
        <v/>
      </c>
    </row>
    <row r="112" spans="1:13" x14ac:dyDescent="0.25">
      <c r="A112" s="784"/>
      <c r="B112" s="780"/>
      <c r="C112" s="36"/>
      <c r="D112" s="21"/>
      <c r="E112" s="21"/>
      <c r="F112" s="21"/>
      <c r="G112" s="38"/>
      <c r="H112" s="17" t="str">
        <f t="shared" si="13"/>
        <v/>
      </c>
      <c r="I112" s="40"/>
      <c r="J112" s="61"/>
      <c r="K112" s="402"/>
      <c r="L112" s="420" t="str">
        <f t="shared" si="14"/>
        <v/>
      </c>
      <c r="M112" s="401" t="str">
        <f t="shared" si="15"/>
        <v/>
      </c>
    </row>
    <row r="113" spans="1:13" x14ac:dyDescent="0.25">
      <c r="A113" s="784"/>
      <c r="B113" s="780"/>
      <c r="D113" s="21"/>
      <c r="E113" s="21"/>
      <c r="F113" s="21"/>
      <c r="G113" s="38"/>
      <c r="H113" s="17" t="str">
        <f t="shared" si="13"/>
        <v/>
      </c>
      <c r="I113" s="40"/>
      <c r="J113" s="61"/>
      <c r="K113" s="399"/>
      <c r="L113" s="420" t="str">
        <f t="shared" si="14"/>
        <v/>
      </c>
      <c r="M113" s="401" t="str">
        <f t="shared" si="15"/>
        <v/>
      </c>
    </row>
    <row r="114" spans="1:13" x14ac:dyDescent="0.25">
      <c r="A114" s="784"/>
      <c r="B114" s="150"/>
      <c r="C114" s="36"/>
      <c r="D114" s="21"/>
      <c r="E114" s="21"/>
      <c r="F114" s="21"/>
      <c r="G114" s="38"/>
      <c r="H114" s="17" t="str">
        <f t="shared" si="13"/>
        <v/>
      </c>
      <c r="I114" s="40"/>
      <c r="J114" s="61"/>
      <c r="K114" s="399"/>
      <c r="L114" s="420" t="str">
        <f t="shared" si="14"/>
        <v/>
      </c>
      <c r="M114" s="401" t="str">
        <f t="shared" si="15"/>
        <v/>
      </c>
    </row>
    <row r="115" spans="1:13" x14ac:dyDescent="0.25">
      <c r="A115" s="784"/>
      <c r="B115" s="780"/>
      <c r="D115" s="21"/>
      <c r="E115" s="21"/>
      <c r="F115" s="21"/>
      <c r="G115" s="38"/>
      <c r="H115" s="17" t="str">
        <f t="shared" si="13"/>
        <v/>
      </c>
      <c r="I115" s="40"/>
      <c r="J115" s="61"/>
      <c r="K115" s="399"/>
      <c r="L115" s="420" t="str">
        <f t="shared" si="14"/>
        <v/>
      </c>
      <c r="M115" s="401" t="str">
        <f t="shared" si="15"/>
        <v/>
      </c>
    </row>
    <row r="116" spans="1:13" x14ac:dyDescent="0.25">
      <c r="A116" s="784"/>
      <c r="B116" s="150"/>
      <c r="C116" s="36"/>
      <c r="D116" s="21"/>
      <c r="E116" s="21"/>
      <c r="F116" s="21"/>
      <c r="G116" s="38"/>
      <c r="H116" s="17" t="str">
        <f t="shared" si="13"/>
        <v/>
      </c>
      <c r="I116" s="40"/>
      <c r="J116" s="61"/>
      <c r="K116" s="399"/>
      <c r="L116" s="420" t="str">
        <f t="shared" si="14"/>
        <v/>
      </c>
      <c r="M116" s="401" t="str">
        <f t="shared" si="15"/>
        <v/>
      </c>
    </row>
    <row r="117" spans="1:13" x14ac:dyDescent="0.25">
      <c r="A117" s="784"/>
      <c r="B117" s="780"/>
      <c r="D117" s="21"/>
      <c r="E117" s="21"/>
      <c r="F117" s="21"/>
      <c r="G117" s="38"/>
      <c r="H117" s="17" t="str">
        <f t="shared" si="13"/>
        <v/>
      </c>
      <c r="I117" s="40"/>
      <c r="J117" s="61"/>
      <c r="K117" s="62"/>
      <c r="L117" s="420" t="str">
        <f t="shared" si="14"/>
        <v/>
      </c>
      <c r="M117" s="401" t="str">
        <f t="shared" si="15"/>
        <v/>
      </c>
    </row>
    <row r="118" spans="1:13" x14ac:dyDescent="0.25">
      <c r="A118" s="784"/>
      <c r="B118" s="150"/>
      <c r="C118" s="36"/>
      <c r="D118" s="21"/>
      <c r="E118" s="21"/>
      <c r="F118" s="21"/>
      <c r="G118" s="38"/>
      <c r="H118" s="17" t="str">
        <f t="shared" si="13"/>
        <v/>
      </c>
      <c r="I118" s="40"/>
      <c r="J118" s="61"/>
      <c r="K118" s="399"/>
      <c r="L118" s="420" t="str">
        <f t="shared" si="14"/>
        <v/>
      </c>
      <c r="M118" s="401" t="str">
        <f t="shared" si="15"/>
        <v/>
      </c>
    </row>
    <row r="119" spans="1:13" x14ac:dyDescent="0.25">
      <c r="A119" s="784"/>
      <c r="B119" s="780"/>
      <c r="D119" s="21"/>
      <c r="E119" s="21"/>
      <c r="F119" s="21"/>
      <c r="G119" s="38"/>
      <c r="H119" s="17" t="str">
        <f t="shared" si="13"/>
        <v/>
      </c>
      <c r="I119" s="40"/>
      <c r="J119" s="61"/>
      <c r="K119" s="62"/>
      <c r="L119" s="420" t="str">
        <f t="shared" si="14"/>
        <v/>
      </c>
      <c r="M119" s="401" t="str">
        <f t="shared" si="15"/>
        <v/>
      </c>
    </row>
    <row r="120" spans="1:13" x14ac:dyDescent="0.25">
      <c r="A120" s="784"/>
      <c r="B120" s="150"/>
      <c r="C120" s="55"/>
      <c r="D120" s="21"/>
      <c r="E120" s="21"/>
      <c r="F120" s="21"/>
      <c r="G120" s="38"/>
      <c r="H120" s="17" t="str">
        <f t="shared" si="13"/>
        <v/>
      </c>
      <c r="I120" s="40"/>
      <c r="J120" s="62"/>
      <c r="K120" s="62"/>
      <c r="L120" s="420" t="str">
        <f t="shared" si="14"/>
        <v/>
      </c>
      <c r="M120" s="401" t="str">
        <f t="shared" si="15"/>
        <v/>
      </c>
    </row>
    <row r="121" spans="1:13" x14ac:dyDescent="0.25">
      <c r="A121" s="784"/>
      <c r="B121" s="780"/>
      <c r="D121" s="21"/>
      <c r="E121" s="21"/>
      <c r="F121" s="21"/>
      <c r="G121" s="38"/>
      <c r="H121" s="17" t="str">
        <f t="shared" si="13"/>
        <v/>
      </c>
      <c r="I121" s="40"/>
      <c r="J121" s="62"/>
      <c r="K121" s="62"/>
      <c r="L121" s="420" t="str">
        <f t="shared" si="14"/>
        <v/>
      </c>
      <c r="M121" s="401" t="str">
        <f t="shared" si="15"/>
        <v/>
      </c>
    </row>
    <row r="122" spans="1:13" x14ac:dyDescent="0.25">
      <c r="A122" s="784"/>
      <c r="B122" s="150"/>
      <c r="C122" s="55"/>
      <c r="D122" s="21"/>
      <c r="E122" s="21"/>
      <c r="F122" s="21"/>
      <c r="G122" s="38"/>
      <c r="H122" s="17" t="str">
        <f t="shared" si="13"/>
        <v/>
      </c>
      <c r="I122" s="40"/>
      <c r="J122" s="62"/>
      <c r="K122" s="62"/>
      <c r="L122" s="420" t="str">
        <f t="shared" si="14"/>
        <v/>
      </c>
      <c r="M122" s="401" t="str">
        <f t="shared" si="15"/>
        <v/>
      </c>
    </row>
    <row r="123" spans="1:13" x14ac:dyDescent="0.25">
      <c r="A123" s="784"/>
      <c r="B123" s="780"/>
      <c r="C123" s="55"/>
      <c r="D123" s="61"/>
      <c r="E123" s="61"/>
      <c r="F123" s="21"/>
      <c r="G123" s="38"/>
      <c r="H123" s="17" t="str">
        <f t="shared" si="13"/>
        <v/>
      </c>
      <c r="I123" s="40"/>
      <c r="J123" s="62"/>
      <c r="K123" s="62"/>
      <c r="L123" s="420" t="str">
        <f t="shared" si="14"/>
        <v/>
      </c>
      <c r="M123" s="401" t="str">
        <f t="shared" si="15"/>
        <v/>
      </c>
    </row>
    <row r="124" spans="1:13" x14ac:dyDescent="0.25">
      <c r="A124" s="784"/>
      <c r="B124" s="780"/>
      <c r="C124" s="36"/>
      <c r="D124" s="21"/>
      <c r="E124" s="21"/>
      <c r="F124" s="21"/>
      <c r="G124" s="38"/>
      <c r="H124" s="17" t="str">
        <f t="shared" si="13"/>
        <v/>
      </c>
      <c r="I124" s="40"/>
      <c r="J124" s="62"/>
      <c r="K124" s="62"/>
      <c r="L124" s="420" t="str">
        <f t="shared" si="14"/>
        <v/>
      </c>
      <c r="M124" s="401" t="str">
        <f t="shared" si="15"/>
        <v/>
      </c>
    </row>
    <row r="125" spans="1:13" x14ac:dyDescent="0.25">
      <c r="A125" s="784"/>
      <c r="B125" s="150"/>
      <c r="C125" s="55"/>
      <c r="D125" s="21"/>
      <c r="E125" s="21"/>
      <c r="F125" s="21"/>
      <c r="G125" s="38"/>
      <c r="H125" s="17" t="str">
        <f t="shared" si="13"/>
        <v/>
      </c>
      <c r="I125" s="40"/>
      <c r="J125" s="62"/>
      <c r="K125" s="62"/>
      <c r="L125" s="420" t="str">
        <f t="shared" si="14"/>
        <v/>
      </c>
      <c r="M125" s="401" t="str">
        <f t="shared" si="15"/>
        <v/>
      </c>
    </row>
    <row r="126" spans="1:13" x14ac:dyDescent="0.25">
      <c r="A126" s="784"/>
      <c r="B126" s="58"/>
      <c r="C126" s="36"/>
      <c r="D126" s="21"/>
      <c r="E126" s="21"/>
      <c r="F126" s="21"/>
      <c r="G126" s="38"/>
      <c r="H126" s="17" t="str">
        <f t="shared" si="13"/>
        <v/>
      </c>
      <c r="I126" s="40"/>
      <c r="J126" s="62"/>
      <c r="K126" s="62"/>
      <c r="L126" s="420" t="str">
        <f t="shared" si="14"/>
        <v/>
      </c>
      <c r="M126" s="401" t="str">
        <f t="shared" si="15"/>
        <v/>
      </c>
    </row>
    <row r="127" spans="1:13" x14ac:dyDescent="0.25">
      <c r="A127" s="784"/>
      <c r="B127" s="58"/>
      <c r="D127" s="21"/>
      <c r="E127" s="21"/>
      <c r="F127" s="21"/>
      <c r="G127" s="38"/>
      <c r="H127" s="17" t="str">
        <f t="shared" si="13"/>
        <v/>
      </c>
      <c r="I127" s="40"/>
      <c r="J127" s="62"/>
      <c r="K127" s="62"/>
      <c r="L127" s="420" t="str">
        <f t="shared" si="14"/>
        <v/>
      </c>
      <c r="M127" s="401" t="str">
        <f t="shared" si="15"/>
        <v/>
      </c>
    </row>
    <row r="128" spans="1:13" x14ac:dyDescent="0.25">
      <c r="A128" s="784"/>
      <c r="B128" s="58"/>
      <c r="C128" s="36"/>
      <c r="D128" s="21"/>
      <c r="E128" s="21"/>
      <c r="F128" s="21"/>
      <c r="G128" s="38"/>
      <c r="H128" s="17" t="str">
        <f t="shared" si="13"/>
        <v/>
      </c>
      <c r="I128" s="40"/>
      <c r="J128" s="62"/>
      <c r="K128" s="62"/>
      <c r="L128" s="420" t="str">
        <f t="shared" si="14"/>
        <v/>
      </c>
      <c r="M128" s="401" t="str">
        <f t="shared" si="15"/>
        <v/>
      </c>
    </row>
    <row r="129" spans="1:13" x14ac:dyDescent="0.25">
      <c r="A129" s="784"/>
      <c r="B129" s="780"/>
      <c r="C129" s="55"/>
      <c r="D129" s="21"/>
      <c r="E129" s="21"/>
      <c r="F129" s="21"/>
      <c r="G129" s="38"/>
      <c r="H129" s="17" t="str">
        <f t="shared" si="13"/>
        <v/>
      </c>
      <c r="I129" s="40"/>
      <c r="J129" s="62"/>
      <c r="K129" s="62"/>
      <c r="L129" s="420" t="str">
        <f t="shared" si="14"/>
        <v/>
      </c>
      <c r="M129" s="401" t="str">
        <f t="shared" si="15"/>
        <v/>
      </c>
    </row>
    <row r="130" spans="1:13" x14ac:dyDescent="0.25">
      <c r="A130" s="784"/>
      <c r="B130" s="780"/>
      <c r="C130" s="36"/>
      <c r="D130" s="21"/>
      <c r="E130" s="21"/>
      <c r="F130" s="21"/>
      <c r="G130" s="38"/>
      <c r="H130" s="17" t="str">
        <f t="shared" si="13"/>
        <v/>
      </c>
      <c r="I130" s="40"/>
      <c r="J130" s="62"/>
      <c r="K130" s="62"/>
      <c r="L130" s="420" t="str">
        <f t="shared" si="14"/>
        <v/>
      </c>
      <c r="M130" s="401" t="str">
        <f t="shared" si="15"/>
        <v/>
      </c>
    </row>
    <row r="131" spans="1:13" x14ac:dyDescent="0.25">
      <c r="A131" s="784"/>
      <c r="B131" s="150"/>
      <c r="C131" s="36"/>
      <c r="D131" s="61"/>
      <c r="E131" s="61"/>
      <c r="F131" s="21"/>
      <c r="G131" s="38"/>
      <c r="H131" s="17" t="str">
        <f t="shared" si="13"/>
        <v/>
      </c>
      <c r="I131" s="40"/>
      <c r="J131" s="62"/>
      <c r="K131" s="62"/>
      <c r="L131" s="420" t="str">
        <f t="shared" si="14"/>
        <v/>
      </c>
      <c r="M131" s="401" t="str">
        <f t="shared" si="15"/>
        <v/>
      </c>
    </row>
    <row r="132" spans="1:13" x14ac:dyDescent="0.25">
      <c r="A132" s="784"/>
      <c r="B132" s="780"/>
      <c r="C132" s="36"/>
      <c r="D132" s="21"/>
      <c r="E132" s="21"/>
      <c r="F132" s="21"/>
      <c r="G132" s="38"/>
      <c r="H132" s="17" t="str">
        <f t="shared" si="13"/>
        <v/>
      </c>
      <c r="I132" s="40"/>
      <c r="J132" s="62"/>
      <c r="K132" s="62"/>
      <c r="L132" s="420" t="str">
        <f t="shared" si="14"/>
        <v/>
      </c>
      <c r="M132" s="401" t="str">
        <f t="shared" si="15"/>
        <v/>
      </c>
    </row>
    <row r="133" spans="1:13" x14ac:dyDescent="0.25">
      <c r="A133" s="784"/>
      <c r="B133" s="780"/>
      <c r="C133" s="36"/>
      <c r="D133" s="21"/>
      <c r="E133" s="21"/>
      <c r="F133" s="21"/>
      <c r="G133" s="38"/>
      <c r="H133" s="17" t="str">
        <f t="shared" si="13"/>
        <v/>
      </c>
      <c r="I133" s="40"/>
      <c r="J133" s="62"/>
      <c r="K133" s="62"/>
      <c r="L133" s="420" t="str">
        <f t="shared" si="14"/>
        <v/>
      </c>
      <c r="M133" s="401" t="str">
        <f t="shared" si="15"/>
        <v/>
      </c>
    </row>
    <row r="134" spans="1:13" x14ac:dyDescent="0.25">
      <c r="A134" s="784"/>
      <c r="B134" s="780"/>
      <c r="C134" s="36"/>
      <c r="D134" s="21"/>
      <c r="E134" s="21"/>
      <c r="F134" s="21"/>
      <c r="G134" s="38"/>
      <c r="H134" s="17" t="str">
        <f t="shared" si="13"/>
        <v/>
      </c>
      <c r="I134" s="40"/>
      <c r="J134" s="62"/>
      <c r="K134" s="62"/>
      <c r="L134" s="420" t="str">
        <f t="shared" si="14"/>
        <v/>
      </c>
      <c r="M134" s="401" t="str">
        <f t="shared" si="15"/>
        <v/>
      </c>
    </row>
    <row r="135" spans="1:13" x14ac:dyDescent="0.25">
      <c r="A135" s="784"/>
      <c r="B135" s="780"/>
      <c r="C135" s="36"/>
      <c r="D135" s="21"/>
      <c r="E135" s="21"/>
      <c r="F135" s="21"/>
      <c r="G135" s="38"/>
      <c r="H135" s="17" t="str">
        <f t="shared" si="13"/>
        <v/>
      </c>
      <c r="I135" s="40"/>
      <c r="J135" s="62"/>
      <c r="K135" s="62"/>
      <c r="L135" s="420" t="str">
        <f t="shared" si="14"/>
        <v/>
      </c>
      <c r="M135" s="401" t="str">
        <f t="shared" si="15"/>
        <v/>
      </c>
    </row>
    <row r="136" spans="1:13" x14ac:dyDescent="0.25">
      <c r="A136" s="784"/>
      <c r="B136" s="780"/>
      <c r="C136" s="36"/>
      <c r="D136" s="21"/>
      <c r="E136" s="21"/>
      <c r="F136" s="21"/>
      <c r="G136" s="38"/>
      <c r="H136" s="17" t="str">
        <f t="shared" si="13"/>
        <v/>
      </c>
      <c r="I136" s="40"/>
      <c r="J136" s="62"/>
      <c r="K136" s="62"/>
      <c r="L136" s="420" t="str">
        <f t="shared" si="14"/>
        <v/>
      </c>
      <c r="M136" s="401" t="str">
        <f t="shared" si="15"/>
        <v/>
      </c>
    </row>
    <row r="137" spans="1:13" x14ac:dyDescent="0.25">
      <c r="A137" s="784"/>
      <c r="B137" s="780"/>
      <c r="C137" s="36"/>
      <c r="D137" s="21"/>
      <c r="E137" s="21"/>
      <c r="F137" s="21"/>
      <c r="G137" s="38"/>
      <c r="H137" s="17" t="str">
        <f t="shared" si="13"/>
        <v/>
      </c>
      <c r="I137" s="40"/>
      <c r="J137" s="62"/>
      <c r="K137" s="62"/>
      <c r="L137" s="420" t="str">
        <f t="shared" si="14"/>
        <v/>
      </c>
      <c r="M137" s="401" t="str">
        <f t="shared" si="15"/>
        <v/>
      </c>
    </row>
    <row r="138" spans="1:13" x14ac:dyDescent="0.25">
      <c r="A138" s="784"/>
      <c r="B138" s="780"/>
      <c r="C138" s="36"/>
      <c r="D138" s="21"/>
      <c r="E138" s="21"/>
      <c r="F138" s="21"/>
      <c r="G138" s="38"/>
      <c r="H138" s="17" t="str">
        <f t="shared" si="13"/>
        <v/>
      </c>
      <c r="I138" s="40"/>
      <c r="J138" s="62"/>
      <c r="K138" s="62"/>
      <c r="L138" s="420" t="str">
        <f t="shared" si="14"/>
        <v/>
      </c>
      <c r="M138" s="401" t="str">
        <f t="shared" si="15"/>
        <v/>
      </c>
    </row>
    <row r="139" spans="1:13" x14ac:dyDescent="0.25">
      <c r="A139" s="784"/>
      <c r="B139" s="780"/>
      <c r="C139" s="36"/>
      <c r="D139" s="21"/>
      <c r="E139" s="21"/>
      <c r="F139" s="21"/>
      <c r="G139" s="38"/>
      <c r="H139" s="17" t="str">
        <f t="shared" si="13"/>
        <v/>
      </c>
      <c r="I139" s="40"/>
      <c r="J139" s="42"/>
      <c r="K139" s="42"/>
      <c r="L139" s="42" t="str">
        <f t="shared" si="14"/>
        <v/>
      </c>
      <c r="M139" s="42" t="str">
        <f t="shared" si="15"/>
        <v/>
      </c>
    </row>
    <row r="140" spans="1:13" x14ac:dyDescent="0.25">
      <c r="A140" s="784"/>
      <c r="B140" s="780"/>
      <c r="C140" s="36"/>
      <c r="D140" s="21"/>
      <c r="E140" s="21"/>
      <c r="F140" s="21"/>
      <c r="G140" s="38"/>
      <c r="H140" s="17" t="str">
        <f t="shared" si="13"/>
        <v/>
      </c>
      <c r="I140" s="40"/>
      <c r="J140" s="42"/>
      <c r="K140" s="42"/>
      <c r="L140" s="42" t="str">
        <f t="shared" si="14"/>
        <v/>
      </c>
      <c r="M140" s="42" t="str">
        <f t="shared" si="15"/>
        <v/>
      </c>
    </row>
    <row r="141" spans="1:13" x14ac:dyDescent="0.25">
      <c r="A141" s="784"/>
      <c r="B141" s="780"/>
      <c r="C141" s="36"/>
      <c r="D141" s="21"/>
      <c r="E141" s="21"/>
      <c r="F141" s="21"/>
      <c r="G141" s="38"/>
      <c r="H141" s="17" t="str">
        <f t="shared" si="13"/>
        <v/>
      </c>
      <c r="I141" s="40"/>
      <c r="J141" s="42"/>
      <c r="K141" s="42"/>
      <c r="L141" s="42" t="str">
        <f t="shared" si="14"/>
        <v/>
      </c>
      <c r="M141" s="42" t="str">
        <f t="shared" si="15"/>
        <v/>
      </c>
    </row>
    <row r="142" spans="1:13" x14ac:dyDescent="0.25">
      <c r="A142" s="784"/>
      <c r="B142" s="780"/>
      <c r="C142" s="36"/>
      <c r="D142" s="21"/>
      <c r="E142" s="21"/>
      <c r="F142" s="21"/>
      <c r="G142" s="38"/>
      <c r="H142" s="17" t="str">
        <f t="shared" si="13"/>
        <v/>
      </c>
      <c r="I142" s="40"/>
      <c r="J142" s="42"/>
      <c r="K142" s="42"/>
      <c r="L142" s="42" t="str">
        <f t="shared" si="14"/>
        <v/>
      </c>
      <c r="M142" s="42" t="str">
        <f t="shared" si="15"/>
        <v/>
      </c>
    </row>
    <row r="143" spans="1:13" x14ac:dyDescent="0.25">
      <c r="A143" s="784"/>
      <c r="B143" s="780"/>
      <c r="C143" s="36"/>
      <c r="D143" s="21"/>
      <c r="E143" s="21"/>
      <c r="F143" s="21"/>
      <c r="G143" s="38"/>
      <c r="H143" s="17" t="str">
        <f t="shared" si="13"/>
        <v/>
      </c>
      <c r="I143" s="40"/>
      <c r="J143" s="42"/>
      <c r="K143" s="42"/>
      <c r="L143" s="42" t="str">
        <f t="shared" si="14"/>
        <v/>
      </c>
      <c r="M143" s="42" t="str">
        <f t="shared" si="15"/>
        <v/>
      </c>
    </row>
    <row r="144" spans="1:13" x14ac:dyDescent="0.25">
      <c r="A144" s="784"/>
      <c r="B144" s="780"/>
      <c r="C144" s="36"/>
      <c r="D144" s="21"/>
      <c r="E144" s="21"/>
      <c r="F144" s="21"/>
      <c r="G144" s="38"/>
      <c r="H144" s="17" t="str">
        <f t="shared" si="13"/>
        <v/>
      </c>
      <c r="I144" s="40"/>
      <c r="J144" s="62"/>
      <c r="K144" s="62"/>
      <c r="L144" s="420" t="str">
        <f t="shared" si="14"/>
        <v/>
      </c>
      <c r="M144" s="401" t="str">
        <f t="shared" si="15"/>
        <v/>
      </c>
    </row>
    <row r="145" spans="1:13" x14ac:dyDescent="0.25">
      <c r="A145" s="784"/>
      <c r="B145" s="150"/>
      <c r="D145" s="21"/>
      <c r="E145" s="21"/>
      <c r="F145" s="21"/>
      <c r="G145" s="38"/>
      <c r="H145" s="17" t="str">
        <f t="shared" si="13"/>
        <v/>
      </c>
      <c r="I145" s="40"/>
      <c r="J145" s="61"/>
      <c r="K145" s="696"/>
      <c r="L145" s="420" t="str">
        <f t="shared" si="14"/>
        <v/>
      </c>
      <c r="M145" s="401" t="str">
        <f t="shared" si="15"/>
        <v/>
      </c>
    </row>
    <row r="146" spans="1:13" s="28" customFormat="1" ht="19.5" customHeight="1" x14ac:dyDescent="0.25">
      <c r="B146" s="135" t="str">
        <f>$B$12</f>
        <v>C4.4</v>
      </c>
      <c r="C146" s="498" t="str">
        <f>"TOTAL CARRIED FORWARD"&amp;IF(H146=H$1," TO SUMMARY (Page C"&amp;Page_A&amp;")","")</f>
        <v>TOTAL CARRIED FORWARD TO SUMMARY (Page C48)</v>
      </c>
      <c r="D146" s="31"/>
      <c r="E146" s="31"/>
      <c r="F146" s="32"/>
      <c r="G146" s="31"/>
      <c r="H146" s="33">
        <f>SUM(H84:H145)</f>
        <v>0</v>
      </c>
      <c r="I146" s="34"/>
      <c r="J146" s="408"/>
      <c r="K146" s="406"/>
      <c r="L146" s="418">
        <f>SUM(L84:L145)</f>
        <v>0</v>
      </c>
      <c r="M146" s="407" t="str">
        <f t="shared" ref="M146" si="16">IF(J146="","",IF(SUM(H146)=0,"",L146/H146))</f>
        <v/>
      </c>
    </row>
    <row r="147" spans="1:13" ht="13" x14ac:dyDescent="0.25">
      <c r="B147" s="1108" t="str">
        <f>Client1</f>
        <v>Province of KwaZulu-Natal</v>
      </c>
      <c r="C147" s="1108"/>
      <c r="D147" s="1108"/>
      <c r="E147" s="87"/>
      <c r="F147" s="1109" t="str">
        <f>"Contract No. "&amp;ContractNo</f>
        <v>Contract No. ZNB 00399/00000/HOD/INF/21/T</v>
      </c>
      <c r="G147" s="1109"/>
      <c r="H147" s="1109"/>
    </row>
    <row r="148" spans="1:13" ht="13" x14ac:dyDescent="0.25">
      <c r="B148" s="1108" t="str">
        <f>Client2</f>
        <v>Department of Transport</v>
      </c>
      <c r="C148" s="1108"/>
      <c r="D148" s="1108"/>
      <c r="E148" s="87"/>
      <c r="F148" s="1109"/>
      <c r="G148" s="1109"/>
      <c r="H148" s="1109"/>
    </row>
    <row r="149" spans="1:13" x14ac:dyDescent="0.25">
      <c r="B149" s="1111"/>
      <c r="C149" s="1111"/>
      <c r="D149" s="1111"/>
      <c r="E149" s="78"/>
      <c r="F149" s="1110"/>
      <c r="G149" s="1110"/>
      <c r="H149" s="1110"/>
    </row>
    <row r="150" spans="1:13" ht="13" x14ac:dyDescent="0.25">
      <c r="B150" s="1112" t="s">
        <v>8</v>
      </c>
      <c r="C150" s="1113"/>
      <c r="D150" s="1113"/>
      <c r="E150" s="1113"/>
      <c r="F150" s="1113"/>
      <c r="G150" s="1113"/>
      <c r="H150" s="1128" t="str">
        <f>$H$6</f>
        <v>CHAPTER C4.4</v>
      </c>
      <c r="I150" s="6"/>
    </row>
    <row r="151" spans="1:13" ht="13" x14ac:dyDescent="0.25">
      <c r="B151" s="1117" t="str">
        <f>ContractDescription</f>
        <v>THE CONSTRUCTION OF EARTHWORKS, LAYERWORKS, SURFACING, CULVERTS AND CWAKA RIVER BRIDGE FROM KM 11.600 TO KM 14.000 ON MAIN ROAD P494 IN THE KING CETSHWAYO DISTRICT UNDER EMPANGENI REGION</v>
      </c>
      <c r="C151" s="1118"/>
      <c r="D151" s="1118"/>
      <c r="E151" s="1118"/>
      <c r="F151" s="1118"/>
      <c r="G151" s="1118"/>
      <c r="H151" s="1109"/>
      <c r="I151" s="8"/>
    </row>
    <row r="152" spans="1:13" ht="13" x14ac:dyDescent="0.25">
      <c r="B152" s="1117"/>
      <c r="C152" s="1118"/>
      <c r="D152" s="1118"/>
      <c r="E152" s="1118"/>
      <c r="F152" s="1118"/>
      <c r="G152" s="1118"/>
      <c r="H152" s="1109"/>
      <c r="I152" s="8"/>
    </row>
    <row r="153" spans="1:13" ht="13" x14ac:dyDescent="0.25">
      <c r="B153" s="1119"/>
      <c r="C153" s="1120"/>
      <c r="D153" s="1120"/>
      <c r="E153" s="1120"/>
      <c r="F153" s="1120"/>
      <c r="G153" s="1120"/>
      <c r="H153" s="1110"/>
      <c r="I153" s="8"/>
    </row>
    <row r="154" spans="1:13" s="9" customFormat="1" ht="25" customHeight="1" x14ac:dyDescent="0.25">
      <c r="B154" s="74" t="s">
        <v>0</v>
      </c>
      <c r="C154" s="11" t="s">
        <v>1</v>
      </c>
      <c r="D154" s="11" t="s">
        <v>2</v>
      </c>
      <c r="E154" s="11"/>
      <c r="F154" s="11" t="s">
        <v>3</v>
      </c>
      <c r="G154" s="11" t="s">
        <v>4</v>
      </c>
      <c r="H154" s="11" t="s">
        <v>5</v>
      </c>
      <c r="I154" s="12"/>
      <c r="J154" s="408" t="s">
        <v>996</v>
      </c>
      <c r="K154" s="253" t="s">
        <v>997</v>
      </c>
      <c r="L154" s="253" t="s">
        <v>998</v>
      </c>
      <c r="M154" s="253" t="s">
        <v>999</v>
      </c>
    </row>
    <row r="155" spans="1:13" s="28" customFormat="1" ht="19.5" customHeight="1" x14ac:dyDescent="0.25">
      <c r="B155" s="80"/>
      <c r="C155" s="30" t="s">
        <v>27</v>
      </c>
      <c r="D155" s="31"/>
      <c r="E155" s="31"/>
      <c r="F155" s="32"/>
      <c r="G155" s="31"/>
      <c r="H155" s="33">
        <f>H146</f>
        <v>0</v>
      </c>
      <c r="I155" s="34"/>
      <c r="J155" s="744"/>
      <c r="K155" s="409"/>
      <c r="L155" s="419">
        <f>L146</f>
        <v>0</v>
      </c>
      <c r="M155" s="410" t="str">
        <f t="shared" ref="M155:M156" si="17">IF(J155="","",IF(SUM(H155)=0,"",L155/H155))</f>
        <v/>
      </c>
    </row>
    <row r="156" spans="1:13" x14ac:dyDescent="0.25">
      <c r="B156" s="150"/>
      <c r="D156" s="21"/>
      <c r="E156" s="21"/>
      <c r="F156" s="21"/>
      <c r="G156" s="38"/>
      <c r="H156" s="17" t="str">
        <f t="shared" ref="H156:H211" si="18">IF(D156="","",F156*G156)</f>
        <v/>
      </c>
      <c r="I156" s="40"/>
      <c r="J156" s="61"/>
      <c r="K156" s="399"/>
      <c r="L156" s="420" t="str">
        <f t="shared" ref="L156" si="19">IF(J156="","",F156*K156)</f>
        <v/>
      </c>
      <c r="M156" s="401" t="str">
        <f t="shared" si="17"/>
        <v/>
      </c>
    </row>
    <row r="157" spans="1:13" x14ac:dyDescent="0.25">
      <c r="B157" s="780"/>
      <c r="C157" s="36"/>
      <c r="D157" s="21"/>
      <c r="E157" s="21"/>
      <c r="F157" s="21"/>
      <c r="G157" s="38"/>
      <c r="H157" s="17" t="str">
        <f t="shared" si="18"/>
        <v/>
      </c>
      <c r="I157" s="40"/>
      <c r="J157" s="61"/>
      <c r="K157" s="399"/>
      <c r="L157" s="420" t="str">
        <f t="shared" ref="L157:L211" si="20">IF(J157="","",F157*K157)</f>
        <v/>
      </c>
      <c r="M157" s="401" t="str">
        <f t="shared" ref="M157:M211" si="21">IF(J157="","",IF(SUM(H157)=0,"",L157/H157))</f>
        <v/>
      </c>
    </row>
    <row r="158" spans="1:13" x14ac:dyDescent="0.25">
      <c r="B158" s="780"/>
      <c r="C158" s="36"/>
      <c r="D158" s="21"/>
      <c r="E158" s="21"/>
      <c r="F158" s="21"/>
      <c r="G158" s="38"/>
      <c r="H158" s="17" t="str">
        <f t="shared" si="18"/>
        <v/>
      </c>
      <c r="I158" s="40"/>
      <c r="J158" s="61"/>
      <c r="K158" s="399"/>
      <c r="L158" s="420" t="str">
        <f t="shared" si="20"/>
        <v/>
      </c>
      <c r="M158" s="401" t="str">
        <f t="shared" si="21"/>
        <v/>
      </c>
    </row>
    <row r="159" spans="1:13" x14ac:dyDescent="0.25">
      <c r="B159" s="58"/>
      <c r="C159" s="36"/>
      <c r="D159" s="21"/>
      <c r="E159" s="21"/>
      <c r="F159" s="21"/>
      <c r="G159" s="38"/>
      <c r="H159" s="17" t="str">
        <f t="shared" si="18"/>
        <v/>
      </c>
      <c r="I159" s="40"/>
      <c r="J159" s="61"/>
      <c r="K159" s="399"/>
      <c r="L159" s="420" t="str">
        <f t="shared" si="20"/>
        <v/>
      </c>
      <c r="M159" s="401" t="str">
        <f t="shared" si="21"/>
        <v/>
      </c>
    </row>
    <row r="160" spans="1:13" x14ac:dyDescent="0.25">
      <c r="B160" s="58"/>
      <c r="D160" s="21"/>
      <c r="E160" s="21"/>
      <c r="F160" s="21"/>
      <c r="G160" s="38"/>
      <c r="H160" s="17" t="str">
        <f t="shared" si="18"/>
        <v/>
      </c>
      <c r="I160" s="40"/>
      <c r="J160" s="61"/>
      <c r="K160" s="400"/>
      <c r="L160" s="420" t="str">
        <f t="shared" si="20"/>
        <v/>
      </c>
      <c r="M160" s="401" t="str">
        <f t="shared" si="21"/>
        <v/>
      </c>
    </row>
    <row r="161" spans="2:13" x14ac:dyDescent="0.25">
      <c r="B161" s="58"/>
      <c r="C161" s="36"/>
      <c r="D161" s="21"/>
      <c r="E161" s="21"/>
      <c r="F161" s="21"/>
      <c r="G161" s="38"/>
      <c r="H161" s="17" t="str">
        <f t="shared" si="18"/>
        <v/>
      </c>
      <c r="I161" s="40"/>
      <c r="J161" s="61"/>
      <c r="K161" s="399"/>
      <c r="L161" s="420" t="str">
        <f t="shared" si="20"/>
        <v/>
      </c>
      <c r="M161" s="401" t="str">
        <f t="shared" si="21"/>
        <v/>
      </c>
    </row>
    <row r="162" spans="2:13" x14ac:dyDescent="0.25">
      <c r="B162" s="58"/>
      <c r="D162" s="21"/>
      <c r="E162" s="21"/>
      <c r="F162" s="21"/>
      <c r="G162" s="38"/>
      <c r="H162" s="17" t="str">
        <f t="shared" si="18"/>
        <v/>
      </c>
      <c r="I162" s="40"/>
      <c r="J162" s="61"/>
      <c r="K162" s="399"/>
      <c r="L162" s="420" t="str">
        <f t="shared" si="20"/>
        <v/>
      </c>
      <c r="M162" s="401" t="str">
        <f t="shared" si="21"/>
        <v/>
      </c>
    </row>
    <row r="163" spans="2:13" x14ac:dyDescent="0.25">
      <c r="B163" s="58"/>
      <c r="C163" s="36"/>
      <c r="D163" s="21"/>
      <c r="E163" s="21"/>
      <c r="F163" s="21"/>
      <c r="G163" s="38"/>
      <c r="H163" s="17" t="str">
        <f t="shared" si="18"/>
        <v/>
      </c>
      <c r="I163" s="40"/>
      <c r="J163" s="61"/>
      <c r="K163" s="399"/>
      <c r="L163" s="420" t="str">
        <f t="shared" si="20"/>
        <v/>
      </c>
      <c r="M163" s="401" t="str">
        <f t="shared" si="21"/>
        <v/>
      </c>
    </row>
    <row r="164" spans="2:13" x14ac:dyDescent="0.25">
      <c r="B164" s="58"/>
      <c r="C164" s="51"/>
      <c r="D164" s="21"/>
      <c r="E164" s="21"/>
      <c r="F164" s="21"/>
      <c r="G164" s="38"/>
      <c r="H164" s="17" t="str">
        <f t="shared" si="18"/>
        <v/>
      </c>
      <c r="I164" s="40"/>
      <c r="J164" s="61"/>
      <c r="K164" s="402"/>
      <c r="L164" s="420" t="str">
        <f t="shared" si="20"/>
        <v/>
      </c>
      <c r="M164" s="401" t="str">
        <f t="shared" si="21"/>
        <v/>
      </c>
    </row>
    <row r="165" spans="2:13" x14ac:dyDescent="0.25">
      <c r="B165" s="780"/>
      <c r="C165" s="36"/>
      <c r="D165" s="21"/>
      <c r="E165" s="21"/>
      <c r="F165" s="21"/>
      <c r="G165" s="38"/>
      <c r="H165" s="17" t="str">
        <f t="shared" si="18"/>
        <v/>
      </c>
      <c r="I165" s="40"/>
      <c r="J165" s="61"/>
      <c r="K165" s="402"/>
      <c r="L165" s="420" t="str">
        <f t="shared" si="20"/>
        <v/>
      </c>
      <c r="M165" s="401" t="str">
        <f t="shared" si="21"/>
        <v/>
      </c>
    </row>
    <row r="166" spans="2:13" x14ac:dyDescent="0.25">
      <c r="B166" s="58"/>
      <c r="C166" s="36"/>
      <c r="D166" s="61"/>
      <c r="E166" s="61"/>
      <c r="F166" s="21"/>
      <c r="G166" s="38"/>
      <c r="H166" s="17" t="str">
        <f t="shared" si="18"/>
        <v/>
      </c>
      <c r="I166" s="40"/>
      <c r="J166" s="61"/>
      <c r="K166" s="402"/>
      <c r="L166" s="420" t="str">
        <f t="shared" si="20"/>
        <v/>
      </c>
      <c r="M166" s="401" t="str">
        <f t="shared" si="21"/>
        <v/>
      </c>
    </row>
    <row r="167" spans="2:13" ht="36.65" customHeight="1" x14ac:dyDescent="0.25">
      <c r="B167" s="780"/>
      <c r="C167" s="55"/>
      <c r="D167" s="21"/>
      <c r="E167" s="21"/>
      <c r="F167" s="21"/>
      <c r="G167" s="38"/>
      <c r="H167" s="17" t="str">
        <f t="shared" si="18"/>
        <v/>
      </c>
      <c r="I167" s="40"/>
      <c r="J167" s="61"/>
      <c r="K167" s="402"/>
      <c r="L167" s="420" t="str">
        <f t="shared" si="20"/>
        <v/>
      </c>
      <c r="M167" s="401" t="str">
        <f t="shared" si="21"/>
        <v/>
      </c>
    </row>
    <row r="168" spans="2:13" x14ac:dyDescent="0.25">
      <c r="B168" s="150"/>
      <c r="C168" s="36"/>
      <c r="D168" s="61"/>
      <c r="E168" s="61"/>
      <c r="F168" s="21"/>
      <c r="G168" s="38"/>
      <c r="H168" s="17" t="str">
        <f t="shared" si="18"/>
        <v/>
      </c>
      <c r="I168" s="40"/>
      <c r="J168" s="61"/>
      <c r="K168" s="399"/>
      <c r="L168" s="420" t="str">
        <f t="shared" si="20"/>
        <v/>
      </c>
      <c r="M168" s="401" t="str">
        <f t="shared" si="21"/>
        <v/>
      </c>
    </row>
    <row r="169" spans="2:13" x14ac:dyDescent="0.25">
      <c r="B169" s="780"/>
      <c r="C169" s="36"/>
      <c r="D169" s="61"/>
      <c r="E169" s="61"/>
      <c r="F169" s="21"/>
      <c r="G169" s="38"/>
      <c r="H169" s="17" t="str">
        <f t="shared" si="18"/>
        <v/>
      </c>
      <c r="I169" s="40"/>
      <c r="J169" s="61"/>
      <c r="K169" s="399"/>
      <c r="L169" s="420" t="str">
        <f t="shared" si="20"/>
        <v/>
      </c>
      <c r="M169" s="401" t="str">
        <f t="shared" si="21"/>
        <v/>
      </c>
    </row>
    <row r="170" spans="2:13" x14ac:dyDescent="0.25">
      <c r="B170" s="150"/>
      <c r="C170" s="50"/>
      <c r="D170" s="37"/>
      <c r="E170" s="37"/>
      <c r="F170" s="21"/>
      <c r="G170" s="38"/>
      <c r="H170" s="17" t="str">
        <f t="shared" si="18"/>
        <v/>
      </c>
      <c r="I170" s="40"/>
      <c r="J170" s="61"/>
      <c r="K170" s="399"/>
      <c r="L170" s="420" t="str">
        <f t="shared" si="20"/>
        <v/>
      </c>
      <c r="M170" s="401" t="str">
        <f t="shared" si="21"/>
        <v/>
      </c>
    </row>
    <row r="171" spans="2:13" x14ac:dyDescent="0.25">
      <c r="B171" s="780"/>
      <c r="C171" s="36"/>
      <c r="D171" s="61"/>
      <c r="E171" s="61"/>
      <c r="F171" s="21"/>
      <c r="G171" s="38"/>
      <c r="H171" s="17" t="str">
        <f t="shared" si="18"/>
        <v/>
      </c>
      <c r="I171" s="40"/>
      <c r="J171" s="61"/>
      <c r="K171" s="399"/>
      <c r="L171" s="420" t="str">
        <f t="shared" si="20"/>
        <v/>
      </c>
      <c r="M171" s="401" t="str">
        <f t="shared" si="21"/>
        <v/>
      </c>
    </row>
    <row r="172" spans="2:13" x14ac:dyDescent="0.25">
      <c r="B172" s="150"/>
      <c r="C172" s="50"/>
      <c r="D172" s="21"/>
      <c r="E172" s="21"/>
      <c r="F172" s="21"/>
      <c r="G172" s="38"/>
      <c r="H172" s="17" t="str">
        <f t="shared" si="18"/>
        <v/>
      </c>
      <c r="I172" s="40"/>
      <c r="J172" s="61"/>
      <c r="K172" s="399"/>
      <c r="L172" s="420" t="str">
        <f t="shared" si="20"/>
        <v/>
      </c>
      <c r="M172" s="401" t="str">
        <f t="shared" si="21"/>
        <v/>
      </c>
    </row>
    <row r="173" spans="2:13" x14ac:dyDescent="0.25">
      <c r="B173" s="780"/>
      <c r="C173" s="36"/>
      <c r="D173" s="21"/>
      <c r="E173" s="21"/>
      <c r="F173" s="21"/>
      <c r="G173" s="44"/>
      <c r="H173" s="743" t="str">
        <f t="shared" si="18"/>
        <v/>
      </c>
      <c r="I173" s="40"/>
      <c r="J173" s="61"/>
      <c r="K173" s="399"/>
      <c r="L173" s="420" t="str">
        <f t="shared" si="20"/>
        <v/>
      </c>
      <c r="M173" s="401" t="str">
        <f t="shared" si="21"/>
        <v/>
      </c>
    </row>
    <row r="174" spans="2:13" x14ac:dyDescent="0.25">
      <c r="B174" s="150"/>
      <c r="C174" s="50"/>
      <c r="D174" s="21"/>
      <c r="E174" s="21"/>
      <c r="F174" s="21"/>
      <c r="G174" s="44"/>
      <c r="H174" s="743" t="str">
        <f t="shared" si="18"/>
        <v/>
      </c>
      <c r="I174" s="40"/>
      <c r="J174" s="61"/>
      <c r="K174" s="399"/>
      <c r="L174" s="420" t="str">
        <f t="shared" si="20"/>
        <v/>
      </c>
      <c r="M174" s="401" t="str">
        <f t="shared" si="21"/>
        <v/>
      </c>
    </row>
    <row r="175" spans="2:13" x14ac:dyDescent="0.25">
      <c r="B175" s="780"/>
      <c r="C175" s="36"/>
      <c r="D175" s="21"/>
      <c r="E175" s="21"/>
      <c r="F175" s="766"/>
      <c r="G175" s="44"/>
      <c r="H175" s="743" t="str">
        <f t="shared" si="18"/>
        <v/>
      </c>
      <c r="I175" s="40"/>
      <c r="J175" s="61"/>
      <c r="K175" s="402"/>
      <c r="L175" s="420" t="str">
        <f t="shared" si="20"/>
        <v/>
      </c>
      <c r="M175" s="401" t="str">
        <f t="shared" si="21"/>
        <v/>
      </c>
    </row>
    <row r="176" spans="2:13" x14ac:dyDescent="0.25">
      <c r="B176" s="150"/>
      <c r="D176" s="21"/>
      <c r="E176" s="21"/>
      <c r="F176" s="21"/>
      <c r="G176" s="44"/>
      <c r="H176" s="743" t="str">
        <f t="shared" si="18"/>
        <v/>
      </c>
      <c r="I176" s="40"/>
      <c r="J176" s="61"/>
      <c r="K176" s="399"/>
      <c r="L176" s="420" t="str">
        <f t="shared" si="20"/>
        <v/>
      </c>
      <c r="M176" s="401" t="str">
        <f t="shared" si="21"/>
        <v/>
      </c>
    </row>
    <row r="177" spans="2:13" ht="14.5" x14ac:dyDescent="0.25">
      <c r="B177" s="783"/>
      <c r="C177" s="36"/>
      <c r="D177" s="61"/>
      <c r="E177" s="61"/>
      <c r="F177" s="766"/>
      <c r="G177" s="44"/>
      <c r="H177" s="743" t="str">
        <f t="shared" si="18"/>
        <v/>
      </c>
      <c r="I177" s="40"/>
      <c r="J177" s="61"/>
      <c r="K177" s="402"/>
      <c r="L177" s="420" t="str">
        <f t="shared" si="20"/>
        <v/>
      </c>
      <c r="M177" s="401" t="str">
        <f t="shared" si="21"/>
        <v/>
      </c>
    </row>
    <row r="178" spans="2:13" x14ac:dyDescent="0.25">
      <c r="B178" s="150"/>
      <c r="D178" s="21"/>
      <c r="E178" s="21"/>
      <c r="F178" s="21"/>
      <c r="G178" s="38"/>
      <c r="H178" s="17" t="str">
        <f t="shared" si="18"/>
        <v/>
      </c>
      <c r="I178" s="40"/>
      <c r="J178" s="61"/>
      <c r="K178" s="399"/>
      <c r="L178" s="420" t="str">
        <f t="shared" si="20"/>
        <v/>
      </c>
      <c r="M178" s="401" t="str">
        <f t="shared" si="21"/>
        <v/>
      </c>
    </row>
    <row r="179" spans="2:13" x14ac:dyDescent="0.25">
      <c r="B179" s="780"/>
      <c r="C179" s="36"/>
      <c r="D179" s="61"/>
      <c r="E179" s="61"/>
      <c r="F179" s="21"/>
      <c r="G179" s="38"/>
      <c r="H179" s="17" t="str">
        <f t="shared" si="18"/>
        <v/>
      </c>
      <c r="I179" s="40"/>
      <c r="J179" s="61"/>
      <c r="K179" s="399"/>
      <c r="L179" s="420" t="str">
        <f t="shared" si="20"/>
        <v/>
      </c>
      <c r="M179" s="401" t="str">
        <f t="shared" si="21"/>
        <v/>
      </c>
    </row>
    <row r="180" spans="2:13" x14ac:dyDescent="0.25">
      <c r="B180" s="150"/>
      <c r="C180" s="50"/>
      <c r="D180" s="21"/>
      <c r="E180" s="21"/>
      <c r="F180" s="21"/>
      <c r="G180" s="38"/>
      <c r="H180" s="17" t="str">
        <f t="shared" si="18"/>
        <v/>
      </c>
      <c r="I180" s="40"/>
      <c r="J180" s="61"/>
      <c r="K180" s="402"/>
      <c r="L180" s="420" t="str">
        <f t="shared" si="20"/>
        <v/>
      </c>
      <c r="M180" s="401" t="str">
        <f t="shared" si="21"/>
        <v/>
      </c>
    </row>
    <row r="181" spans="2:13" x14ac:dyDescent="0.25">
      <c r="B181" s="58"/>
      <c r="C181" s="51"/>
      <c r="D181" s="61"/>
      <c r="E181" s="61"/>
      <c r="F181" s="21"/>
      <c r="G181" s="38"/>
      <c r="H181" s="17" t="str">
        <f t="shared" si="18"/>
        <v/>
      </c>
      <c r="I181" s="40"/>
      <c r="J181" s="61"/>
      <c r="K181" s="399"/>
      <c r="L181" s="420" t="str">
        <f t="shared" si="20"/>
        <v/>
      </c>
      <c r="M181" s="401" t="str">
        <f t="shared" si="21"/>
        <v/>
      </c>
    </row>
    <row r="182" spans="2:13" x14ac:dyDescent="0.25">
      <c r="B182" s="150"/>
      <c r="D182" s="21"/>
      <c r="E182" s="21"/>
      <c r="F182" s="21"/>
      <c r="G182" s="38"/>
      <c r="H182" s="17" t="str">
        <f t="shared" si="18"/>
        <v/>
      </c>
      <c r="I182" s="40"/>
      <c r="J182" s="61"/>
      <c r="K182" s="399" t="str">
        <f>IF(D182="","",ROUND(Labour_perc_roads*G182,1))</f>
        <v/>
      </c>
      <c r="L182" s="420" t="str">
        <f t="shared" si="20"/>
        <v/>
      </c>
      <c r="M182" s="401" t="str">
        <f t="shared" si="21"/>
        <v/>
      </c>
    </row>
    <row r="183" spans="2:13" x14ac:dyDescent="0.25">
      <c r="B183" s="58"/>
      <c r="C183" s="51"/>
      <c r="D183" s="61"/>
      <c r="E183" s="61"/>
      <c r="F183" s="21"/>
      <c r="G183" s="38"/>
      <c r="H183" s="17" t="str">
        <f t="shared" si="18"/>
        <v/>
      </c>
      <c r="I183" s="40"/>
      <c r="J183" s="61"/>
      <c r="K183" s="402"/>
      <c r="L183" s="420" t="str">
        <f t="shared" si="20"/>
        <v/>
      </c>
      <c r="M183" s="401" t="str">
        <f t="shared" si="21"/>
        <v/>
      </c>
    </row>
    <row r="184" spans="2:13" x14ac:dyDescent="0.25">
      <c r="B184" s="150"/>
      <c r="D184" s="21"/>
      <c r="E184" s="21"/>
      <c r="F184" s="21"/>
      <c r="G184" s="38"/>
      <c r="H184" s="17" t="str">
        <f t="shared" si="18"/>
        <v/>
      </c>
      <c r="I184" s="40"/>
      <c r="J184" s="61"/>
      <c r="K184" s="399" t="str">
        <f>IF(D184="","",ROUND(Labour_perc_roads*G184,1))</f>
        <v/>
      </c>
      <c r="L184" s="420" t="str">
        <f t="shared" si="20"/>
        <v/>
      </c>
      <c r="M184" s="401" t="str">
        <f t="shared" si="21"/>
        <v/>
      </c>
    </row>
    <row r="185" spans="2:13" x14ac:dyDescent="0.25">
      <c r="B185" s="58"/>
      <c r="C185" s="36"/>
      <c r="D185" s="21"/>
      <c r="E185" s="21"/>
      <c r="F185" s="21"/>
      <c r="G185" s="38"/>
      <c r="H185" s="17" t="str">
        <f t="shared" si="18"/>
        <v/>
      </c>
      <c r="I185" s="40"/>
      <c r="J185" s="61"/>
      <c r="K185" s="399"/>
      <c r="L185" s="420" t="str">
        <f t="shared" si="20"/>
        <v/>
      </c>
      <c r="M185" s="401" t="str">
        <f t="shared" si="21"/>
        <v/>
      </c>
    </row>
    <row r="186" spans="2:13" x14ac:dyDescent="0.25">
      <c r="B186" s="150"/>
      <c r="D186" s="37"/>
      <c r="E186" s="37"/>
      <c r="F186" s="21"/>
      <c r="G186" s="38"/>
      <c r="H186" s="17" t="str">
        <f t="shared" si="18"/>
        <v/>
      </c>
      <c r="I186" s="40"/>
      <c r="J186" s="61"/>
      <c r="K186" s="399" t="str">
        <f>IF(D186="","",ROUND(Labour_perc_roads*G186,1))</f>
        <v/>
      </c>
      <c r="L186" s="420" t="str">
        <f t="shared" si="20"/>
        <v/>
      </c>
      <c r="M186" s="401" t="str">
        <f t="shared" si="21"/>
        <v/>
      </c>
    </row>
    <row r="187" spans="2:13" ht="28.5" customHeight="1" x14ac:dyDescent="0.25">
      <c r="B187" s="150"/>
      <c r="C187" s="51"/>
      <c r="D187" s="21"/>
      <c r="E187" s="21"/>
      <c r="F187" s="21"/>
      <c r="G187" s="38"/>
      <c r="H187" s="17" t="str">
        <f t="shared" si="18"/>
        <v/>
      </c>
      <c r="I187" s="40"/>
      <c r="J187" s="61"/>
      <c r="K187" s="399"/>
      <c r="L187" s="420" t="str">
        <f t="shared" si="20"/>
        <v/>
      </c>
      <c r="M187" s="401" t="str">
        <f t="shared" si="21"/>
        <v/>
      </c>
    </row>
    <row r="188" spans="2:13" x14ac:dyDescent="0.25">
      <c r="B188" s="150"/>
      <c r="D188" s="21"/>
      <c r="E188" s="21"/>
      <c r="F188" s="21"/>
      <c r="G188" s="38"/>
      <c r="H188" s="17" t="str">
        <f t="shared" si="18"/>
        <v/>
      </c>
      <c r="I188" s="40"/>
      <c r="J188" s="61"/>
      <c r="K188" s="62"/>
      <c r="L188" s="420" t="str">
        <f t="shared" si="20"/>
        <v/>
      </c>
      <c r="M188" s="401" t="str">
        <f t="shared" si="21"/>
        <v/>
      </c>
    </row>
    <row r="189" spans="2:13" ht="27.65" customHeight="1" x14ac:dyDescent="0.25">
      <c r="B189" s="780"/>
      <c r="C189" s="51"/>
      <c r="D189" s="37"/>
      <c r="E189" s="37"/>
      <c r="F189" s="21"/>
      <c r="G189" s="38"/>
      <c r="H189" s="17" t="str">
        <f t="shared" si="18"/>
        <v/>
      </c>
      <c r="I189" s="40"/>
      <c r="J189" s="61"/>
      <c r="K189" s="399"/>
      <c r="L189" s="420" t="str">
        <f t="shared" si="20"/>
        <v/>
      </c>
      <c r="M189" s="401" t="str">
        <f t="shared" si="21"/>
        <v/>
      </c>
    </row>
    <row r="190" spans="2:13" x14ac:dyDescent="0.25">
      <c r="B190" s="150"/>
      <c r="D190" s="21"/>
      <c r="E190" s="21"/>
      <c r="F190" s="21"/>
      <c r="G190" s="38"/>
      <c r="H190" s="17" t="str">
        <f t="shared" si="18"/>
        <v/>
      </c>
      <c r="I190" s="40"/>
      <c r="J190" s="61"/>
      <c r="K190" s="62"/>
      <c r="L190" s="420" t="str">
        <f t="shared" si="20"/>
        <v/>
      </c>
      <c r="M190" s="401" t="str">
        <f t="shared" si="21"/>
        <v/>
      </c>
    </row>
    <row r="191" spans="2:13" x14ac:dyDescent="0.25">
      <c r="B191" s="780"/>
      <c r="C191" s="35"/>
      <c r="D191" s="61"/>
      <c r="E191" s="61"/>
      <c r="F191" s="21"/>
      <c r="G191" s="38"/>
      <c r="H191" s="17" t="str">
        <f t="shared" si="18"/>
        <v/>
      </c>
      <c r="I191" s="40"/>
      <c r="J191" s="62"/>
      <c r="K191" s="62"/>
      <c r="L191" s="420" t="str">
        <f t="shared" si="20"/>
        <v/>
      </c>
      <c r="M191" s="401" t="str">
        <f t="shared" si="21"/>
        <v/>
      </c>
    </row>
    <row r="192" spans="2:13" x14ac:dyDescent="0.25">
      <c r="B192" s="150"/>
      <c r="D192" s="21"/>
      <c r="E192" s="21"/>
      <c r="F192" s="21"/>
      <c r="G192" s="38"/>
      <c r="H192" s="17" t="str">
        <f t="shared" si="18"/>
        <v/>
      </c>
      <c r="I192" s="40"/>
      <c r="J192" s="62"/>
      <c r="K192" s="62"/>
      <c r="L192" s="420" t="str">
        <f t="shared" si="20"/>
        <v/>
      </c>
      <c r="M192" s="401" t="str">
        <f t="shared" si="21"/>
        <v/>
      </c>
    </row>
    <row r="193" spans="2:13" x14ac:dyDescent="0.25">
      <c r="B193" s="150"/>
      <c r="C193" s="36"/>
      <c r="D193" s="86"/>
      <c r="E193" s="86"/>
      <c r="F193" s="21"/>
      <c r="G193" s="38"/>
      <c r="H193" s="17" t="str">
        <f t="shared" si="18"/>
        <v/>
      </c>
      <c r="I193" s="40"/>
      <c r="J193" s="62"/>
      <c r="K193" s="62"/>
      <c r="L193" s="420" t="str">
        <f t="shared" si="20"/>
        <v/>
      </c>
      <c r="M193" s="401" t="str">
        <f t="shared" si="21"/>
        <v/>
      </c>
    </row>
    <row r="194" spans="2:13" x14ac:dyDescent="0.25">
      <c r="B194" s="150"/>
      <c r="C194" s="36"/>
      <c r="D194" s="86"/>
      <c r="E194" s="86"/>
      <c r="F194" s="21"/>
      <c r="G194" s="38"/>
      <c r="H194" s="17" t="str">
        <f t="shared" si="18"/>
        <v/>
      </c>
      <c r="I194" s="40"/>
      <c r="J194" s="62"/>
      <c r="K194" s="62"/>
      <c r="L194" s="420" t="str">
        <f t="shared" si="20"/>
        <v/>
      </c>
      <c r="M194" s="401" t="str">
        <f t="shared" si="21"/>
        <v/>
      </c>
    </row>
    <row r="195" spans="2:13" x14ac:dyDescent="0.25">
      <c r="B195" s="150"/>
      <c r="C195" s="36"/>
      <c r="D195" s="86"/>
      <c r="E195" s="86"/>
      <c r="F195" s="21"/>
      <c r="G195" s="38"/>
      <c r="H195" s="17" t="str">
        <f t="shared" si="18"/>
        <v/>
      </c>
      <c r="I195" s="40"/>
      <c r="J195" s="62"/>
      <c r="K195" s="62"/>
      <c r="L195" s="420" t="str">
        <f t="shared" si="20"/>
        <v/>
      </c>
      <c r="M195" s="401" t="str">
        <f t="shared" si="21"/>
        <v/>
      </c>
    </row>
    <row r="196" spans="2:13" x14ac:dyDescent="0.25">
      <c r="B196" s="150"/>
      <c r="C196" s="36"/>
      <c r="D196" s="86"/>
      <c r="E196" s="86"/>
      <c r="F196" s="21"/>
      <c r="G196" s="38"/>
      <c r="H196" s="17" t="str">
        <f t="shared" si="18"/>
        <v/>
      </c>
      <c r="I196" s="40"/>
      <c r="J196" s="62"/>
      <c r="K196" s="62"/>
      <c r="L196" s="420" t="str">
        <f t="shared" si="20"/>
        <v/>
      </c>
      <c r="M196" s="401" t="str">
        <f t="shared" si="21"/>
        <v/>
      </c>
    </row>
    <row r="197" spans="2:13" x14ac:dyDescent="0.25">
      <c r="B197" s="150"/>
      <c r="C197" s="36"/>
      <c r="D197" s="86"/>
      <c r="E197" s="86"/>
      <c r="F197" s="21"/>
      <c r="G197" s="38"/>
      <c r="H197" s="17" t="str">
        <f t="shared" si="18"/>
        <v/>
      </c>
      <c r="I197" s="40"/>
      <c r="J197" s="62"/>
      <c r="K197" s="62"/>
      <c r="L197" s="420" t="str">
        <f t="shared" si="20"/>
        <v/>
      </c>
      <c r="M197" s="401" t="str">
        <f t="shared" si="21"/>
        <v/>
      </c>
    </row>
    <row r="198" spans="2:13" x14ac:dyDescent="0.25">
      <c r="B198" s="150"/>
      <c r="C198" s="36"/>
      <c r="D198" s="86"/>
      <c r="E198" s="86"/>
      <c r="F198" s="21"/>
      <c r="G198" s="38"/>
      <c r="H198" s="17" t="str">
        <f t="shared" si="18"/>
        <v/>
      </c>
      <c r="I198" s="40"/>
      <c r="J198" s="62"/>
      <c r="K198" s="62"/>
      <c r="L198" s="420" t="str">
        <f t="shared" si="20"/>
        <v/>
      </c>
      <c r="M198" s="401" t="str">
        <f t="shared" si="21"/>
        <v/>
      </c>
    </row>
    <row r="199" spans="2:13" x14ac:dyDescent="0.25">
      <c r="B199" s="150"/>
      <c r="C199" s="36"/>
      <c r="D199" s="86"/>
      <c r="E199" s="86"/>
      <c r="F199" s="21"/>
      <c r="G199" s="38"/>
      <c r="H199" s="17" t="str">
        <f t="shared" si="18"/>
        <v/>
      </c>
      <c r="I199" s="40"/>
      <c r="J199" s="62"/>
      <c r="K199" s="62"/>
      <c r="L199" s="420" t="str">
        <f t="shared" si="20"/>
        <v/>
      </c>
      <c r="M199" s="401" t="str">
        <f t="shared" si="21"/>
        <v/>
      </c>
    </row>
    <row r="200" spans="2:13" x14ac:dyDescent="0.25">
      <c r="B200" s="150"/>
      <c r="C200" s="36"/>
      <c r="D200" s="86"/>
      <c r="E200" s="86"/>
      <c r="F200" s="21"/>
      <c r="G200" s="38"/>
      <c r="H200" s="17" t="str">
        <f t="shared" si="18"/>
        <v/>
      </c>
      <c r="I200" s="40"/>
      <c r="J200" s="62"/>
      <c r="K200" s="62"/>
      <c r="L200" s="420" t="str">
        <f t="shared" si="20"/>
        <v/>
      </c>
      <c r="M200" s="401" t="str">
        <f t="shared" si="21"/>
        <v/>
      </c>
    </row>
    <row r="201" spans="2:13" x14ac:dyDescent="0.25">
      <c r="B201" s="150"/>
      <c r="C201" s="36"/>
      <c r="D201" s="86"/>
      <c r="E201" s="86"/>
      <c r="F201" s="21"/>
      <c r="G201" s="38"/>
      <c r="H201" s="17" t="str">
        <f t="shared" si="18"/>
        <v/>
      </c>
      <c r="I201" s="40"/>
      <c r="J201" s="62"/>
      <c r="K201" s="62"/>
      <c r="L201" s="420" t="str">
        <f t="shared" si="20"/>
        <v/>
      </c>
      <c r="M201" s="401" t="str">
        <f t="shared" si="21"/>
        <v/>
      </c>
    </row>
    <row r="202" spans="2:13" x14ac:dyDescent="0.25">
      <c r="B202" s="150"/>
      <c r="C202" s="36"/>
      <c r="D202" s="86"/>
      <c r="E202" s="86"/>
      <c r="F202" s="21"/>
      <c r="G202" s="38"/>
      <c r="H202" s="17" t="str">
        <f t="shared" si="18"/>
        <v/>
      </c>
      <c r="I202" s="40"/>
      <c r="J202" s="62"/>
      <c r="K202" s="62"/>
      <c r="L202" s="420" t="str">
        <f t="shared" si="20"/>
        <v/>
      </c>
      <c r="M202" s="401" t="str">
        <f t="shared" si="21"/>
        <v/>
      </c>
    </row>
    <row r="203" spans="2:13" x14ac:dyDescent="0.25">
      <c r="B203" s="150"/>
      <c r="C203" s="36"/>
      <c r="D203" s="86"/>
      <c r="E203" s="86"/>
      <c r="F203" s="21"/>
      <c r="G203" s="38"/>
      <c r="H203" s="17" t="str">
        <f t="shared" si="18"/>
        <v/>
      </c>
      <c r="I203" s="40"/>
      <c r="J203" s="62"/>
      <c r="K203" s="62"/>
      <c r="L203" s="420" t="str">
        <f t="shared" si="20"/>
        <v/>
      </c>
      <c r="M203" s="401" t="str">
        <f t="shared" si="21"/>
        <v/>
      </c>
    </row>
    <row r="204" spans="2:13" x14ac:dyDescent="0.25">
      <c r="B204" s="150"/>
      <c r="C204" s="36"/>
      <c r="D204" s="86"/>
      <c r="E204" s="86"/>
      <c r="F204" s="21"/>
      <c r="G204" s="38"/>
      <c r="H204" s="17" t="str">
        <f t="shared" si="18"/>
        <v/>
      </c>
      <c r="I204" s="40"/>
      <c r="J204" s="42"/>
      <c r="K204" s="42"/>
      <c r="L204" s="42" t="str">
        <f t="shared" si="20"/>
        <v/>
      </c>
      <c r="M204" s="42" t="str">
        <f t="shared" si="21"/>
        <v/>
      </c>
    </row>
    <row r="205" spans="2:13" x14ac:dyDescent="0.25">
      <c r="B205" s="150"/>
      <c r="C205" s="36"/>
      <c r="D205" s="86"/>
      <c r="E205" s="86"/>
      <c r="F205" s="21"/>
      <c r="G205" s="38"/>
      <c r="H205" s="17" t="str">
        <f t="shared" si="18"/>
        <v/>
      </c>
      <c r="I205" s="40"/>
      <c r="J205" s="42"/>
      <c r="K205" s="42"/>
      <c r="L205" s="42" t="str">
        <f t="shared" si="20"/>
        <v/>
      </c>
      <c r="M205" s="42" t="str">
        <f t="shared" si="21"/>
        <v/>
      </c>
    </row>
    <row r="206" spans="2:13" x14ac:dyDescent="0.25">
      <c r="B206" s="150"/>
      <c r="C206" s="36"/>
      <c r="D206" s="86"/>
      <c r="E206" s="86"/>
      <c r="F206" s="21"/>
      <c r="G206" s="38"/>
      <c r="H206" s="17" t="str">
        <f t="shared" si="18"/>
        <v/>
      </c>
      <c r="I206" s="40"/>
      <c r="J206" s="42"/>
      <c r="K206" s="42"/>
      <c r="L206" s="42" t="str">
        <f t="shared" si="20"/>
        <v/>
      </c>
      <c r="M206" s="42" t="str">
        <f t="shared" si="21"/>
        <v/>
      </c>
    </row>
    <row r="207" spans="2:13" x14ac:dyDescent="0.25">
      <c r="B207" s="150"/>
      <c r="C207" s="36"/>
      <c r="D207" s="86"/>
      <c r="E207" s="86"/>
      <c r="F207" s="21"/>
      <c r="G207" s="38"/>
      <c r="H207" s="17" t="str">
        <f t="shared" si="18"/>
        <v/>
      </c>
      <c r="I207" s="40"/>
      <c r="J207" s="42"/>
      <c r="K207" s="42"/>
      <c r="L207" s="42" t="str">
        <f t="shared" si="20"/>
        <v/>
      </c>
      <c r="M207" s="42" t="str">
        <f t="shared" si="21"/>
        <v/>
      </c>
    </row>
    <row r="208" spans="2:13" x14ac:dyDescent="0.25">
      <c r="B208" s="150"/>
      <c r="C208" s="36"/>
      <c r="D208" s="86"/>
      <c r="E208" s="86"/>
      <c r="F208" s="21"/>
      <c r="G208" s="38"/>
      <c r="H208" s="17" t="str">
        <f t="shared" si="18"/>
        <v/>
      </c>
      <c r="I208" s="40"/>
      <c r="J208" s="42"/>
      <c r="K208" s="42"/>
      <c r="L208" s="42" t="str">
        <f t="shared" si="20"/>
        <v/>
      </c>
      <c r="M208" s="42" t="str">
        <f t="shared" si="21"/>
        <v/>
      </c>
    </row>
    <row r="209" spans="2:13" x14ac:dyDescent="0.25">
      <c r="B209" s="150"/>
      <c r="C209" s="36"/>
      <c r="D209" s="86"/>
      <c r="E209" s="86"/>
      <c r="F209" s="21"/>
      <c r="G209" s="38"/>
      <c r="H209" s="17" t="str">
        <f t="shared" si="18"/>
        <v/>
      </c>
      <c r="I209" s="40"/>
      <c r="J209" s="42"/>
      <c r="K209" s="42"/>
      <c r="L209" s="42" t="str">
        <f t="shared" si="20"/>
        <v/>
      </c>
      <c r="M209" s="42" t="str">
        <f t="shared" si="21"/>
        <v/>
      </c>
    </row>
    <row r="210" spans="2:13" x14ac:dyDescent="0.25">
      <c r="B210" s="150"/>
      <c r="C210" s="36"/>
      <c r="D210" s="86"/>
      <c r="E210" s="86"/>
      <c r="F210" s="21"/>
      <c r="G210" s="38"/>
      <c r="H210" s="17" t="str">
        <f t="shared" si="18"/>
        <v/>
      </c>
      <c r="I210" s="40"/>
      <c r="J210" s="62"/>
      <c r="K210" s="62"/>
      <c r="L210" s="420" t="str">
        <f t="shared" si="20"/>
        <v/>
      </c>
      <c r="M210" s="401" t="str">
        <f t="shared" si="21"/>
        <v/>
      </c>
    </row>
    <row r="211" spans="2:13" x14ac:dyDescent="0.25">
      <c r="B211" s="150"/>
      <c r="C211" s="36"/>
      <c r="D211" s="86"/>
      <c r="E211" s="86"/>
      <c r="F211" s="21"/>
      <c r="G211" s="38"/>
      <c r="H211" s="17" t="str">
        <f t="shared" si="18"/>
        <v/>
      </c>
      <c r="I211" s="40"/>
      <c r="J211" s="61"/>
      <c r="K211" s="696"/>
      <c r="L211" s="420" t="str">
        <f t="shared" si="20"/>
        <v/>
      </c>
      <c r="M211" s="401" t="str">
        <f t="shared" si="21"/>
        <v/>
      </c>
    </row>
    <row r="212" spans="2:13" s="28" customFormat="1" ht="25" customHeight="1" x14ac:dyDescent="0.25">
      <c r="B212" s="84" t="str">
        <f>$B$12</f>
        <v>C4.4</v>
      </c>
      <c r="C212" s="498" t="str">
        <f>"TOTAL CARRIED FORWARD"&amp;IF(H212=H$1," TO SUMMARY (Page C"&amp;Page_A&amp;")","")</f>
        <v>TOTAL CARRIED FORWARD TO SUMMARY (Page C48)</v>
      </c>
      <c r="D212" s="31"/>
      <c r="E212" s="31"/>
      <c r="F212" s="32"/>
      <c r="G212" s="31"/>
      <c r="H212" s="33">
        <f>SUM(H155:H211)</f>
        <v>0</v>
      </c>
      <c r="I212" s="34"/>
      <c r="J212" s="408"/>
      <c r="K212" s="406"/>
      <c r="L212" s="418">
        <f>SUM(L155:L211)</f>
        <v>0</v>
      </c>
      <c r="M212" s="407" t="str">
        <f t="shared" ref="M212" si="22">IF(J212="","",IF(SUM(H212)=0,"",L212/H212))</f>
        <v/>
      </c>
    </row>
  </sheetData>
  <mergeCells count="18">
    <mergeCell ref="B150:G150"/>
    <mergeCell ref="H150:H153"/>
    <mergeCell ref="B151:G153"/>
    <mergeCell ref="B79:G79"/>
    <mergeCell ref="H79:H82"/>
    <mergeCell ref="B80:G82"/>
    <mergeCell ref="B147:D147"/>
    <mergeCell ref="F147:H149"/>
    <mergeCell ref="B148:D148"/>
    <mergeCell ref="B149:D149"/>
    <mergeCell ref="F3:H3"/>
    <mergeCell ref="H6:H9"/>
    <mergeCell ref="B6:G6"/>
    <mergeCell ref="B7:G9"/>
    <mergeCell ref="B76:D76"/>
    <mergeCell ref="F76:H78"/>
    <mergeCell ref="B77:D77"/>
    <mergeCell ref="B78:D78"/>
  </mergeCells>
  <conditionalFormatting sqref="G11:H75 G84:H146 G155:H212">
    <cfRule type="expression" dxfId="75"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70C0"/>
  </sheetPr>
  <dimension ref="A1:N305"/>
  <sheetViews>
    <sheetView view="pageBreakPreview" zoomScale="90" zoomScaleNormal="125" zoomScaleSheetLayoutView="90" zoomScalePageLayoutView="125" workbookViewId="0">
      <pane ySplit="2" topLeftCell="A3" activePane="bottomLeft" state="frozen"/>
      <selection activeCell="G24" sqref="G24"/>
      <selection pane="bottomLeft" activeCell="G16" sqref="G16"/>
    </sheetView>
  </sheetViews>
  <sheetFormatPr defaultColWidth="6.81640625" defaultRowHeight="12.5" x14ac:dyDescent="0.25"/>
  <cols>
    <col min="1" max="1" width="0.81640625" style="49" customWidth="1"/>
    <col min="2" max="2" width="11.7265625" style="51" customWidth="1"/>
    <col min="3" max="3" width="45.7265625" style="50" customWidth="1"/>
    <col min="4" max="4" width="12.453125" style="52" customWidth="1"/>
    <col min="5" max="5" width="5" style="52" customWidth="1"/>
    <col min="6" max="6" width="15.7265625" style="52" customWidth="1"/>
    <col min="7" max="7" width="15.7265625" style="49" customWidth="1"/>
    <col min="8" max="8" width="15.7265625" style="53" customWidth="1"/>
    <col min="9" max="9" width="0.81640625" style="53" customWidth="1"/>
    <col min="10" max="10" width="0" style="49" hidden="1" customWidth="1"/>
    <col min="11" max="11" width="13.54296875" style="49" hidden="1" customWidth="1"/>
    <col min="12" max="12" width="14.1796875" style="49" hidden="1" customWidth="1"/>
    <col min="13" max="13" width="13.7265625" style="49" hidden="1" customWidth="1"/>
    <col min="14" max="14" width="13.54296875" style="49" hidden="1" customWidth="1"/>
    <col min="15" max="16384" width="6.81640625" style="49"/>
  </cols>
  <sheetData>
    <row r="1" spans="1:14" s="250" customFormat="1" ht="11.5" x14ac:dyDescent="0.25">
      <c r="A1" s="242"/>
      <c r="B1" s="243"/>
      <c r="C1" s="244" t="s">
        <v>993</v>
      </c>
      <c r="D1" s="245"/>
      <c r="E1" s="245"/>
      <c r="F1" s="246" t="s">
        <v>994</v>
      </c>
      <c r="G1" s="244">
        <v>1</v>
      </c>
      <c r="H1" s="247">
        <f>MAX(H2:H305)</f>
        <v>0</v>
      </c>
      <c r="I1" s="247">
        <f>MAX(I2:I232)</f>
        <v>0</v>
      </c>
      <c r="J1" s="248"/>
      <c r="K1" s="249"/>
      <c r="L1" s="247">
        <f>MAX(L2:L305)</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1138" t="str">
        <f>Client1</f>
        <v>Province of KwaZulu-Natal</v>
      </c>
      <c r="C3" s="1138"/>
      <c r="F3" s="1137" t="str">
        <f>"Contract No. "&amp;ContractNo</f>
        <v>Contract No. ZNB 00399/00000/HOD/INF/21/T</v>
      </c>
      <c r="G3" s="1137"/>
      <c r="H3" s="1137"/>
    </row>
    <row r="4" spans="1:14" ht="13" x14ac:dyDescent="0.25">
      <c r="B4" s="1139" t="str">
        <f>Client2</f>
        <v>Department of Transport</v>
      </c>
      <c r="C4" s="1139"/>
    </row>
    <row r="5" spans="1:14" x14ac:dyDescent="0.25">
      <c r="B5" s="90"/>
      <c r="C5" s="90"/>
      <c r="D5" s="91"/>
      <c r="E5" s="91"/>
      <c r="F5" s="91"/>
      <c r="G5" s="92"/>
      <c r="H5" s="93"/>
    </row>
    <row r="6" spans="1:14" ht="12.75" customHeight="1" x14ac:dyDescent="0.25">
      <c r="B6" s="1135" t="s">
        <v>8</v>
      </c>
      <c r="C6" s="1136"/>
      <c r="D6" s="1136"/>
      <c r="E6" s="1136"/>
      <c r="F6" s="1136"/>
      <c r="G6" s="1136"/>
      <c r="H6" s="1121" t="str">
        <f>"CHAPTER "&amp;B12</f>
        <v>CHAPTER C5.1</v>
      </c>
      <c r="I6" s="54"/>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12" customFormat="1" ht="25" customHeight="1" x14ac:dyDescent="0.25">
      <c r="B10" s="10" t="s">
        <v>0</v>
      </c>
      <c r="C10" s="11" t="s">
        <v>1</v>
      </c>
      <c r="D10" s="11" t="s">
        <v>2</v>
      </c>
      <c r="E10" s="11" t="s">
        <v>996</v>
      </c>
      <c r="F10" s="11" t="s">
        <v>3</v>
      </c>
      <c r="G10" s="11" t="s">
        <v>4</v>
      </c>
      <c r="H10" s="11" t="s">
        <v>5</v>
      </c>
      <c r="J10" s="408" t="s">
        <v>996</v>
      </c>
      <c r="K10" s="253" t="s">
        <v>997</v>
      </c>
      <c r="L10" s="253" t="s">
        <v>998</v>
      </c>
      <c r="M10" s="253" t="s">
        <v>999</v>
      </c>
    </row>
    <row r="11" spans="1:14" x14ac:dyDescent="0.25">
      <c r="B11" s="58"/>
      <c r="C11" s="65"/>
      <c r="D11" s="15"/>
      <c r="E11" s="15"/>
      <c r="F11" s="580"/>
      <c r="G11" s="411"/>
      <c r="H11" s="17" t="str">
        <f t="shared" ref="H11:H70" si="0">IF(D11="","",F11*G11)</f>
        <v/>
      </c>
      <c r="I11" s="18"/>
      <c r="J11" s="702"/>
      <c r="K11" s="619"/>
      <c r="L11" s="420" t="str">
        <f t="shared" ref="L11" si="1">IF(J11="","",F11*K11)</f>
        <v/>
      </c>
      <c r="M11" s="401" t="str">
        <f t="shared" ref="M11" si="2">IF(J11="","",IF(SUM(H11)=0,"",L11/H11))</f>
        <v/>
      </c>
    </row>
    <row r="12" spans="1:14" ht="13" x14ac:dyDescent="0.25">
      <c r="B12" s="146" t="s">
        <v>195</v>
      </c>
      <c r="C12" s="672" t="s">
        <v>196</v>
      </c>
      <c r="D12" s="15"/>
      <c r="E12" s="15"/>
      <c r="F12" s="580"/>
      <c r="G12" s="411"/>
      <c r="H12" s="17" t="str">
        <f t="shared" si="0"/>
        <v/>
      </c>
      <c r="I12" s="18"/>
      <c r="J12" s="61"/>
      <c r="K12" s="399"/>
      <c r="L12" s="420" t="str">
        <f t="shared" ref="L12:L70" si="3">IF(J12="","",F12*K12)</f>
        <v/>
      </c>
      <c r="M12" s="401" t="str">
        <f t="shared" ref="M12:M70" si="4">IF(J12="","",IF(SUM(H12)=0,"",L12/H12))</f>
        <v/>
      </c>
    </row>
    <row r="13" spans="1:14" x14ac:dyDescent="0.25">
      <c r="B13" s="58"/>
      <c r="C13" s="65"/>
      <c r="D13" s="15"/>
      <c r="E13" s="15"/>
      <c r="F13" s="580"/>
      <c r="G13" s="411"/>
      <c r="H13" s="17" t="str">
        <f t="shared" si="0"/>
        <v/>
      </c>
      <c r="I13" s="18"/>
      <c r="J13" s="61"/>
      <c r="K13" s="399"/>
      <c r="L13" s="420" t="str">
        <f t="shared" si="3"/>
        <v/>
      </c>
      <c r="M13" s="401" t="str">
        <f t="shared" si="4"/>
        <v/>
      </c>
    </row>
    <row r="14" spans="1:14" ht="13" x14ac:dyDescent="0.25">
      <c r="B14" s="146" t="s">
        <v>198</v>
      </c>
      <c r="C14" s="672" t="s">
        <v>197</v>
      </c>
      <c r="D14" s="15"/>
      <c r="E14" s="15"/>
      <c r="F14" s="580"/>
      <c r="G14" s="411"/>
      <c r="H14" s="17" t="str">
        <f t="shared" si="0"/>
        <v/>
      </c>
      <c r="I14" s="18"/>
      <c r="J14" s="61"/>
      <c r="K14" s="399"/>
      <c r="L14" s="420" t="str">
        <f t="shared" si="3"/>
        <v/>
      </c>
      <c r="M14" s="401" t="str">
        <f t="shared" si="4"/>
        <v/>
      </c>
    </row>
    <row r="15" spans="1:14" x14ac:dyDescent="0.25">
      <c r="B15" s="58"/>
      <c r="C15" s="65"/>
      <c r="D15" s="15"/>
      <c r="E15" s="15"/>
      <c r="F15" s="580"/>
      <c r="G15" s="411"/>
      <c r="H15" s="17" t="str">
        <f t="shared" si="0"/>
        <v/>
      </c>
      <c r="I15" s="18"/>
      <c r="J15" s="61"/>
      <c r="K15" s="399"/>
      <c r="L15" s="420" t="str">
        <f t="shared" si="3"/>
        <v/>
      </c>
      <c r="M15" s="401" t="str">
        <f t="shared" si="4"/>
        <v/>
      </c>
    </row>
    <row r="16" spans="1:14" x14ac:dyDescent="0.25">
      <c r="B16" s="58" t="s">
        <v>199</v>
      </c>
      <c r="C16" s="65" t="s">
        <v>200</v>
      </c>
      <c r="D16" s="15" t="s">
        <v>577</v>
      </c>
      <c r="E16" s="15"/>
      <c r="F16" s="24">
        <f>Quantities!$S$656+800</f>
        <v>8800</v>
      </c>
      <c r="G16" s="422"/>
      <c r="H16" s="17">
        <f t="shared" si="0"/>
        <v>0</v>
      </c>
      <c r="I16" s="57"/>
      <c r="J16" s="61"/>
      <c r="K16" s="400"/>
      <c r="L16" s="420" t="str">
        <f t="shared" si="3"/>
        <v/>
      </c>
      <c r="M16" s="401" t="str">
        <f t="shared" si="4"/>
        <v/>
      </c>
    </row>
    <row r="17" spans="2:13" x14ac:dyDescent="0.25">
      <c r="B17" s="58"/>
      <c r="C17" s="65"/>
      <c r="D17" s="15"/>
      <c r="E17" s="15"/>
      <c r="F17" s="24"/>
      <c r="G17" s="703"/>
      <c r="H17" s="17" t="str">
        <f t="shared" si="0"/>
        <v/>
      </c>
      <c r="I17" s="57"/>
      <c r="J17" s="61"/>
      <c r="K17" s="399"/>
      <c r="L17" s="420" t="str">
        <f t="shared" si="3"/>
        <v/>
      </c>
      <c r="M17" s="401" t="str">
        <f t="shared" si="4"/>
        <v/>
      </c>
    </row>
    <row r="18" spans="2:13" ht="26" x14ac:dyDescent="0.25">
      <c r="B18" s="146" t="s">
        <v>1913</v>
      </c>
      <c r="C18" s="672" t="s">
        <v>1914</v>
      </c>
      <c r="D18" s="15"/>
      <c r="E18" s="15"/>
      <c r="F18" s="24"/>
      <c r="G18" s="411"/>
      <c r="H18" s="17" t="str">
        <f t="shared" si="0"/>
        <v/>
      </c>
      <c r="I18" s="57"/>
      <c r="J18" s="61"/>
      <c r="K18" s="399"/>
      <c r="L18" s="420" t="str">
        <f t="shared" si="3"/>
        <v/>
      </c>
      <c r="M18" s="401" t="str">
        <f t="shared" si="4"/>
        <v/>
      </c>
    </row>
    <row r="19" spans="2:13" x14ac:dyDescent="0.25">
      <c r="B19" s="58"/>
      <c r="C19" s="65"/>
      <c r="D19" s="15"/>
      <c r="E19" s="15"/>
      <c r="F19" s="24"/>
      <c r="G19" s="411"/>
      <c r="H19" s="17" t="str">
        <f t="shared" si="0"/>
        <v/>
      </c>
      <c r="I19" s="57"/>
      <c r="J19" s="61"/>
      <c r="K19" s="399"/>
      <c r="L19" s="420" t="str">
        <f t="shared" si="3"/>
        <v/>
      </c>
      <c r="M19" s="401" t="str">
        <f t="shared" si="4"/>
        <v/>
      </c>
    </row>
    <row r="20" spans="2:13" ht="25" x14ac:dyDescent="0.25">
      <c r="B20" s="58" t="s">
        <v>1915</v>
      </c>
      <c r="C20" s="65" t="s">
        <v>1687</v>
      </c>
      <c r="D20" s="15"/>
      <c r="E20" s="15"/>
      <c r="F20" s="24"/>
      <c r="G20" s="411"/>
      <c r="H20" s="17" t="str">
        <f t="shared" si="0"/>
        <v/>
      </c>
      <c r="I20" s="57"/>
      <c r="J20" s="61"/>
      <c r="K20" s="402"/>
      <c r="L20" s="420" t="str">
        <f t="shared" si="3"/>
        <v/>
      </c>
      <c r="M20" s="401" t="str">
        <f t="shared" si="4"/>
        <v/>
      </c>
    </row>
    <row r="21" spans="2:13" x14ac:dyDescent="0.25">
      <c r="B21" s="58"/>
      <c r="C21" s="65"/>
      <c r="D21" s="15"/>
      <c r="E21" s="15"/>
      <c r="F21" s="24"/>
      <c r="G21" s="411"/>
      <c r="H21" s="17" t="str">
        <f t="shared" si="0"/>
        <v/>
      </c>
      <c r="I21" s="57"/>
      <c r="J21" s="61"/>
      <c r="K21" s="402"/>
      <c r="L21" s="420" t="str">
        <f t="shared" si="3"/>
        <v/>
      </c>
      <c r="M21" s="401" t="str">
        <f t="shared" si="4"/>
        <v/>
      </c>
    </row>
    <row r="22" spans="2:13" x14ac:dyDescent="0.25">
      <c r="B22" s="58" t="s">
        <v>39</v>
      </c>
      <c r="C22" s="65" t="s">
        <v>201</v>
      </c>
      <c r="D22" s="15" t="s">
        <v>577</v>
      </c>
      <c r="E22" s="15"/>
      <c r="F22" s="647">
        <f>Quantities!$S$640</f>
        <v>8000</v>
      </c>
      <c r="G22" s="424"/>
      <c r="H22" s="743">
        <f t="shared" si="0"/>
        <v>0</v>
      </c>
      <c r="I22" s="57"/>
      <c r="J22" s="61"/>
      <c r="K22" s="402"/>
      <c r="L22" s="420" t="str">
        <f t="shared" si="3"/>
        <v/>
      </c>
      <c r="M22" s="401" t="str">
        <f t="shared" si="4"/>
        <v/>
      </c>
    </row>
    <row r="23" spans="2:13" x14ac:dyDescent="0.25">
      <c r="B23" s="58"/>
      <c r="C23" s="65"/>
      <c r="D23" s="15"/>
      <c r="E23" s="15"/>
      <c r="F23" s="647"/>
      <c r="G23" s="767"/>
      <c r="H23" s="743" t="str">
        <f t="shared" si="0"/>
        <v/>
      </c>
      <c r="I23" s="57"/>
      <c r="J23" s="61"/>
      <c r="K23" s="402"/>
      <c r="L23" s="420" t="str">
        <f t="shared" si="3"/>
        <v/>
      </c>
      <c r="M23" s="401" t="str">
        <f t="shared" si="4"/>
        <v/>
      </c>
    </row>
    <row r="24" spans="2:13" x14ac:dyDescent="0.25">
      <c r="B24" s="58" t="s">
        <v>43</v>
      </c>
      <c r="C24" s="786" t="s">
        <v>202</v>
      </c>
      <c r="D24" s="21" t="s">
        <v>577</v>
      </c>
      <c r="E24" s="21"/>
      <c r="F24" s="850">
        <v>100</v>
      </c>
      <c r="G24" s="851"/>
      <c r="H24" s="852">
        <f t="shared" si="0"/>
        <v>0</v>
      </c>
      <c r="I24" s="18"/>
      <c r="J24" s="61" t="s">
        <v>1721</v>
      </c>
      <c r="K24" s="399">
        <f>IF(D24="","",ROUND(Labour_perc_roads*G24,1))</f>
        <v>0</v>
      </c>
      <c r="L24" s="420">
        <f t="shared" si="3"/>
        <v>0</v>
      </c>
      <c r="M24" s="401" t="str">
        <f t="shared" si="4"/>
        <v/>
      </c>
    </row>
    <row r="25" spans="2:13" x14ac:dyDescent="0.25">
      <c r="B25" s="58"/>
      <c r="C25" s="786"/>
      <c r="D25" s="21"/>
      <c r="E25" s="21"/>
      <c r="F25" s="850"/>
      <c r="G25" s="851"/>
      <c r="H25" s="852" t="str">
        <f t="shared" si="0"/>
        <v/>
      </c>
      <c r="I25" s="18"/>
      <c r="J25" s="61"/>
      <c r="K25" s="399"/>
      <c r="L25" s="420" t="str">
        <f t="shared" ref="L25" si="5">IF(J25="","",F25*K25)</f>
        <v/>
      </c>
      <c r="M25" s="401" t="str">
        <f t="shared" ref="M25" si="6">IF(J25="","",IF(SUM(H25)=0,"",L25/H25))</f>
        <v/>
      </c>
    </row>
    <row r="26" spans="2:13" x14ac:dyDescent="0.25">
      <c r="B26" s="58" t="s">
        <v>1916</v>
      </c>
      <c r="C26" s="65" t="s">
        <v>203</v>
      </c>
      <c r="D26" s="21" t="s">
        <v>577</v>
      </c>
      <c r="E26" s="21"/>
      <c r="F26" s="21">
        <v>900</v>
      </c>
      <c r="G26" s="411"/>
      <c r="H26" s="743">
        <f t="shared" si="0"/>
        <v>0</v>
      </c>
      <c r="I26" s="18"/>
      <c r="J26" s="61" t="s">
        <v>1721</v>
      </c>
      <c r="K26" s="399">
        <f>IF(D26="","",ROUND(Labour_perc_roads*G26,1))</f>
        <v>0</v>
      </c>
      <c r="L26" s="420">
        <f t="shared" ref="L26" si="7">IF(J26="","",F26*K26)</f>
        <v>0</v>
      </c>
      <c r="M26" s="401" t="str">
        <f t="shared" ref="M26" si="8">IF(J26="","",IF(SUM(H26)=0,"",L26/H26))</f>
        <v/>
      </c>
    </row>
    <row r="27" spans="2:13" x14ac:dyDescent="0.25">
      <c r="B27" s="58"/>
      <c r="C27" s="65"/>
      <c r="D27" s="15"/>
      <c r="E27" s="15"/>
      <c r="F27" s="647"/>
      <c r="G27" s="411"/>
      <c r="H27" s="743" t="str">
        <f t="shared" si="0"/>
        <v/>
      </c>
      <c r="I27" s="18"/>
      <c r="J27" s="61"/>
      <c r="K27" s="402"/>
      <c r="L27" s="420" t="str">
        <f t="shared" ref="L27:L33" si="9">IF(J27="","",F27*K27)</f>
        <v/>
      </c>
      <c r="M27" s="401" t="str">
        <f t="shared" ref="M27:M33" si="10">IF(J27="","",IF(SUM(H27)=0,"",L27/H27))</f>
        <v/>
      </c>
    </row>
    <row r="28" spans="2:13" ht="25" x14ac:dyDescent="0.25">
      <c r="B28" s="800" t="s">
        <v>2047</v>
      </c>
      <c r="C28" s="847" t="s">
        <v>561</v>
      </c>
      <c r="D28" s="15" t="s">
        <v>577</v>
      </c>
      <c r="E28" s="15"/>
      <c r="F28" s="647">
        <f>F26</f>
        <v>900</v>
      </c>
      <c r="G28" s="411"/>
      <c r="H28" s="743">
        <f t="shared" si="0"/>
        <v>0</v>
      </c>
      <c r="I28" s="18"/>
      <c r="J28" s="61" t="s">
        <v>1721</v>
      </c>
      <c r="K28" s="399">
        <f>IF(D28="","",ROUND(Labour_perc_roads*G28,1))</f>
        <v>0</v>
      </c>
      <c r="L28" s="420">
        <f t="shared" si="9"/>
        <v>0</v>
      </c>
      <c r="M28" s="401" t="str">
        <f t="shared" si="10"/>
        <v/>
      </c>
    </row>
    <row r="29" spans="2:13" x14ac:dyDescent="0.25">
      <c r="B29" s="58"/>
      <c r="C29" s="65"/>
      <c r="D29" s="15"/>
      <c r="E29" s="15"/>
      <c r="F29" s="647"/>
      <c r="G29" s="411"/>
      <c r="H29" s="743" t="str">
        <f t="shared" si="0"/>
        <v/>
      </c>
      <c r="I29" s="18"/>
      <c r="J29" s="61"/>
      <c r="K29" s="402"/>
      <c r="L29" s="420" t="str">
        <f t="shared" si="9"/>
        <v/>
      </c>
      <c r="M29" s="401" t="str">
        <f t="shared" si="10"/>
        <v/>
      </c>
    </row>
    <row r="30" spans="2:13" ht="13" x14ac:dyDescent="0.25">
      <c r="B30" s="146" t="s">
        <v>204</v>
      </c>
      <c r="C30" s="672" t="s">
        <v>205</v>
      </c>
      <c r="D30" s="15"/>
      <c r="E30" s="15"/>
      <c r="F30" s="580"/>
      <c r="G30" s="424"/>
      <c r="H30" s="743" t="str">
        <f t="shared" si="0"/>
        <v/>
      </c>
      <c r="I30" s="18"/>
      <c r="J30" s="61"/>
      <c r="K30" s="399"/>
      <c r="L30" s="420" t="str">
        <f t="shared" si="9"/>
        <v/>
      </c>
      <c r="M30" s="401" t="str">
        <f t="shared" si="10"/>
        <v/>
      </c>
    </row>
    <row r="31" spans="2:13" x14ac:dyDescent="0.25">
      <c r="B31" s="58"/>
      <c r="C31" s="65"/>
      <c r="D31" s="15"/>
      <c r="E31" s="15"/>
      <c r="F31" s="580"/>
      <c r="G31" s="422"/>
      <c r="H31" s="17" t="str">
        <f t="shared" si="0"/>
        <v/>
      </c>
      <c r="I31" s="60"/>
      <c r="J31" s="61"/>
      <c r="K31" s="399"/>
      <c r="L31" s="420" t="str">
        <f t="shared" si="9"/>
        <v/>
      </c>
      <c r="M31" s="401" t="str">
        <f t="shared" si="10"/>
        <v/>
      </c>
    </row>
    <row r="32" spans="2:13" x14ac:dyDescent="0.25">
      <c r="B32" s="58" t="s">
        <v>206</v>
      </c>
      <c r="C32" s="65" t="s">
        <v>207</v>
      </c>
      <c r="D32" s="15"/>
      <c r="E32" s="15"/>
      <c r="F32" s="580"/>
      <c r="G32" s="422"/>
      <c r="H32" s="17" t="str">
        <f t="shared" si="0"/>
        <v/>
      </c>
      <c r="I32" s="704"/>
      <c r="J32" s="61"/>
      <c r="K32" s="400"/>
      <c r="L32" s="420" t="str">
        <f t="shared" si="9"/>
        <v/>
      </c>
      <c r="M32" s="401" t="str">
        <f t="shared" si="10"/>
        <v/>
      </c>
    </row>
    <row r="33" spans="2:13" x14ac:dyDescent="0.25">
      <c r="B33" s="58"/>
      <c r="C33" s="65"/>
      <c r="D33" s="15"/>
      <c r="E33" s="15"/>
      <c r="F33" s="580"/>
      <c r="G33" s="422"/>
      <c r="H33" s="17" t="str">
        <f t="shared" si="0"/>
        <v/>
      </c>
      <c r="I33" s="704"/>
      <c r="J33" s="61"/>
      <c r="K33" s="399"/>
      <c r="L33" s="420" t="str">
        <f t="shared" si="9"/>
        <v/>
      </c>
      <c r="M33" s="401" t="str">
        <f t="shared" si="10"/>
        <v/>
      </c>
    </row>
    <row r="34" spans="2:13" x14ac:dyDescent="0.25">
      <c r="B34" s="58" t="s">
        <v>39</v>
      </c>
      <c r="C34" s="65" t="s">
        <v>208</v>
      </c>
      <c r="D34" s="15" t="s">
        <v>577</v>
      </c>
      <c r="E34" s="15"/>
      <c r="F34" s="580">
        <f>Quantities!$S$647</f>
        <v>9000</v>
      </c>
      <c r="G34" s="422"/>
      <c r="H34" s="17">
        <f t="shared" si="0"/>
        <v>0</v>
      </c>
      <c r="I34" s="704"/>
      <c r="J34" s="61" t="s">
        <v>1721</v>
      </c>
      <c r="K34" s="399">
        <f>IF(D34="","",ROUND(Labour_perc_roads*G34,1))</f>
        <v>0</v>
      </c>
      <c r="L34" s="420">
        <f t="shared" si="3"/>
        <v>0</v>
      </c>
      <c r="M34" s="401" t="str">
        <f t="shared" si="4"/>
        <v/>
      </c>
    </row>
    <row r="35" spans="2:13" x14ac:dyDescent="0.25">
      <c r="B35" s="58"/>
      <c r="C35" s="65"/>
      <c r="D35" s="15"/>
      <c r="E35" s="15"/>
      <c r="F35" s="647"/>
      <c r="G35" s="411"/>
      <c r="H35" s="17" t="str">
        <f t="shared" si="0"/>
        <v/>
      </c>
      <c r="I35" s="704"/>
      <c r="J35" s="61"/>
      <c r="K35" s="399"/>
      <c r="L35" s="420" t="str">
        <f t="shared" si="3"/>
        <v/>
      </c>
      <c r="M35" s="401" t="str">
        <f t="shared" si="4"/>
        <v/>
      </c>
    </row>
    <row r="36" spans="2:13" ht="13" x14ac:dyDescent="0.25">
      <c r="B36" s="146" t="s">
        <v>209</v>
      </c>
      <c r="C36" s="672" t="s">
        <v>210</v>
      </c>
      <c r="D36" s="15"/>
      <c r="E36" s="15"/>
      <c r="F36" s="580"/>
      <c r="G36" s="424"/>
      <c r="H36" s="17" t="str">
        <f t="shared" si="0"/>
        <v/>
      </c>
      <c r="I36" s="704"/>
      <c r="J36" s="61"/>
      <c r="K36" s="399"/>
      <c r="L36" s="420" t="str">
        <f t="shared" si="3"/>
        <v/>
      </c>
      <c r="M36" s="401" t="str">
        <f t="shared" si="4"/>
        <v/>
      </c>
    </row>
    <row r="37" spans="2:13" x14ac:dyDescent="0.25">
      <c r="B37" s="58"/>
      <c r="C37" s="65"/>
      <c r="D37" s="15"/>
      <c r="E37" s="15"/>
      <c r="F37" s="580"/>
      <c r="G37" s="424"/>
      <c r="H37" s="17" t="str">
        <f t="shared" si="0"/>
        <v/>
      </c>
      <c r="I37" s="704"/>
      <c r="J37" s="61"/>
      <c r="K37" s="399"/>
      <c r="L37" s="420" t="str">
        <f t="shared" si="3"/>
        <v/>
      </c>
      <c r="M37" s="401" t="str">
        <f t="shared" si="4"/>
        <v/>
      </c>
    </row>
    <row r="38" spans="2:13" x14ac:dyDescent="0.25">
      <c r="B38" s="58" t="s">
        <v>211</v>
      </c>
      <c r="C38" s="65" t="s">
        <v>212</v>
      </c>
      <c r="D38" s="15" t="s">
        <v>577</v>
      </c>
      <c r="E38" s="15"/>
      <c r="F38" s="580">
        <f>Quantities!$S$662</f>
        <v>2000</v>
      </c>
      <c r="G38" s="424"/>
      <c r="H38" s="17">
        <f t="shared" si="0"/>
        <v>0</v>
      </c>
      <c r="I38" s="704"/>
      <c r="J38" s="61"/>
      <c r="K38" s="400"/>
      <c r="L38" s="420" t="str">
        <f t="shared" si="3"/>
        <v/>
      </c>
      <c r="M38" s="401" t="str">
        <f t="shared" si="4"/>
        <v/>
      </c>
    </row>
    <row r="39" spans="2:13" x14ac:dyDescent="0.25">
      <c r="B39" s="58"/>
      <c r="C39" s="65"/>
      <c r="D39" s="15"/>
      <c r="E39" s="15"/>
      <c r="F39" s="580"/>
      <c r="G39" s="424"/>
      <c r="H39" s="17" t="str">
        <f t="shared" si="0"/>
        <v/>
      </c>
      <c r="I39" s="704"/>
      <c r="J39" s="61"/>
      <c r="K39" s="399"/>
      <c r="L39" s="420" t="str">
        <f t="shared" si="3"/>
        <v/>
      </c>
      <c r="M39" s="401" t="str">
        <f t="shared" si="4"/>
        <v/>
      </c>
    </row>
    <row r="40" spans="2:13" x14ac:dyDescent="0.25">
      <c r="B40" s="58" t="s">
        <v>213</v>
      </c>
      <c r="C40" s="65" t="s">
        <v>214</v>
      </c>
      <c r="D40" s="15" t="s">
        <v>577</v>
      </c>
      <c r="E40" s="15"/>
      <c r="F40" s="580">
        <f>Quantities!$S$667</f>
        <v>2000</v>
      </c>
      <c r="G40" s="424"/>
      <c r="H40" s="17">
        <f t="shared" si="0"/>
        <v>0</v>
      </c>
      <c r="I40" s="704"/>
      <c r="J40" s="61" t="s">
        <v>1721</v>
      </c>
      <c r="K40" s="399">
        <f>IF(D40="","",ROUND(Labour_perc_roads*G40,1))</f>
        <v>0</v>
      </c>
      <c r="L40" s="420">
        <f t="shared" si="3"/>
        <v>0</v>
      </c>
      <c r="M40" s="401" t="str">
        <f t="shared" si="4"/>
        <v/>
      </c>
    </row>
    <row r="41" spans="2:13" x14ac:dyDescent="0.25">
      <c r="B41" s="58"/>
      <c r="C41" s="70"/>
      <c r="D41" s="15"/>
      <c r="E41" s="15"/>
      <c r="F41" s="647"/>
      <c r="G41" s="753"/>
      <c r="H41" s="17" t="str">
        <f t="shared" si="0"/>
        <v/>
      </c>
      <c r="I41" s="704"/>
      <c r="J41" s="61"/>
      <c r="K41" s="399"/>
      <c r="L41" s="420" t="str">
        <f t="shared" ref="L41:L44" si="11">IF(J41="","",F41*K41)</f>
        <v/>
      </c>
      <c r="M41" s="401" t="str">
        <f t="shared" ref="M41:M44" si="12">IF(J41="","",IF(SUM(H41)=0,"",L41/H41))</f>
        <v/>
      </c>
    </row>
    <row r="42" spans="2:13" ht="25" x14ac:dyDescent="0.25">
      <c r="B42" s="800" t="s">
        <v>2047</v>
      </c>
      <c r="C42" s="847" t="s">
        <v>561</v>
      </c>
      <c r="D42" s="15" t="s">
        <v>577</v>
      </c>
      <c r="E42" s="15"/>
      <c r="F42" s="647">
        <f>F40</f>
        <v>2000</v>
      </c>
      <c r="G42" s="753"/>
      <c r="H42" s="17">
        <f t="shared" si="0"/>
        <v>0</v>
      </c>
      <c r="I42" s="704"/>
      <c r="J42" s="61" t="s">
        <v>1721</v>
      </c>
      <c r="K42" s="399">
        <f>IF(D42="","",ROUND(Labour_perc_roads*G42,1))</f>
        <v>0</v>
      </c>
      <c r="L42" s="420">
        <f t="shared" si="11"/>
        <v>0</v>
      </c>
      <c r="M42" s="401" t="str">
        <f t="shared" si="12"/>
        <v/>
      </c>
    </row>
    <row r="43" spans="2:13" x14ac:dyDescent="0.25">
      <c r="B43" s="58"/>
      <c r="C43" s="786"/>
      <c r="D43" s="15"/>
      <c r="E43" s="15"/>
      <c r="F43" s="647"/>
      <c r="G43" s="753"/>
      <c r="H43" s="17" t="str">
        <f t="shared" si="0"/>
        <v/>
      </c>
      <c r="I43" s="704"/>
      <c r="J43" s="61"/>
      <c r="K43" s="399"/>
      <c r="L43" s="420" t="str">
        <f t="shared" si="11"/>
        <v/>
      </c>
      <c r="M43" s="401" t="str">
        <f t="shared" si="12"/>
        <v/>
      </c>
    </row>
    <row r="44" spans="2:13" ht="26" x14ac:dyDescent="0.25">
      <c r="B44" s="146" t="s">
        <v>215</v>
      </c>
      <c r="C44" s="672" t="s">
        <v>216</v>
      </c>
      <c r="D44" s="15" t="s">
        <v>577</v>
      </c>
      <c r="E44" s="15"/>
      <c r="F44" s="580">
        <v>7000</v>
      </c>
      <c r="G44" s="411"/>
      <c r="H44" s="17">
        <f t="shared" si="0"/>
        <v>0</v>
      </c>
      <c r="I44" s="704"/>
      <c r="J44" s="61" t="s">
        <v>1721</v>
      </c>
      <c r="K44" s="399">
        <f>IF(D44="","",ROUND(Labour_perc_roads*G44,1))</f>
        <v>0</v>
      </c>
      <c r="L44" s="420">
        <f t="shared" si="11"/>
        <v>0</v>
      </c>
      <c r="M44" s="401" t="str">
        <f t="shared" si="12"/>
        <v/>
      </c>
    </row>
    <row r="45" spans="2:13" x14ac:dyDescent="0.25">
      <c r="B45" s="58"/>
      <c r="C45" s="70"/>
      <c r="D45" s="15"/>
      <c r="E45" s="15"/>
      <c r="F45" s="24"/>
      <c r="G45" s="411"/>
      <c r="H45" s="17" t="str">
        <f t="shared" si="0"/>
        <v/>
      </c>
      <c r="I45" s="704"/>
      <c r="J45" s="61"/>
      <c r="K45" s="399"/>
      <c r="L45" s="420" t="str">
        <f t="shared" si="3"/>
        <v/>
      </c>
      <c r="M45" s="401" t="str">
        <f t="shared" si="4"/>
        <v/>
      </c>
    </row>
    <row r="46" spans="2:13" ht="26" x14ac:dyDescent="0.25">
      <c r="B46" s="146" t="s">
        <v>1959</v>
      </c>
      <c r="C46" s="672" t="s">
        <v>188</v>
      </c>
      <c r="D46" s="21"/>
      <c r="E46" s="21"/>
      <c r="F46" s="24"/>
      <c r="G46" s="411"/>
      <c r="H46" s="17" t="str">
        <f t="shared" si="0"/>
        <v/>
      </c>
      <c r="I46" s="18"/>
      <c r="J46" s="61"/>
      <c r="K46" s="399"/>
      <c r="L46" s="420" t="str">
        <f t="shared" si="3"/>
        <v/>
      </c>
      <c r="M46" s="401" t="str">
        <f t="shared" si="4"/>
        <v/>
      </c>
    </row>
    <row r="47" spans="2:13" x14ac:dyDescent="0.25">
      <c r="B47" s="58"/>
      <c r="C47" s="65"/>
      <c r="D47" s="21"/>
      <c r="E47" s="21"/>
      <c r="F47" s="24"/>
      <c r="G47" s="411"/>
      <c r="H47" s="17" t="str">
        <f t="shared" si="0"/>
        <v/>
      </c>
      <c r="I47" s="18"/>
      <c r="J47" s="61"/>
      <c r="K47" s="399"/>
      <c r="L47" s="420" t="str">
        <f t="shared" si="3"/>
        <v/>
      </c>
      <c r="M47" s="401" t="str">
        <f t="shared" si="4"/>
        <v/>
      </c>
    </row>
    <row r="48" spans="2:13" x14ac:dyDescent="0.25">
      <c r="B48" s="58" t="s">
        <v>41</v>
      </c>
      <c r="C48" s="786" t="s">
        <v>189</v>
      </c>
      <c r="D48" s="21" t="s">
        <v>2211</v>
      </c>
      <c r="E48" s="21"/>
      <c r="F48" s="24">
        <v>5000</v>
      </c>
      <c r="G48" s="411"/>
      <c r="H48" s="17">
        <f t="shared" si="0"/>
        <v>0</v>
      </c>
      <c r="I48" s="18"/>
      <c r="J48" s="61"/>
      <c r="K48" s="399"/>
      <c r="L48" s="420" t="str">
        <f t="shared" si="3"/>
        <v/>
      </c>
      <c r="M48" s="401" t="str">
        <f t="shared" si="4"/>
        <v/>
      </c>
    </row>
    <row r="49" spans="2:13" x14ac:dyDescent="0.25">
      <c r="B49" s="58"/>
      <c r="C49" s="786"/>
      <c r="D49" s="21"/>
      <c r="E49" s="21"/>
      <c r="F49" s="24"/>
      <c r="G49" s="411"/>
      <c r="H49" s="17" t="str">
        <f t="shared" si="0"/>
        <v/>
      </c>
      <c r="I49" s="18"/>
      <c r="J49" s="61"/>
      <c r="K49" s="399"/>
      <c r="L49" s="420" t="str">
        <f t="shared" si="3"/>
        <v/>
      </c>
      <c r="M49" s="401" t="str">
        <f t="shared" si="4"/>
        <v/>
      </c>
    </row>
    <row r="50" spans="2:13" x14ac:dyDescent="0.25">
      <c r="B50" s="58"/>
      <c r="C50" s="786"/>
      <c r="D50" s="21"/>
      <c r="E50" s="21"/>
      <c r="F50" s="24"/>
      <c r="G50" s="411"/>
      <c r="H50" s="17" t="str">
        <f t="shared" si="0"/>
        <v/>
      </c>
      <c r="I50" s="57"/>
      <c r="J50" s="61"/>
      <c r="K50" s="399"/>
      <c r="L50" s="420" t="str">
        <f t="shared" si="3"/>
        <v/>
      </c>
      <c r="M50" s="401" t="str">
        <f t="shared" si="4"/>
        <v/>
      </c>
    </row>
    <row r="51" spans="2:13" x14ac:dyDescent="0.25">
      <c r="B51" s="58"/>
      <c r="C51" s="65"/>
      <c r="D51" s="15"/>
      <c r="E51" s="15"/>
      <c r="F51" s="24"/>
      <c r="G51" s="422"/>
      <c r="H51" s="17" t="str">
        <f t="shared" si="0"/>
        <v/>
      </c>
      <c r="I51" s="57"/>
      <c r="J51" s="61"/>
      <c r="K51" s="399"/>
      <c r="L51" s="420" t="str">
        <f t="shared" si="3"/>
        <v/>
      </c>
      <c r="M51" s="401" t="str">
        <f t="shared" si="4"/>
        <v/>
      </c>
    </row>
    <row r="52" spans="2:13" x14ac:dyDescent="0.25">
      <c r="B52" s="58"/>
      <c r="C52" s="65"/>
      <c r="D52" s="15"/>
      <c r="E52" s="15"/>
      <c r="F52" s="24"/>
      <c r="G52" s="411"/>
      <c r="H52" s="17" t="str">
        <f t="shared" si="0"/>
        <v/>
      </c>
      <c r="I52" s="18"/>
      <c r="J52" s="61"/>
      <c r="K52" s="402"/>
      <c r="L52" s="420" t="str">
        <f t="shared" si="3"/>
        <v/>
      </c>
      <c r="M52" s="401" t="str">
        <f t="shared" si="4"/>
        <v/>
      </c>
    </row>
    <row r="53" spans="2:13" s="55" customFormat="1" x14ac:dyDescent="0.25">
      <c r="B53" s="58"/>
      <c r="C53" s="65"/>
      <c r="D53" s="15"/>
      <c r="E53" s="15"/>
      <c r="F53" s="24"/>
      <c r="G53" s="411"/>
      <c r="H53" s="17" t="str">
        <f t="shared" si="0"/>
        <v/>
      </c>
      <c r="I53" s="18"/>
      <c r="J53" s="61"/>
      <c r="K53" s="399"/>
      <c r="L53" s="420" t="str">
        <f t="shared" si="3"/>
        <v/>
      </c>
      <c r="M53" s="401" t="str">
        <f t="shared" si="4"/>
        <v/>
      </c>
    </row>
    <row r="54" spans="2:13" x14ac:dyDescent="0.25">
      <c r="B54" s="58"/>
      <c r="C54" s="65"/>
      <c r="D54" s="15"/>
      <c r="E54" s="15"/>
      <c r="F54" s="24"/>
      <c r="G54" s="422"/>
      <c r="H54" s="17" t="str">
        <f t="shared" si="0"/>
        <v/>
      </c>
      <c r="I54" s="57"/>
      <c r="J54" s="61"/>
      <c r="K54" s="402"/>
      <c r="L54" s="420" t="str">
        <f t="shared" si="3"/>
        <v/>
      </c>
      <c r="M54" s="401" t="str">
        <f t="shared" si="4"/>
        <v/>
      </c>
    </row>
    <row r="55" spans="2:13" x14ac:dyDescent="0.25">
      <c r="B55" s="58"/>
      <c r="C55" s="65"/>
      <c r="D55" s="15"/>
      <c r="E55" s="15"/>
      <c r="F55" s="24"/>
      <c r="G55" s="422"/>
      <c r="H55" s="17" t="str">
        <f t="shared" si="0"/>
        <v/>
      </c>
      <c r="I55" s="57"/>
      <c r="J55" s="61"/>
      <c r="K55" s="399"/>
      <c r="L55" s="420" t="str">
        <f t="shared" si="3"/>
        <v/>
      </c>
      <c r="M55" s="401" t="str">
        <f t="shared" si="4"/>
        <v/>
      </c>
    </row>
    <row r="56" spans="2:13" x14ac:dyDescent="0.25">
      <c r="B56" s="58"/>
      <c r="C56" s="65"/>
      <c r="D56" s="15"/>
      <c r="E56" s="15"/>
      <c r="F56" s="24"/>
      <c r="G56" s="422"/>
      <c r="H56" s="17" t="str">
        <f t="shared" si="0"/>
        <v/>
      </c>
      <c r="I56" s="57"/>
      <c r="J56" s="61"/>
      <c r="K56" s="399"/>
      <c r="L56" s="420" t="str">
        <f t="shared" si="3"/>
        <v/>
      </c>
      <c r="M56" s="401" t="str">
        <f t="shared" si="4"/>
        <v/>
      </c>
    </row>
    <row r="57" spans="2:13" x14ac:dyDescent="0.25">
      <c r="B57" s="58"/>
      <c r="C57" s="65"/>
      <c r="D57" s="15"/>
      <c r="E57" s="15"/>
      <c r="F57" s="24"/>
      <c r="G57" s="411"/>
      <c r="H57" s="17" t="str">
        <f t="shared" si="0"/>
        <v/>
      </c>
      <c r="I57" s="18"/>
      <c r="J57" s="61"/>
      <c r="K57" s="399"/>
      <c r="L57" s="420" t="str">
        <f t="shared" si="3"/>
        <v/>
      </c>
      <c r="M57" s="401" t="str">
        <f t="shared" si="4"/>
        <v/>
      </c>
    </row>
    <row r="58" spans="2:13" x14ac:dyDescent="0.25">
      <c r="B58" s="58"/>
      <c r="C58" s="65"/>
      <c r="D58" s="15"/>
      <c r="E58" s="15"/>
      <c r="F58" s="24"/>
      <c r="G58" s="411"/>
      <c r="H58" s="17" t="str">
        <f t="shared" si="0"/>
        <v/>
      </c>
      <c r="I58" s="18"/>
      <c r="J58" s="61"/>
      <c r="K58" s="399"/>
      <c r="L58" s="420" t="str">
        <f t="shared" si="3"/>
        <v/>
      </c>
      <c r="M58" s="401" t="str">
        <f t="shared" si="4"/>
        <v/>
      </c>
    </row>
    <row r="59" spans="2:13" x14ac:dyDescent="0.25">
      <c r="B59" s="58"/>
      <c r="C59" s="65"/>
      <c r="D59" s="15"/>
      <c r="E59" s="15"/>
      <c r="F59" s="24"/>
      <c r="G59" s="411"/>
      <c r="H59" s="17" t="str">
        <f t="shared" si="0"/>
        <v/>
      </c>
      <c r="I59" s="18"/>
      <c r="J59" s="62"/>
      <c r="K59" s="62"/>
      <c r="L59" s="420" t="str">
        <f t="shared" si="3"/>
        <v/>
      </c>
      <c r="M59" s="401" t="str">
        <f t="shared" si="4"/>
        <v/>
      </c>
    </row>
    <row r="60" spans="2:13" x14ac:dyDescent="0.25">
      <c r="B60" s="58"/>
      <c r="C60" s="70"/>
      <c r="D60" s="15"/>
      <c r="E60" s="15"/>
      <c r="F60" s="24"/>
      <c r="G60" s="411"/>
      <c r="H60" s="17" t="str">
        <f t="shared" si="0"/>
        <v/>
      </c>
      <c r="I60" s="18"/>
      <c r="J60" s="61"/>
      <c r="K60" s="62"/>
      <c r="L60" s="420" t="str">
        <f t="shared" si="3"/>
        <v/>
      </c>
      <c r="M60" s="401" t="str">
        <f t="shared" si="4"/>
        <v/>
      </c>
    </row>
    <row r="61" spans="2:13" x14ac:dyDescent="0.25">
      <c r="B61" s="58"/>
      <c r="C61" s="70"/>
      <c r="D61" s="15"/>
      <c r="E61" s="15"/>
      <c r="F61" s="24"/>
      <c r="G61" s="423"/>
      <c r="H61" s="17" t="str">
        <f t="shared" si="0"/>
        <v/>
      </c>
      <c r="I61" s="18"/>
      <c r="J61" s="61"/>
      <c r="K61" s="62"/>
      <c r="L61" s="420" t="str">
        <f t="shared" si="3"/>
        <v/>
      </c>
      <c r="M61" s="401" t="str">
        <f t="shared" si="4"/>
        <v/>
      </c>
    </row>
    <row r="62" spans="2:13" x14ac:dyDescent="0.25">
      <c r="B62" s="58"/>
      <c r="C62" s="70"/>
      <c r="D62" s="15"/>
      <c r="E62" s="15"/>
      <c r="F62" s="24"/>
      <c r="G62" s="423"/>
      <c r="H62" s="17" t="str">
        <f t="shared" si="0"/>
        <v/>
      </c>
      <c r="I62" s="18"/>
      <c r="J62" s="61"/>
      <c r="K62" s="62"/>
      <c r="L62" s="420" t="str">
        <f t="shared" si="3"/>
        <v/>
      </c>
      <c r="M62" s="401" t="str">
        <f t="shared" si="4"/>
        <v/>
      </c>
    </row>
    <row r="63" spans="2:13" x14ac:dyDescent="0.25">
      <c r="B63" s="58"/>
      <c r="C63" s="70"/>
      <c r="D63" s="15"/>
      <c r="E63" s="15"/>
      <c r="F63" s="24"/>
      <c r="G63" s="423"/>
      <c r="H63" s="17" t="str">
        <f t="shared" si="0"/>
        <v/>
      </c>
      <c r="I63" s="18"/>
      <c r="J63" s="61"/>
      <c r="K63" s="62"/>
      <c r="L63" s="420" t="str">
        <f t="shared" si="3"/>
        <v/>
      </c>
      <c r="M63" s="401" t="str">
        <f t="shared" si="4"/>
        <v/>
      </c>
    </row>
    <row r="64" spans="2:13" x14ac:dyDescent="0.25">
      <c r="B64" s="58"/>
      <c r="C64" s="70"/>
      <c r="D64" s="15"/>
      <c r="E64" s="15"/>
      <c r="F64" s="24"/>
      <c r="G64" s="423"/>
      <c r="H64" s="17" t="str">
        <f t="shared" si="0"/>
        <v/>
      </c>
      <c r="I64" s="18"/>
      <c r="J64" s="62"/>
      <c r="K64" s="62"/>
      <c r="L64" s="420" t="str">
        <f t="shared" si="3"/>
        <v/>
      </c>
      <c r="M64" s="401" t="str">
        <f t="shared" si="4"/>
        <v/>
      </c>
    </row>
    <row r="65" spans="2:13" x14ac:dyDescent="0.25">
      <c r="B65" s="58"/>
      <c r="C65" s="65"/>
      <c r="D65" s="15"/>
      <c r="E65" s="15"/>
      <c r="F65" s="580"/>
      <c r="G65" s="411"/>
      <c r="H65" s="17" t="str">
        <f t="shared" si="0"/>
        <v/>
      </c>
      <c r="I65" s="18"/>
      <c r="J65" s="62"/>
      <c r="K65" s="62"/>
      <c r="L65" s="420" t="str">
        <f t="shared" si="3"/>
        <v/>
      </c>
      <c r="M65" s="401" t="str">
        <f t="shared" si="4"/>
        <v/>
      </c>
    </row>
    <row r="66" spans="2:13" x14ac:dyDescent="0.25">
      <c r="B66" s="58"/>
      <c r="C66" s="65"/>
      <c r="D66" s="15"/>
      <c r="E66" s="15"/>
      <c r="F66" s="580"/>
      <c r="G66" s="411"/>
      <c r="H66" s="17" t="str">
        <f t="shared" si="0"/>
        <v/>
      </c>
      <c r="I66" s="18"/>
      <c r="J66" s="62"/>
      <c r="K66" s="62"/>
      <c r="L66" s="420" t="str">
        <f t="shared" si="3"/>
        <v/>
      </c>
      <c r="M66" s="401" t="str">
        <f t="shared" si="4"/>
        <v/>
      </c>
    </row>
    <row r="67" spans="2:13" x14ac:dyDescent="0.25">
      <c r="B67" s="58"/>
      <c r="C67" s="65"/>
      <c r="D67" s="15"/>
      <c r="E67" s="15"/>
      <c r="F67" s="580"/>
      <c r="G67" s="411"/>
      <c r="H67" s="17" t="str">
        <f t="shared" si="0"/>
        <v/>
      </c>
      <c r="I67" s="18"/>
      <c r="J67" s="62"/>
      <c r="K67" s="62"/>
      <c r="L67" s="420" t="str">
        <f t="shared" si="3"/>
        <v/>
      </c>
      <c r="M67" s="401" t="str">
        <f t="shared" si="4"/>
        <v/>
      </c>
    </row>
    <row r="68" spans="2:13" x14ac:dyDescent="0.25">
      <c r="B68" s="58"/>
      <c r="C68" s="65"/>
      <c r="D68" s="15"/>
      <c r="E68" s="15"/>
      <c r="F68" s="580"/>
      <c r="G68" s="411"/>
      <c r="H68" s="17" t="str">
        <f t="shared" si="0"/>
        <v/>
      </c>
      <c r="I68" s="18"/>
      <c r="J68" s="62"/>
      <c r="K68" s="62"/>
      <c r="L68" s="420" t="str">
        <f t="shared" si="3"/>
        <v/>
      </c>
      <c r="M68" s="401" t="str">
        <f t="shared" si="4"/>
        <v/>
      </c>
    </row>
    <row r="69" spans="2:13" x14ac:dyDescent="0.25">
      <c r="B69" s="58"/>
      <c r="C69" s="65"/>
      <c r="D69" s="15"/>
      <c r="E69" s="15"/>
      <c r="F69" s="580"/>
      <c r="G69" s="411"/>
      <c r="H69" s="17" t="str">
        <f t="shared" si="0"/>
        <v/>
      </c>
      <c r="I69" s="18"/>
      <c r="J69" s="62"/>
      <c r="K69" s="62"/>
      <c r="L69" s="420" t="str">
        <f t="shared" si="3"/>
        <v/>
      </c>
      <c r="M69" s="401" t="str">
        <f t="shared" si="4"/>
        <v/>
      </c>
    </row>
    <row r="70" spans="2:13" x14ac:dyDescent="0.25">
      <c r="B70" s="58"/>
      <c r="C70" s="65"/>
      <c r="D70" s="15"/>
      <c r="E70" s="15"/>
      <c r="F70" s="580"/>
      <c r="G70" s="422"/>
      <c r="H70" s="17" t="str">
        <f t="shared" si="0"/>
        <v/>
      </c>
      <c r="I70" s="18"/>
      <c r="J70" s="62"/>
      <c r="K70" s="62"/>
      <c r="L70" s="420" t="str">
        <f t="shared" si="3"/>
        <v/>
      </c>
      <c r="M70" s="401" t="str">
        <f t="shared" si="4"/>
        <v/>
      </c>
    </row>
    <row r="71" spans="2:13" x14ac:dyDescent="0.25">
      <c r="B71" s="58"/>
      <c r="C71" s="65"/>
      <c r="D71" s="15"/>
      <c r="E71" s="15"/>
      <c r="F71" s="580"/>
      <c r="G71" s="422"/>
      <c r="H71" s="17" t="str">
        <f t="shared" ref="H71:H72" si="13">IF(D71="","",F71*G71)</f>
        <v/>
      </c>
      <c r="I71" s="18"/>
      <c r="J71" s="61"/>
      <c r="K71" s="695"/>
      <c r="L71" s="420" t="str">
        <f t="shared" ref="L71:L72" si="14">IF(J71="","",F71*K71)</f>
        <v/>
      </c>
      <c r="M71" s="401" t="str">
        <f t="shared" ref="M71:M72" si="15">IF(J71="","",IF(SUM(H71)=0,"",L71/H71))</f>
        <v/>
      </c>
    </row>
    <row r="72" spans="2:13" x14ac:dyDescent="0.25">
      <c r="B72" s="58"/>
      <c r="C72" s="65"/>
      <c r="D72" s="15"/>
      <c r="E72" s="15"/>
      <c r="F72" s="580"/>
      <c r="G72" s="422"/>
      <c r="H72" s="17" t="str">
        <f t="shared" si="13"/>
        <v/>
      </c>
      <c r="I72" s="18"/>
      <c r="J72" s="61"/>
      <c r="K72" s="696"/>
      <c r="L72" s="420" t="str">
        <f t="shared" si="14"/>
        <v/>
      </c>
      <c r="M72" s="401" t="str">
        <f t="shared" si="15"/>
        <v/>
      </c>
    </row>
    <row r="73" spans="2:13" s="28" customFormat="1" ht="19.5" customHeight="1" x14ac:dyDescent="0.25">
      <c r="B73" s="135" t="str">
        <f>$B$12</f>
        <v>C5.1</v>
      </c>
      <c r="C73" s="498" t="str">
        <f>"TOTAL CARRIED FORWARD"&amp;IF(H73=H$1," TO SUMMARY (Page C"&amp;Page_A&amp;")","")</f>
        <v>TOTAL CARRIED FORWARD TO SUMMARY (Page C48)</v>
      </c>
      <c r="D73" s="31"/>
      <c r="E73" s="31"/>
      <c r="F73" s="32"/>
      <c r="G73" s="31"/>
      <c r="H73" s="33">
        <f>SUM(H11:H72)</f>
        <v>0</v>
      </c>
      <c r="I73" s="34"/>
      <c r="J73" s="408"/>
      <c r="K73" s="406"/>
      <c r="L73" s="418">
        <f>SUM(L11:L72)</f>
        <v>0</v>
      </c>
      <c r="M73" s="407" t="str">
        <f t="shared" ref="M73" si="16">IF(J73="","",IF(SUM(H73)=0,"",L73/H73))</f>
        <v/>
      </c>
    </row>
    <row r="74" spans="2:13" s="1" customFormat="1" ht="13" x14ac:dyDescent="0.25">
      <c r="B74" s="1108" t="str">
        <f>Client1</f>
        <v>Province of KwaZulu-Natal</v>
      </c>
      <c r="C74" s="1108"/>
      <c r="D74" s="1108"/>
      <c r="E74" s="87"/>
      <c r="F74" s="1109" t="str">
        <f>"Contract No. "&amp;ContractNo</f>
        <v>Contract No. ZNB 00399/00000/HOD/INF/21/T</v>
      </c>
      <c r="G74" s="1109"/>
      <c r="H74" s="1109"/>
      <c r="I74" s="5"/>
    </row>
    <row r="75" spans="2:13" s="1" customFormat="1" ht="13" x14ac:dyDescent="0.25">
      <c r="B75" s="1108" t="str">
        <f>Client2</f>
        <v>Department of Transport</v>
      </c>
      <c r="C75" s="1108"/>
      <c r="D75" s="1108"/>
      <c r="E75" s="87"/>
      <c r="F75" s="1109"/>
      <c r="G75" s="1109"/>
      <c r="H75" s="1109"/>
      <c r="I75" s="5"/>
    </row>
    <row r="76" spans="2:13" s="1" customFormat="1" x14ac:dyDescent="0.25">
      <c r="B76" s="1111"/>
      <c r="C76" s="1111"/>
      <c r="D76" s="1111"/>
      <c r="E76" s="78"/>
      <c r="F76" s="1110"/>
      <c r="G76" s="1110"/>
      <c r="H76" s="1110"/>
      <c r="I76" s="5"/>
    </row>
    <row r="77" spans="2:13" s="1" customFormat="1" ht="13" x14ac:dyDescent="0.25">
      <c r="B77" s="1112" t="s">
        <v>8</v>
      </c>
      <c r="C77" s="1113"/>
      <c r="D77" s="1113"/>
      <c r="E77" s="1113"/>
      <c r="F77" s="1113"/>
      <c r="G77" s="1113"/>
      <c r="H77" s="1125" t="str">
        <f>$H$6</f>
        <v>CHAPTER C5.1</v>
      </c>
      <c r="I77" s="6"/>
    </row>
    <row r="78" spans="2:13" s="1" customFormat="1" ht="13" x14ac:dyDescent="0.25">
      <c r="B78" s="1117" t="str">
        <f>ContractDescription</f>
        <v>THE CONSTRUCTION OF EARTHWORKS, LAYERWORKS, SURFACING, CULVERTS AND CWAKA RIVER BRIDGE FROM KM 11.600 TO KM 14.000 ON MAIN ROAD P494 IN THE KING CETSHWAYO DISTRICT UNDER EMPANGENI REGION</v>
      </c>
      <c r="C78" s="1118"/>
      <c r="D78" s="1118"/>
      <c r="E78" s="1118"/>
      <c r="F78" s="1118"/>
      <c r="G78" s="1118"/>
      <c r="H78" s="1126"/>
      <c r="I78" s="8"/>
    </row>
    <row r="79" spans="2:13" s="1" customFormat="1" ht="13" x14ac:dyDescent="0.25">
      <c r="B79" s="1117"/>
      <c r="C79" s="1118"/>
      <c r="D79" s="1118"/>
      <c r="E79" s="1118"/>
      <c r="F79" s="1118"/>
      <c r="G79" s="1118"/>
      <c r="H79" s="1126"/>
      <c r="I79" s="8"/>
    </row>
    <row r="80" spans="2:13" s="1" customFormat="1" ht="13" x14ac:dyDescent="0.25">
      <c r="B80" s="1119"/>
      <c r="C80" s="1120"/>
      <c r="D80" s="1120"/>
      <c r="E80" s="1120"/>
      <c r="F80" s="1120"/>
      <c r="G80" s="1120"/>
      <c r="H80" s="1127"/>
      <c r="I80" s="8"/>
    </row>
    <row r="81" spans="2:13" s="9" customFormat="1" ht="25" customHeight="1" x14ac:dyDescent="0.25">
      <c r="B81" s="74" t="s">
        <v>0</v>
      </c>
      <c r="C81" s="11" t="s">
        <v>1</v>
      </c>
      <c r="D81" s="11" t="s">
        <v>2</v>
      </c>
      <c r="E81" s="11"/>
      <c r="F81" s="11" t="s">
        <v>3</v>
      </c>
      <c r="G81" s="11" t="s">
        <v>4</v>
      </c>
      <c r="H81" s="11" t="s">
        <v>5</v>
      </c>
      <c r="I81" s="12"/>
      <c r="J81" s="408" t="s">
        <v>996</v>
      </c>
      <c r="K81" s="253" t="s">
        <v>997</v>
      </c>
      <c r="L81" s="253" t="s">
        <v>998</v>
      </c>
      <c r="M81" s="253" t="s">
        <v>999</v>
      </c>
    </row>
    <row r="82" spans="2:13" s="28" customFormat="1" ht="19.5" customHeight="1" x14ac:dyDescent="0.25">
      <c r="B82" s="80"/>
      <c r="C82" s="30" t="s">
        <v>27</v>
      </c>
      <c r="D82" s="31"/>
      <c r="E82" s="31"/>
      <c r="F82" s="32"/>
      <c r="G82" s="31"/>
      <c r="H82" s="33">
        <f>H73</f>
        <v>0</v>
      </c>
      <c r="I82" s="34"/>
      <c r="J82" s="416"/>
      <c r="K82" s="409"/>
      <c r="L82" s="419">
        <f>L73</f>
        <v>0</v>
      </c>
      <c r="M82" s="410" t="str">
        <f t="shared" ref="M82" si="17">IF(J82="","",IF(SUM(H82)=0,"",L82/H82))</f>
        <v/>
      </c>
    </row>
    <row r="83" spans="2:13" x14ac:dyDescent="0.25">
      <c r="B83" s="58"/>
      <c r="C83" s="14"/>
      <c r="D83" s="15"/>
      <c r="E83" s="15"/>
      <c r="F83" s="15"/>
      <c r="G83" s="422"/>
      <c r="H83" s="17"/>
      <c r="I83" s="18"/>
      <c r="J83" s="61"/>
      <c r="K83" s="399"/>
      <c r="L83" s="420" t="str">
        <f t="shared" ref="L83:L150" si="18">IF(J83="","",F83*K83)</f>
        <v/>
      </c>
      <c r="M83" s="401" t="str">
        <f t="shared" ref="M83:M151" si="19">IF(J83="","",IF(SUM(H83)=0,"",L83/H83))</f>
        <v/>
      </c>
    </row>
    <row r="84" spans="2:13" x14ac:dyDescent="0.25">
      <c r="B84" s="58"/>
      <c r="C84" s="14"/>
      <c r="D84" s="15"/>
      <c r="E84" s="15"/>
      <c r="F84" s="15"/>
      <c r="G84" s="422"/>
      <c r="H84" s="17" t="str">
        <f t="shared" ref="H84:H115" si="20">IF(D84="","",F84*G84)</f>
        <v/>
      </c>
      <c r="I84" s="18"/>
      <c r="J84" s="61"/>
      <c r="K84" s="399"/>
      <c r="L84" s="420" t="str">
        <f t="shared" si="18"/>
        <v/>
      </c>
      <c r="M84" s="401" t="str">
        <f t="shared" si="19"/>
        <v/>
      </c>
    </row>
    <row r="85" spans="2:13" x14ac:dyDescent="0.25">
      <c r="B85" s="58"/>
      <c r="C85" s="14"/>
      <c r="D85" s="15"/>
      <c r="E85" s="15"/>
      <c r="F85" s="15"/>
      <c r="G85" s="422"/>
      <c r="H85" s="17" t="str">
        <f t="shared" si="20"/>
        <v/>
      </c>
      <c r="I85" s="18"/>
      <c r="J85" s="61"/>
      <c r="K85" s="399"/>
      <c r="L85" s="420" t="str">
        <f t="shared" si="18"/>
        <v/>
      </c>
      <c r="M85" s="401" t="str">
        <f t="shared" si="19"/>
        <v/>
      </c>
    </row>
    <row r="86" spans="2:13" x14ac:dyDescent="0.25">
      <c r="B86" s="58"/>
      <c r="C86" s="14"/>
      <c r="D86" s="15"/>
      <c r="E86" s="15"/>
      <c r="F86" s="15"/>
      <c r="G86" s="422"/>
      <c r="H86" s="17" t="str">
        <f t="shared" si="20"/>
        <v/>
      </c>
      <c r="I86" s="18"/>
      <c r="J86" s="61"/>
      <c r="K86" s="399"/>
      <c r="L86" s="420" t="str">
        <f t="shared" si="18"/>
        <v/>
      </c>
      <c r="M86" s="401" t="str">
        <f t="shared" si="19"/>
        <v/>
      </c>
    </row>
    <row r="87" spans="2:13" x14ac:dyDescent="0.25">
      <c r="B87" s="58"/>
      <c r="C87" s="14"/>
      <c r="D87" s="15"/>
      <c r="E87" s="15"/>
      <c r="F87" s="15"/>
      <c r="G87" s="422"/>
      <c r="H87" s="17" t="str">
        <f t="shared" si="20"/>
        <v/>
      </c>
      <c r="I87" s="18"/>
      <c r="J87" s="61"/>
      <c r="K87" s="400"/>
      <c r="L87" s="420" t="str">
        <f t="shared" si="18"/>
        <v/>
      </c>
      <c r="M87" s="401" t="str">
        <f t="shared" si="19"/>
        <v/>
      </c>
    </row>
    <row r="88" spans="2:13" x14ac:dyDescent="0.25">
      <c r="B88" s="58"/>
      <c r="C88" s="14"/>
      <c r="D88" s="15"/>
      <c r="E88" s="15"/>
      <c r="F88" s="580"/>
      <c r="G88" s="422"/>
      <c r="H88" s="17" t="str">
        <f t="shared" si="20"/>
        <v/>
      </c>
      <c r="I88" s="18"/>
      <c r="J88" s="61"/>
      <c r="K88" s="399"/>
      <c r="L88" s="420" t="str">
        <f t="shared" si="18"/>
        <v/>
      </c>
      <c r="M88" s="401" t="str">
        <f t="shared" si="19"/>
        <v/>
      </c>
    </row>
    <row r="89" spans="2:13" x14ac:dyDescent="0.25">
      <c r="B89" s="58"/>
      <c r="C89" s="14"/>
      <c r="D89" s="15"/>
      <c r="E89" s="15"/>
      <c r="F89" s="15"/>
      <c r="G89" s="422"/>
      <c r="H89" s="17" t="str">
        <f t="shared" si="20"/>
        <v/>
      </c>
      <c r="I89" s="18"/>
      <c r="J89" s="61"/>
      <c r="K89" s="399"/>
      <c r="L89" s="420" t="str">
        <f t="shared" si="18"/>
        <v/>
      </c>
      <c r="M89" s="401" t="str">
        <f t="shared" si="19"/>
        <v/>
      </c>
    </row>
    <row r="90" spans="2:13" x14ac:dyDescent="0.25">
      <c r="B90" s="58"/>
      <c r="C90" s="14"/>
      <c r="D90" s="15"/>
      <c r="E90" s="15"/>
      <c r="F90" s="15"/>
      <c r="G90" s="422"/>
      <c r="H90" s="17" t="str">
        <f t="shared" si="20"/>
        <v/>
      </c>
      <c r="I90" s="18"/>
      <c r="J90" s="61"/>
      <c r="K90" s="399"/>
      <c r="L90" s="420" t="str">
        <f t="shared" si="18"/>
        <v/>
      </c>
      <c r="M90" s="401" t="str">
        <f t="shared" si="19"/>
        <v/>
      </c>
    </row>
    <row r="91" spans="2:13" x14ac:dyDescent="0.25">
      <c r="B91" s="58"/>
      <c r="C91" s="14"/>
      <c r="D91" s="15"/>
      <c r="E91" s="15"/>
      <c r="F91" s="15"/>
      <c r="G91" s="422"/>
      <c r="H91" s="17" t="str">
        <f t="shared" si="20"/>
        <v/>
      </c>
      <c r="I91" s="18"/>
      <c r="J91" s="61"/>
      <c r="K91" s="402"/>
      <c r="L91" s="420" t="str">
        <f t="shared" si="18"/>
        <v/>
      </c>
      <c r="M91" s="401" t="str">
        <f t="shared" si="19"/>
        <v/>
      </c>
    </row>
    <row r="92" spans="2:13" x14ac:dyDescent="0.25">
      <c r="B92" s="58"/>
      <c r="C92" s="14"/>
      <c r="D92" s="15"/>
      <c r="E92" s="15"/>
      <c r="F92" s="15"/>
      <c r="G92" s="422"/>
      <c r="H92" s="17" t="str">
        <f t="shared" si="20"/>
        <v/>
      </c>
      <c r="I92" s="18"/>
      <c r="J92" s="61"/>
      <c r="K92" s="402"/>
      <c r="L92" s="420" t="str">
        <f t="shared" si="18"/>
        <v/>
      </c>
      <c r="M92" s="401" t="str">
        <f t="shared" si="19"/>
        <v/>
      </c>
    </row>
    <row r="93" spans="2:13" x14ac:dyDescent="0.25">
      <c r="B93" s="58"/>
      <c r="C93" s="14"/>
      <c r="D93" s="15"/>
      <c r="E93" s="15"/>
      <c r="F93" s="15"/>
      <c r="G93" s="422"/>
      <c r="H93" s="17" t="str">
        <f t="shared" si="20"/>
        <v/>
      </c>
      <c r="I93" s="18"/>
      <c r="J93" s="61"/>
      <c r="K93" s="402"/>
      <c r="L93" s="420" t="str">
        <f t="shared" si="18"/>
        <v/>
      </c>
      <c r="M93" s="401" t="str">
        <f t="shared" si="19"/>
        <v/>
      </c>
    </row>
    <row r="94" spans="2:13" x14ac:dyDescent="0.25">
      <c r="B94" s="58"/>
      <c r="C94" s="14"/>
      <c r="D94" s="15"/>
      <c r="E94" s="15"/>
      <c r="F94" s="15"/>
      <c r="G94" s="424"/>
      <c r="H94" s="17" t="str">
        <f t="shared" si="20"/>
        <v/>
      </c>
      <c r="I94" s="18"/>
      <c r="J94" s="61"/>
      <c r="K94" s="402"/>
      <c r="L94" s="420" t="str">
        <f t="shared" si="18"/>
        <v/>
      </c>
      <c r="M94" s="401" t="str">
        <f t="shared" si="19"/>
        <v/>
      </c>
    </row>
    <row r="95" spans="2:13" x14ac:dyDescent="0.25">
      <c r="B95" s="58"/>
      <c r="C95" s="14"/>
      <c r="D95" s="15"/>
      <c r="E95" s="15"/>
      <c r="F95" s="15"/>
      <c r="G95" s="424"/>
      <c r="H95" s="17" t="str">
        <f t="shared" si="20"/>
        <v/>
      </c>
      <c r="I95" s="18"/>
      <c r="J95" s="61"/>
      <c r="K95" s="402"/>
      <c r="L95" s="420" t="str">
        <f t="shared" si="18"/>
        <v/>
      </c>
      <c r="M95" s="401" t="str">
        <f t="shared" si="19"/>
        <v/>
      </c>
    </row>
    <row r="96" spans="2:13" x14ac:dyDescent="0.25">
      <c r="B96" s="58"/>
      <c r="C96" s="14"/>
      <c r="D96" s="15"/>
      <c r="E96" s="15"/>
      <c r="F96" s="15"/>
      <c r="G96" s="424"/>
      <c r="H96" s="17" t="str">
        <f t="shared" si="20"/>
        <v/>
      </c>
      <c r="I96" s="18"/>
      <c r="J96" s="61"/>
      <c r="K96" s="402"/>
      <c r="L96" s="420" t="str">
        <f t="shared" si="18"/>
        <v/>
      </c>
      <c r="M96" s="401" t="str">
        <f t="shared" si="19"/>
        <v/>
      </c>
    </row>
    <row r="97" spans="2:13" x14ac:dyDescent="0.25">
      <c r="B97" s="58"/>
      <c r="C97" s="14"/>
      <c r="D97" s="15"/>
      <c r="E97" s="15"/>
      <c r="F97" s="15"/>
      <c r="G97" s="422"/>
      <c r="H97" s="17" t="str">
        <f t="shared" si="20"/>
        <v/>
      </c>
      <c r="I97" s="18"/>
      <c r="J97" s="61"/>
      <c r="K97" s="399"/>
      <c r="L97" s="420" t="str">
        <f t="shared" si="18"/>
        <v/>
      </c>
      <c r="M97" s="401" t="str">
        <f t="shared" si="19"/>
        <v/>
      </c>
    </row>
    <row r="98" spans="2:13" x14ac:dyDescent="0.25">
      <c r="B98" s="58"/>
      <c r="C98" s="14"/>
      <c r="D98" s="15"/>
      <c r="E98" s="15"/>
      <c r="F98" s="15"/>
      <c r="G98" s="422"/>
      <c r="H98" s="17" t="str">
        <f t="shared" si="20"/>
        <v/>
      </c>
      <c r="I98" s="18"/>
      <c r="J98" s="61"/>
      <c r="K98" s="399"/>
      <c r="L98" s="420" t="str">
        <f t="shared" si="18"/>
        <v/>
      </c>
      <c r="M98" s="401" t="str">
        <f t="shared" si="19"/>
        <v/>
      </c>
    </row>
    <row r="99" spans="2:13" x14ac:dyDescent="0.25">
      <c r="B99" s="58"/>
      <c r="C99" s="14"/>
      <c r="D99" s="15"/>
      <c r="E99" s="15"/>
      <c r="F99" s="15"/>
      <c r="G99" s="422"/>
      <c r="H99" s="17" t="str">
        <f t="shared" si="20"/>
        <v/>
      </c>
      <c r="I99" s="18"/>
      <c r="J99" s="61"/>
      <c r="K99" s="400"/>
      <c r="L99" s="420" t="str">
        <f t="shared" si="18"/>
        <v/>
      </c>
      <c r="M99" s="401" t="str">
        <f t="shared" si="19"/>
        <v/>
      </c>
    </row>
    <row r="100" spans="2:13" x14ac:dyDescent="0.25">
      <c r="B100" s="58"/>
      <c r="C100" s="14"/>
      <c r="D100" s="15"/>
      <c r="E100" s="15"/>
      <c r="F100" s="580"/>
      <c r="G100" s="422"/>
      <c r="H100" s="17" t="str">
        <f t="shared" si="20"/>
        <v/>
      </c>
      <c r="I100" s="18"/>
      <c r="J100" s="61"/>
      <c r="K100" s="399"/>
      <c r="L100" s="420" t="str">
        <f t="shared" si="18"/>
        <v/>
      </c>
      <c r="M100" s="401" t="str">
        <f t="shared" si="19"/>
        <v/>
      </c>
    </row>
    <row r="101" spans="2:13" x14ac:dyDescent="0.25">
      <c r="B101" s="58"/>
      <c r="C101" s="14"/>
      <c r="D101" s="15"/>
      <c r="E101" s="15"/>
      <c r="F101" s="15"/>
      <c r="G101" s="422"/>
      <c r="H101" s="17" t="str">
        <f t="shared" si="20"/>
        <v/>
      </c>
      <c r="I101" s="18"/>
      <c r="J101" s="61"/>
      <c r="K101" s="399"/>
      <c r="L101" s="420" t="str">
        <f t="shared" si="18"/>
        <v/>
      </c>
      <c r="M101" s="401" t="str">
        <f t="shared" si="19"/>
        <v/>
      </c>
    </row>
    <row r="102" spans="2:13" x14ac:dyDescent="0.25">
      <c r="B102" s="58"/>
      <c r="C102" s="14"/>
      <c r="D102" s="15"/>
      <c r="E102" s="15"/>
      <c r="F102" s="580"/>
      <c r="G102" s="422"/>
      <c r="H102" s="17" t="str">
        <f t="shared" si="20"/>
        <v/>
      </c>
      <c r="I102" s="18"/>
      <c r="J102" s="61"/>
      <c r="K102" s="399"/>
      <c r="L102" s="420" t="str">
        <f t="shared" si="18"/>
        <v/>
      </c>
      <c r="M102" s="401" t="str">
        <f t="shared" si="19"/>
        <v/>
      </c>
    </row>
    <row r="103" spans="2:13" x14ac:dyDescent="0.25">
      <c r="B103" s="58"/>
      <c r="C103" s="14"/>
      <c r="D103" s="15"/>
      <c r="E103" s="15"/>
      <c r="F103" s="15"/>
      <c r="G103" s="422"/>
      <c r="H103" s="17" t="str">
        <f t="shared" si="20"/>
        <v/>
      </c>
      <c r="I103" s="18"/>
      <c r="J103" s="61"/>
      <c r="K103" s="399"/>
      <c r="L103" s="420" t="str">
        <f t="shared" si="18"/>
        <v/>
      </c>
      <c r="M103" s="401" t="str">
        <f t="shared" si="19"/>
        <v/>
      </c>
    </row>
    <row r="104" spans="2:13" x14ac:dyDescent="0.25">
      <c r="B104" s="58"/>
      <c r="C104" s="14"/>
      <c r="D104" s="15"/>
      <c r="E104" s="15"/>
      <c r="F104" s="15"/>
      <c r="G104" s="422"/>
      <c r="H104" s="17" t="str">
        <f t="shared" si="20"/>
        <v/>
      </c>
      <c r="I104" s="18"/>
      <c r="J104" s="61"/>
      <c r="K104" s="399"/>
      <c r="L104" s="420" t="str">
        <f t="shared" si="18"/>
        <v/>
      </c>
      <c r="M104" s="401" t="str">
        <f t="shared" si="19"/>
        <v/>
      </c>
    </row>
    <row r="105" spans="2:13" x14ac:dyDescent="0.25">
      <c r="B105" s="58"/>
      <c r="C105" s="26"/>
      <c r="D105" s="15"/>
      <c r="E105" s="15"/>
      <c r="F105" s="15"/>
      <c r="G105" s="422"/>
      <c r="H105" s="17" t="str">
        <f t="shared" si="20"/>
        <v/>
      </c>
      <c r="I105" s="18"/>
      <c r="J105" s="61"/>
      <c r="K105" s="400"/>
      <c r="L105" s="420" t="str">
        <f t="shared" si="18"/>
        <v/>
      </c>
      <c r="M105" s="401" t="str">
        <f t="shared" si="19"/>
        <v/>
      </c>
    </row>
    <row r="106" spans="2:13" x14ac:dyDescent="0.25">
      <c r="B106" s="58"/>
      <c r="C106" s="26"/>
      <c r="D106" s="15"/>
      <c r="E106" s="15"/>
      <c r="F106" s="15"/>
      <c r="G106" s="422"/>
      <c r="H106" s="17" t="str">
        <f t="shared" si="20"/>
        <v/>
      </c>
      <c r="I106" s="704"/>
      <c r="J106" s="61"/>
      <c r="K106" s="399"/>
      <c r="L106" s="420" t="str">
        <f t="shared" si="18"/>
        <v/>
      </c>
      <c r="M106" s="401" t="str">
        <f t="shared" si="19"/>
        <v/>
      </c>
    </row>
    <row r="107" spans="2:13" x14ac:dyDescent="0.25">
      <c r="B107" s="58"/>
      <c r="C107" s="26"/>
      <c r="D107" s="15"/>
      <c r="E107" s="15"/>
      <c r="F107" s="15"/>
      <c r="G107" s="422"/>
      <c r="H107" s="17" t="str">
        <f t="shared" si="20"/>
        <v/>
      </c>
      <c r="I107" s="704"/>
      <c r="J107" s="61"/>
      <c r="K107" s="399"/>
      <c r="L107" s="420" t="str">
        <f t="shared" si="18"/>
        <v/>
      </c>
      <c r="M107" s="401" t="str">
        <f t="shared" si="19"/>
        <v/>
      </c>
    </row>
    <row r="108" spans="2:13" x14ac:dyDescent="0.25">
      <c r="B108" s="58"/>
      <c r="C108" s="14"/>
      <c r="D108" s="15"/>
      <c r="E108" s="15"/>
      <c r="F108" s="15"/>
      <c r="G108" s="422"/>
      <c r="H108" s="17" t="str">
        <f t="shared" si="20"/>
        <v/>
      </c>
      <c r="I108" s="18"/>
      <c r="J108" s="61"/>
      <c r="K108" s="399"/>
      <c r="L108" s="420" t="str">
        <f t="shared" si="18"/>
        <v/>
      </c>
      <c r="M108" s="401" t="str">
        <f t="shared" si="19"/>
        <v/>
      </c>
    </row>
    <row r="109" spans="2:13" x14ac:dyDescent="0.25">
      <c r="B109" s="58"/>
      <c r="C109" s="26"/>
      <c r="D109" s="15"/>
      <c r="E109" s="15"/>
      <c r="F109" s="15"/>
      <c r="G109" s="422"/>
      <c r="H109" s="17" t="str">
        <f t="shared" si="20"/>
        <v/>
      </c>
      <c r="I109" s="18"/>
      <c r="J109" s="61"/>
      <c r="K109" s="399"/>
      <c r="L109" s="420" t="str">
        <f t="shared" si="18"/>
        <v/>
      </c>
      <c r="M109" s="401" t="str">
        <f t="shared" si="19"/>
        <v/>
      </c>
    </row>
    <row r="110" spans="2:13" x14ac:dyDescent="0.25">
      <c r="B110" s="58"/>
      <c r="C110" s="26"/>
      <c r="D110" s="15"/>
      <c r="E110" s="15"/>
      <c r="F110" s="15"/>
      <c r="G110" s="422"/>
      <c r="H110" s="17" t="str">
        <f t="shared" si="20"/>
        <v/>
      </c>
      <c r="I110" s="705"/>
      <c r="J110" s="61"/>
      <c r="K110" s="399"/>
      <c r="L110" s="420" t="str">
        <f t="shared" si="18"/>
        <v/>
      </c>
      <c r="M110" s="401" t="str">
        <f t="shared" si="19"/>
        <v/>
      </c>
    </row>
    <row r="111" spans="2:13" x14ac:dyDescent="0.25">
      <c r="B111" s="58"/>
      <c r="C111" s="26"/>
      <c r="D111" s="15"/>
      <c r="E111" s="15"/>
      <c r="F111" s="15"/>
      <c r="G111" s="422"/>
      <c r="H111" s="17" t="str">
        <f t="shared" si="20"/>
        <v/>
      </c>
      <c r="I111" s="705"/>
      <c r="J111" s="61"/>
      <c r="K111" s="399"/>
      <c r="L111" s="420" t="str">
        <f t="shared" si="18"/>
        <v/>
      </c>
      <c r="M111" s="401" t="str">
        <f t="shared" si="19"/>
        <v/>
      </c>
    </row>
    <row r="112" spans="2:13" x14ac:dyDescent="0.25">
      <c r="B112" s="58"/>
      <c r="C112" s="26"/>
      <c r="D112" s="15"/>
      <c r="E112" s="15"/>
      <c r="F112" s="15"/>
      <c r="G112" s="422"/>
      <c r="H112" s="17" t="str">
        <f t="shared" si="20"/>
        <v/>
      </c>
      <c r="I112" s="704"/>
      <c r="J112" s="61"/>
      <c r="K112" s="399"/>
      <c r="L112" s="420" t="str">
        <f t="shared" si="18"/>
        <v/>
      </c>
      <c r="M112" s="401" t="str">
        <f t="shared" si="19"/>
        <v/>
      </c>
    </row>
    <row r="113" spans="2:13" x14ac:dyDescent="0.25">
      <c r="B113" s="58"/>
      <c r="C113" s="26"/>
      <c r="D113" s="15"/>
      <c r="E113" s="15"/>
      <c r="F113" s="15"/>
      <c r="G113" s="422"/>
      <c r="H113" s="17" t="str">
        <f t="shared" si="20"/>
        <v/>
      </c>
      <c r="I113" s="704"/>
      <c r="J113" s="61"/>
      <c r="K113" s="399"/>
      <c r="L113" s="420" t="str">
        <f t="shared" si="18"/>
        <v/>
      </c>
      <c r="M113" s="401" t="str">
        <f t="shared" si="19"/>
        <v/>
      </c>
    </row>
    <row r="114" spans="2:13" x14ac:dyDescent="0.25">
      <c r="B114" s="58"/>
      <c r="C114" s="14"/>
      <c r="D114" s="15"/>
      <c r="E114" s="15"/>
      <c r="F114" s="15"/>
      <c r="G114" s="422"/>
      <c r="H114" s="17" t="str">
        <f t="shared" si="20"/>
        <v/>
      </c>
      <c r="I114" s="18"/>
      <c r="J114" s="61"/>
      <c r="K114" s="399"/>
      <c r="L114" s="420" t="str">
        <f t="shared" si="18"/>
        <v/>
      </c>
      <c r="M114" s="401" t="str">
        <f t="shared" si="19"/>
        <v/>
      </c>
    </row>
    <row r="115" spans="2:13" x14ac:dyDescent="0.25">
      <c r="B115" s="58"/>
      <c r="C115" s="14"/>
      <c r="D115" s="15"/>
      <c r="E115" s="15"/>
      <c r="F115" s="15"/>
      <c r="G115" s="422"/>
      <c r="H115" s="17" t="str">
        <f t="shared" si="20"/>
        <v/>
      </c>
      <c r="I115" s="18"/>
      <c r="J115" s="61"/>
      <c r="K115" s="399"/>
      <c r="L115" s="420" t="str">
        <f t="shared" si="18"/>
        <v/>
      </c>
      <c r="M115" s="401" t="str">
        <f t="shared" si="19"/>
        <v/>
      </c>
    </row>
    <row r="116" spans="2:13" x14ac:dyDescent="0.25">
      <c r="B116" s="58"/>
      <c r="C116" s="14"/>
      <c r="D116" s="15"/>
      <c r="E116" s="15"/>
      <c r="F116" s="15"/>
      <c r="G116" s="422"/>
      <c r="H116" s="17" t="str">
        <f t="shared" ref="H116:H147" si="21">IF(D116="","",F116*G116)</f>
        <v/>
      </c>
      <c r="I116" s="18"/>
      <c r="J116" s="61"/>
      <c r="K116" s="399"/>
      <c r="L116" s="420" t="str">
        <f t="shared" si="18"/>
        <v/>
      </c>
      <c r="M116" s="401" t="str">
        <f t="shared" si="19"/>
        <v/>
      </c>
    </row>
    <row r="117" spans="2:13" x14ac:dyDescent="0.25">
      <c r="B117" s="58"/>
      <c r="C117" s="14"/>
      <c r="D117" s="15"/>
      <c r="E117" s="15"/>
      <c r="F117" s="15"/>
      <c r="G117" s="422"/>
      <c r="H117" s="17" t="str">
        <f t="shared" si="21"/>
        <v/>
      </c>
      <c r="I117" s="18"/>
      <c r="J117" s="61"/>
      <c r="K117" s="402"/>
      <c r="L117" s="420" t="str">
        <f t="shared" si="18"/>
        <v/>
      </c>
      <c r="M117" s="401" t="str">
        <f t="shared" si="19"/>
        <v/>
      </c>
    </row>
    <row r="118" spans="2:13" x14ac:dyDescent="0.25">
      <c r="B118" s="58"/>
      <c r="C118" s="14"/>
      <c r="D118" s="15"/>
      <c r="E118" s="15"/>
      <c r="F118" s="15"/>
      <c r="G118" s="422"/>
      <c r="H118" s="17" t="str">
        <f t="shared" si="21"/>
        <v/>
      </c>
      <c r="I118" s="18"/>
      <c r="J118" s="61"/>
      <c r="K118" s="399"/>
      <c r="L118" s="420" t="str">
        <f t="shared" si="18"/>
        <v/>
      </c>
      <c r="M118" s="401" t="str">
        <f t="shared" si="19"/>
        <v/>
      </c>
    </row>
    <row r="119" spans="2:13" x14ac:dyDescent="0.25">
      <c r="B119" s="58"/>
      <c r="C119" s="14"/>
      <c r="D119" s="15"/>
      <c r="E119" s="15"/>
      <c r="F119" s="15"/>
      <c r="G119" s="422"/>
      <c r="H119" s="17" t="str">
        <f t="shared" si="21"/>
        <v/>
      </c>
      <c r="I119" s="18"/>
      <c r="J119" s="61"/>
      <c r="K119" s="402"/>
      <c r="L119" s="420" t="str">
        <f t="shared" si="18"/>
        <v/>
      </c>
      <c r="M119" s="401" t="str">
        <f t="shared" si="19"/>
        <v/>
      </c>
    </row>
    <row r="120" spans="2:13" x14ac:dyDescent="0.25">
      <c r="B120" s="58"/>
      <c r="C120" s="14"/>
      <c r="D120" s="15"/>
      <c r="E120" s="15"/>
      <c r="F120" s="15"/>
      <c r="G120" s="422"/>
      <c r="H120" s="17" t="str">
        <f t="shared" si="21"/>
        <v/>
      </c>
      <c r="I120" s="18"/>
      <c r="J120" s="61"/>
      <c r="K120" s="402"/>
      <c r="L120" s="420" t="str">
        <f t="shared" si="18"/>
        <v/>
      </c>
      <c r="M120" s="401" t="str">
        <f t="shared" si="19"/>
        <v/>
      </c>
    </row>
    <row r="121" spans="2:13" x14ac:dyDescent="0.25">
      <c r="B121" s="58"/>
      <c r="C121" s="14"/>
      <c r="D121" s="15"/>
      <c r="E121" s="15"/>
      <c r="F121" s="15"/>
      <c r="G121" s="422"/>
      <c r="H121" s="17" t="str">
        <f t="shared" si="21"/>
        <v/>
      </c>
      <c r="I121" s="18"/>
      <c r="J121" s="61"/>
      <c r="K121" s="399"/>
      <c r="L121" s="420" t="str">
        <f t="shared" si="18"/>
        <v/>
      </c>
      <c r="M121" s="401" t="str">
        <f t="shared" si="19"/>
        <v/>
      </c>
    </row>
    <row r="122" spans="2:13" x14ac:dyDescent="0.25">
      <c r="B122" s="58"/>
      <c r="C122" s="14"/>
      <c r="D122" s="15"/>
      <c r="E122" s="15"/>
      <c r="F122" s="15"/>
      <c r="G122" s="422"/>
      <c r="H122" s="17" t="str">
        <f t="shared" si="21"/>
        <v/>
      </c>
      <c r="I122" s="18"/>
      <c r="J122" s="61"/>
      <c r="K122" s="399"/>
      <c r="L122" s="420" t="str">
        <f t="shared" si="18"/>
        <v/>
      </c>
      <c r="M122" s="401" t="str">
        <f t="shared" si="19"/>
        <v/>
      </c>
    </row>
    <row r="123" spans="2:13" x14ac:dyDescent="0.25">
      <c r="B123" s="58"/>
      <c r="C123" s="14"/>
      <c r="D123" s="15"/>
      <c r="E123" s="15"/>
      <c r="F123" s="15"/>
      <c r="G123" s="422"/>
      <c r="H123" s="17" t="str">
        <f t="shared" si="21"/>
        <v/>
      </c>
      <c r="I123" s="18"/>
      <c r="J123" s="61"/>
      <c r="K123" s="399"/>
      <c r="L123" s="420" t="str">
        <f t="shared" si="18"/>
        <v/>
      </c>
      <c r="M123" s="401" t="str">
        <f t="shared" si="19"/>
        <v/>
      </c>
    </row>
    <row r="124" spans="2:13" x14ac:dyDescent="0.25">
      <c r="B124" s="58"/>
      <c r="C124" s="26"/>
      <c r="D124" s="15"/>
      <c r="E124" s="15"/>
      <c r="F124" s="15"/>
      <c r="G124" s="422"/>
      <c r="H124" s="17" t="str">
        <f t="shared" si="21"/>
        <v/>
      </c>
      <c r="I124" s="18"/>
      <c r="J124" s="61"/>
      <c r="K124" s="399"/>
      <c r="L124" s="420" t="str">
        <f t="shared" si="18"/>
        <v/>
      </c>
      <c r="M124" s="401" t="str">
        <f t="shared" si="19"/>
        <v/>
      </c>
    </row>
    <row r="125" spans="2:13" x14ac:dyDescent="0.25">
      <c r="B125" s="58"/>
      <c r="C125" s="26"/>
      <c r="D125" s="15"/>
      <c r="E125" s="15"/>
      <c r="F125" s="15"/>
      <c r="G125" s="422"/>
      <c r="H125" s="17" t="str">
        <f t="shared" si="21"/>
        <v/>
      </c>
      <c r="I125" s="18"/>
      <c r="J125" s="62"/>
      <c r="K125" s="62"/>
      <c r="L125" s="420" t="str">
        <f t="shared" si="18"/>
        <v/>
      </c>
      <c r="M125" s="401" t="str">
        <f t="shared" si="19"/>
        <v/>
      </c>
    </row>
    <row r="126" spans="2:13" x14ac:dyDescent="0.25">
      <c r="B126" s="58"/>
      <c r="C126" s="26"/>
      <c r="D126" s="15"/>
      <c r="E126" s="15"/>
      <c r="F126" s="15"/>
      <c r="G126" s="422"/>
      <c r="H126" s="17" t="str">
        <f t="shared" si="21"/>
        <v/>
      </c>
      <c r="I126" s="18"/>
      <c r="J126" s="61"/>
      <c r="K126" s="62"/>
      <c r="L126" s="420" t="str">
        <f t="shared" si="18"/>
        <v/>
      </c>
      <c r="M126" s="401" t="str">
        <f t="shared" si="19"/>
        <v/>
      </c>
    </row>
    <row r="127" spans="2:13" x14ac:dyDescent="0.25">
      <c r="B127" s="58"/>
      <c r="C127" s="26"/>
      <c r="D127" s="15"/>
      <c r="E127" s="15"/>
      <c r="F127" s="15"/>
      <c r="G127" s="422"/>
      <c r="H127" s="17" t="str">
        <f t="shared" si="21"/>
        <v/>
      </c>
      <c r="I127" s="18"/>
      <c r="J127" s="61"/>
      <c r="K127" s="62"/>
      <c r="L127" s="420" t="str">
        <f t="shared" si="18"/>
        <v/>
      </c>
      <c r="M127" s="401" t="str">
        <f t="shared" si="19"/>
        <v/>
      </c>
    </row>
    <row r="128" spans="2:13" x14ac:dyDescent="0.25">
      <c r="B128" s="58"/>
      <c r="C128" s="26"/>
      <c r="D128" s="15"/>
      <c r="E128" s="15"/>
      <c r="F128" s="15"/>
      <c r="G128" s="422"/>
      <c r="H128" s="17" t="str">
        <f t="shared" si="21"/>
        <v/>
      </c>
      <c r="I128" s="18"/>
      <c r="J128" s="61"/>
      <c r="K128" s="62"/>
      <c r="L128" s="420" t="str">
        <f t="shared" si="18"/>
        <v/>
      </c>
      <c r="M128" s="401" t="str">
        <f t="shared" si="19"/>
        <v/>
      </c>
    </row>
    <row r="129" spans="2:13" x14ac:dyDescent="0.25">
      <c r="B129" s="58"/>
      <c r="C129" s="26"/>
      <c r="D129" s="15"/>
      <c r="E129" s="15"/>
      <c r="F129" s="15"/>
      <c r="G129" s="422"/>
      <c r="H129" s="17" t="str">
        <f t="shared" si="21"/>
        <v/>
      </c>
      <c r="I129" s="18"/>
      <c r="J129" s="61"/>
      <c r="K129" s="62"/>
      <c r="L129" s="420" t="str">
        <f t="shared" si="18"/>
        <v/>
      </c>
      <c r="M129" s="401" t="str">
        <f t="shared" si="19"/>
        <v/>
      </c>
    </row>
    <row r="130" spans="2:13" x14ac:dyDescent="0.25">
      <c r="B130" s="58"/>
      <c r="C130" s="14"/>
      <c r="D130" s="15"/>
      <c r="E130" s="15"/>
      <c r="F130" s="15"/>
      <c r="G130" s="422"/>
      <c r="H130" s="17" t="str">
        <f t="shared" si="21"/>
        <v/>
      </c>
      <c r="I130" s="18"/>
      <c r="J130" s="62"/>
      <c r="K130" s="62"/>
      <c r="L130" s="420" t="str">
        <f t="shared" si="18"/>
        <v/>
      </c>
      <c r="M130" s="401" t="str">
        <f t="shared" si="19"/>
        <v/>
      </c>
    </row>
    <row r="131" spans="2:13" x14ac:dyDescent="0.25">
      <c r="B131" s="58"/>
      <c r="C131" s="14"/>
      <c r="D131" s="15"/>
      <c r="E131" s="15"/>
      <c r="F131" s="15"/>
      <c r="G131" s="422"/>
      <c r="H131" s="17" t="str">
        <f t="shared" si="21"/>
        <v/>
      </c>
      <c r="I131" s="18"/>
      <c r="J131" s="62"/>
      <c r="K131" s="62"/>
      <c r="L131" s="420" t="str">
        <f t="shared" si="18"/>
        <v/>
      </c>
      <c r="M131" s="401" t="str">
        <f t="shared" si="19"/>
        <v/>
      </c>
    </row>
    <row r="132" spans="2:13" x14ac:dyDescent="0.25">
      <c r="B132" s="58"/>
      <c r="C132" s="14"/>
      <c r="D132" s="15"/>
      <c r="E132" s="15"/>
      <c r="F132" s="15"/>
      <c r="G132" s="422"/>
      <c r="H132" s="17"/>
      <c r="I132" s="18"/>
      <c r="J132" s="62"/>
      <c r="K132" s="62"/>
      <c r="L132" s="420"/>
      <c r="M132" s="401"/>
    </row>
    <row r="133" spans="2:13" x14ac:dyDescent="0.25">
      <c r="B133" s="58"/>
      <c r="C133" s="14"/>
      <c r="D133" s="15"/>
      <c r="E133" s="15"/>
      <c r="F133" s="15"/>
      <c r="G133" s="422"/>
      <c r="H133" s="17"/>
      <c r="I133" s="18"/>
      <c r="J133" s="62"/>
      <c r="K133" s="62"/>
      <c r="L133" s="420"/>
      <c r="M133" s="401"/>
    </row>
    <row r="134" spans="2:13" x14ac:dyDescent="0.25">
      <c r="B134" s="58"/>
      <c r="C134" s="14"/>
      <c r="D134" s="15"/>
      <c r="E134" s="15"/>
      <c r="F134" s="15"/>
      <c r="G134" s="422"/>
      <c r="H134" s="17"/>
      <c r="I134" s="18"/>
      <c r="J134" s="62"/>
      <c r="K134" s="62"/>
      <c r="L134" s="420"/>
      <c r="M134" s="401"/>
    </row>
    <row r="135" spans="2:13" x14ac:dyDescent="0.25">
      <c r="B135" s="58"/>
      <c r="C135" s="14"/>
      <c r="D135" s="15"/>
      <c r="E135" s="15"/>
      <c r="F135" s="15"/>
      <c r="G135" s="422"/>
      <c r="H135" s="17"/>
      <c r="I135" s="18"/>
      <c r="J135" s="62"/>
      <c r="K135" s="62"/>
      <c r="L135" s="420"/>
      <c r="M135" s="401"/>
    </row>
    <row r="136" spans="2:13" x14ac:dyDescent="0.25">
      <c r="B136" s="58"/>
      <c r="C136" s="14"/>
      <c r="D136" s="15"/>
      <c r="E136" s="15"/>
      <c r="F136" s="15"/>
      <c r="G136" s="422"/>
      <c r="H136" s="17"/>
      <c r="I136" s="18"/>
      <c r="J136" s="62"/>
      <c r="K136" s="62"/>
      <c r="L136" s="420"/>
      <c r="M136" s="401"/>
    </row>
    <row r="137" spans="2:13" x14ac:dyDescent="0.25">
      <c r="B137" s="58"/>
      <c r="C137" s="14"/>
      <c r="D137" s="15"/>
      <c r="E137" s="15"/>
      <c r="F137" s="15"/>
      <c r="G137" s="422"/>
      <c r="H137" s="17"/>
      <c r="I137" s="18"/>
      <c r="J137" s="62"/>
      <c r="K137" s="62"/>
      <c r="L137" s="420"/>
      <c r="M137" s="401"/>
    </row>
    <row r="138" spans="2:13" x14ac:dyDescent="0.25">
      <c r="B138" s="58"/>
      <c r="C138" s="14"/>
      <c r="D138" s="15"/>
      <c r="E138" s="15"/>
      <c r="F138" s="15"/>
      <c r="G138" s="422"/>
      <c r="H138" s="17"/>
      <c r="I138" s="18"/>
      <c r="J138" s="62"/>
      <c r="K138" s="62"/>
      <c r="L138" s="420"/>
      <c r="M138" s="401"/>
    </row>
    <row r="139" spans="2:13" x14ac:dyDescent="0.25">
      <c r="B139" s="58"/>
      <c r="C139" s="14"/>
      <c r="D139" s="15"/>
      <c r="E139" s="15"/>
      <c r="F139" s="15"/>
      <c r="G139" s="422"/>
      <c r="H139" s="17"/>
      <c r="I139" s="18"/>
      <c r="J139" s="62"/>
      <c r="K139" s="62"/>
      <c r="L139" s="420"/>
      <c r="M139" s="401"/>
    </row>
    <row r="140" spans="2:13" x14ac:dyDescent="0.25">
      <c r="B140" s="58"/>
      <c r="C140" s="14"/>
      <c r="D140" s="15"/>
      <c r="E140" s="15"/>
      <c r="F140" s="15"/>
      <c r="G140" s="422"/>
      <c r="H140" s="17" t="str">
        <f t="shared" si="21"/>
        <v/>
      </c>
      <c r="I140" s="18"/>
      <c r="J140" s="62"/>
      <c r="K140" s="62"/>
      <c r="L140" s="420" t="str">
        <f t="shared" si="18"/>
        <v/>
      </c>
      <c r="M140" s="401" t="str">
        <f t="shared" si="19"/>
        <v/>
      </c>
    </row>
    <row r="141" spans="2:13" x14ac:dyDescent="0.25">
      <c r="B141" s="58"/>
      <c r="C141" s="14"/>
      <c r="D141" s="15"/>
      <c r="E141" s="15"/>
      <c r="F141" s="15"/>
      <c r="G141" s="422"/>
      <c r="H141" s="17" t="str">
        <f t="shared" si="21"/>
        <v/>
      </c>
      <c r="I141" s="18"/>
      <c r="J141" s="62"/>
      <c r="K141" s="62"/>
      <c r="L141" s="420" t="str">
        <f t="shared" si="18"/>
        <v/>
      </c>
      <c r="M141" s="401" t="str">
        <f t="shared" si="19"/>
        <v/>
      </c>
    </row>
    <row r="142" spans="2:13" x14ac:dyDescent="0.25">
      <c r="B142" s="58"/>
      <c r="C142" s="14"/>
      <c r="D142" s="15"/>
      <c r="E142" s="15"/>
      <c r="F142" s="15"/>
      <c r="G142" s="422"/>
      <c r="H142" s="17" t="str">
        <f t="shared" si="21"/>
        <v/>
      </c>
      <c r="I142" s="18"/>
      <c r="J142" s="62"/>
      <c r="K142" s="62"/>
      <c r="L142" s="420" t="str">
        <f t="shared" si="18"/>
        <v/>
      </c>
      <c r="M142" s="401" t="str">
        <f t="shared" si="19"/>
        <v/>
      </c>
    </row>
    <row r="143" spans="2:13" x14ac:dyDescent="0.25">
      <c r="B143" s="58"/>
      <c r="C143" s="14"/>
      <c r="D143" s="15"/>
      <c r="E143" s="15"/>
      <c r="F143" s="15"/>
      <c r="G143" s="422"/>
      <c r="H143" s="17" t="str">
        <f t="shared" si="21"/>
        <v/>
      </c>
      <c r="I143" s="18"/>
      <c r="J143" s="62"/>
      <c r="K143" s="62"/>
      <c r="L143" s="420" t="str">
        <f t="shared" si="18"/>
        <v/>
      </c>
      <c r="M143" s="401" t="str">
        <f t="shared" si="19"/>
        <v/>
      </c>
    </row>
    <row r="144" spans="2:13" x14ac:dyDescent="0.25">
      <c r="B144" s="58"/>
      <c r="C144" s="14"/>
      <c r="D144" s="15"/>
      <c r="E144" s="15"/>
      <c r="F144" s="15"/>
      <c r="G144" s="422"/>
      <c r="H144" s="17" t="str">
        <f t="shared" si="21"/>
        <v/>
      </c>
      <c r="I144" s="18"/>
      <c r="J144" s="62"/>
      <c r="K144" s="62"/>
      <c r="L144" s="420" t="str">
        <f t="shared" si="18"/>
        <v/>
      </c>
      <c r="M144" s="401" t="str">
        <f t="shared" si="19"/>
        <v/>
      </c>
    </row>
    <row r="145" spans="2:13" x14ac:dyDescent="0.25">
      <c r="B145" s="58"/>
      <c r="C145" s="14"/>
      <c r="D145" s="15"/>
      <c r="E145" s="15"/>
      <c r="F145" s="15"/>
      <c r="G145" s="422"/>
      <c r="H145" s="17" t="str">
        <f t="shared" si="21"/>
        <v/>
      </c>
      <c r="I145" s="18"/>
      <c r="J145" s="62"/>
      <c r="K145" s="62"/>
      <c r="L145" s="420" t="str">
        <f t="shared" si="18"/>
        <v/>
      </c>
      <c r="M145" s="401" t="str">
        <f t="shared" si="19"/>
        <v/>
      </c>
    </row>
    <row r="146" spans="2:13" x14ac:dyDescent="0.25">
      <c r="B146" s="58"/>
      <c r="C146" s="14"/>
      <c r="D146" s="15"/>
      <c r="E146" s="15"/>
      <c r="F146" s="15"/>
      <c r="G146" s="422"/>
      <c r="H146" s="17" t="str">
        <f t="shared" si="21"/>
        <v/>
      </c>
      <c r="I146" s="18"/>
      <c r="J146" s="62"/>
      <c r="K146" s="62"/>
      <c r="L146" s="420" t="str">
        <f t="shared" si="18"/>
        <v/>
      </c>
      <c r="M146" s="401" t="str">
        <f t="shared" si="19"/>
        <v/>
      </c>
    </row>
    <row r="147" spans="2:13" x14ac:dyDescent="0.25">
      <c r="B147" s="58"/>
      <c r="C147" s="14"/>
      <c r="D147" s="15"/>
      <c r="E147" s="15"/>
      <c r="F147" s="15"/>
      <c r="G147" s="422"/>
      <c r="H147" s="17" t="str">
        <f t="shared" si="21"/>
        <v/>
      </c>
      <c r="I147" s="18"/>
      <c r="J147" s="61"/>
      <c r="K147" s="62"/>
      <c r="L147" s="420" t="str">
        <f t="shared" si="18"/>
        <v/>
      </c>
      <c r="M147" s="401" t="str">
        <f t="shared" si="19"/>
        <v/>
      </c>
    </row>
    <row r="148" spans="2:13" x14ac:dyDescent="0.25">
      <c r="B148" s="58"/>
      <c r="C148" s="14"/>
      <c r="D148" s="15"/>
      <c r="E148" s="15"/>
      <c r="F148" s="15"/>
      <c r="G148" s="422"/>
      <c r="H148" s="17"/>
      <c r="I148" s="18"/>
      <c r="J148" s="16"/>
      <c r="K148" s="16"/>
      <c r="L148" s="420" t="str">
        <f t="shared" si="18"/>
        <v/>
      </c>
      <c r="M148" s="401" t="str">
        <f t="shared" si="19"/>
        <v/>
      </c>
    </row>
    <row r="149" spans="2:13" x14ac:dyDescent="0.25">
      <c r="B149" s="58"/>
      <c r="C149" s="14"/>
      <c r="D149" s="15"/>
      <c r="E149" s="15"/>
      <c r="F149" s="15"/>
      <c r="G149" s="422"/>
      <c r="H149" s="17"/>
      <c r="I149" s="18"/>
      <c r="J149" s="61"/>
      <c r="K149" s="62"/>
      <c r="L149" s="420" t="str">
        <f t="shared" si="18"/>
        <v/>
      </c>
      <c r="M149" s="401" t="str">
        <f t="shared" si="19"/>
        <v/>
      </c>
    </row>
    <row r="150" spans="2:13" x14ac:dyDescent="0.25">
      <c r="B150" s="58"/>
      <c r="C150" s="14"/>
      <c r="D150" s="15"/>
      <c r="E150" s="15"/>
      <c r="F150" s="15"/>
      <c r="G150" s="422"/>
      <c r="H150" s="17"/>
      <c r="I150" s="18"/>
      <c r="J150" s="61"/>
      <c r="K150" s="696"/>
      <c r="L150" s="420" t="str">
        <f t="shared" si="18"/>
        <v/>
      </c>
      <c r="M150" s="401" t="str">
        <f t="shared" si="19"/>
        <v/>
      </c>
    </row>
    <row r="151" spans="2:13" s="28" customFormat="1" ht="19.5" customHeight="1" x14ac:dyDescent="0.25">
      <c r="B151" s="135" t="str">
        <f>$B$12</f>
        <v>C5.1</v>
      </c>
      <c r="C151" s="498" t="str">
        <f>"TOTAL CARRIED FORWARD"&amp;IF(H151=H$1," TO SUMMARY (Page C"&amp;Page_A&amp;")","")</f>
        <v>TOTAL CARRIED FORWARD TO SUMMARY (Page C48)</v>
      </c>
      <c r="D151" s="31"/>
      <c r="E151" s="31"/>
      <c r="F151" s="32"/>
      <c r="G151" s="31"/>
      <c r="H151" s="33">
        <f>SUM(H82:H150)</f>
        <v>0</v>
      </c>
      <c r="I151" s="34"/>
      <c r="J151" s="408"/>
      <c r="K151" s="406"/>
      <c r="L151" s="418">
        <f>SUM(L82:L150)</f>
        <v>0</v>
      </c>
      <c r="M151" s="407" t="str">
        <f t="shared" si="19"/>
        <v/>
      </c>
    </row>
    <row r="152" spans="2:13" s="1" customFormat="1" ht="13" x14ac:dyDescent="0.25">
      <c r="B152" s="1108" t="str">
        <f>Client1</f>
        <v>Province of KwaZulu-Natal</v>
      </c>
      <c r="C152" s="1108"/>
      <c r="D152" s="1108"/>
      <c r="E152" s="87"/>
      <c r="F152" s="1109" t="str">
        <f>"Contract No. "&amp;ContractNo</f>
        <v>Contract No. ZNB 00399/00000/HOD/INF/21/T</v>
      </c>
      <c r="G152" s="1109"/>
      <c r="H152" s="1109"/>
      <c r="I152" s="5"/>
    </row>
    <row r="153" spans="2:13" s="1" customFormat="1" ht="13" x14ac:dyDescent="0.25">
      <c r="B153" s="1108" t="str">
        <f>Client2</f>
        <v>Department of Transport</v>
      </c>
      <c r="C153" s="1108"/>
      <c r="D153" s="1108"/>
      <c r="E153" s="87"/>
      <c r="F153" s="1109"/>
      <c r="G153" s="1109"/>
      <c r="H153" s="1109"/>
      <c r="I153" s="5"/>
    </row>
    <row r="154" spans="2:13" s="1" customFormat="1" x14ac:dyDescent="0.25">
      <c r="B154" s="1111"/>
      <c r="C154" s="1111"/>
      <c r="D154" s="1111"/>
      <c r="E154" s="78"/>
      <c r="F154" s="1110"/>
      <c r="G154" s="1110"/>
      <c r="H154" s="1110"/>
      <c r="I154" s="5"/>
    </row>
    <row r="155" spans="2:13" s="1" customFormat="1" ht="13" x14ac:dyDescent="0.25">
      <c r="B155" s="1112" t="s">
        <v>8</v>
      </c>
      <c r="C155" s="1113"/>
      <c r="D155" s="1113"/>
      <c r="E155" s="1113"/>
      <c r="F155" s="1113"/>
      <c r="G155" s="1113"/>
      <c r="H155" s="1125" t="str">
        <f>$H$6</f>
        <v>CHAPTER C5.1</v>
      </c>
      <c r="I155" s="6"/>
    </row>
    <row r="156" spans="2:13" s="1" customFormat="1" ht="13" x14ac:dyDescent="0.25">
      <c r="B156" s="1117" t="str">
        <f>ContractDescription</f>
        <v>THE CONSTRUCTION OF EARTHWORKS, LAYERWORKS, SURFACING, CULVERTS AND CWAKA RIVER BRIDGE FROM KM 11.600 TO KM 14.000 ON MAIN ROAD P494 IN THE KING CETSHWAYO DISTRICT UNDER EMPANGENI REGION</v>
      </c>
      <c r="C156" s="1118"/>
      <c r="D156" s="1118"/>
      <c r="E156" s="1118"/>
      <c r="F156" s="1118"/>
      <c r="G156" s="1118"/>
      <c r="H156" s="1126"/>
      <c r="I156" s="8"/>
    </row>
    <row r="157" spans="2:13" s="1" customFormat="1" ht="13" x14ac:dyDescent="0.25">
      <c r="B157" s="1117"/>
      <c r="C157" s="1118"/>
      <c r="D157" s="1118"/>
      <c r="E157" s="1118"/>
      <c r="F157" s="1118"/>
      <c r="G157" s="1118"/>
      <c r="H157" s="1126"/>
      <c r="I157" s="8"/>
    </row>
    <row r="158" spans="2:13" s="1" customFormat="1" ht="13" x14ac:dyDescent="0.25">
      <c r="B158" s="1119"/>
      <c r="C158" s="1120"/>
      <c r="D158" s="1120"/>
      <c r="E158" s="1120"/>
      <c r="F158" s="1120"/>
      <c r="G158" s="1120"/>
      <c r="H158" s="1127"/>
      <c r="I158" s="8"/>
    </row>
    <row r="159" spans="2:13" s="9" customFormat="1" ht="25" customHeight="1" x14ac:dyDescent="0.25">
      <c r="B159" s="74" t="s">
        <v>0</v>
      </c>
      <c r="C159" s="11" t="s">
        <v>1</v>
      </c>
      <c r="D159" s="11" t="s">
        <v>2</v>
      </c>
      <c r="E159" s="11"/>
      <c r="F159" s="11" t="s">
        <v>3</v>
      </c>
      <c r="G159" s="11" t="s">
        <v>4</v>
      </c>
      <c r="H159" s="11" t="s">
        <v>5</v>
      </c>
      <c r="I159" s="12"/>
      <c r="J159" s="408" t="s">
        <v>996</v>
      </c>
      <c r="K159" s="253" t="s">
        <v>997</v>
      </c>
      <c r="L159" s="253" t="s">
        <v>998</v>
      </c>
      <c r="M159" s="253" t="s">
        <v>999</v>
      </c>
    </row>
    <row r="160" spans="2:13" s="28" customFormat="1" ht="19.5" customHeight="1" x14ac:dyDescent="0.25">
      <c r="B160" s="80"/>
      <c r="C160" s="30" t="s">
        <v>27</v>
      </c>
      <c r="D160" s="31"/>
      <c r="E160" s="31"/>
      <c r="F160" s="32"/>
      <c r="G160" s="31"/>
      <c r="H160" s="33">
        <f>H151</f>
        <v>0</v>
      </c>
      <c r="I160" s="34"/>
      <c r="J160" s="416"/>
      <c r="K160" s="409"/>
      <c r="L160" s="419">
        <f>L151</f>
        <v>0</v>
      </c>
      <c r="M160" s="410" t="str">
        <f t="shared" ref="M160:M227" si="22">IF(J160="","",IF(SUM(H160)=0,"",L160/H160))</f>
        <v/>
      </c>
    </row>
    <row r="161" spans="2:13" x14ac:dyDescent="0.25">
      <c r="B161" s="58"/>
      <c r="C161" s="14"/>
      <c r="D161" s="15"/>
      <c r="E161" s="15"/>
      <c r="F161" s="15"/>
      <c r="G161" s="422"/>
      <c r="H161" s="17"/>
      <c r="I161" s="18"/>
      <c r="J161" s="61"/>
      <c r="K161" s="399"/>
      <c r="L161" s="420" t="str">
        <f t="shared" ref="L161:L227" si="23">IF(J161="","",F161*K161)</f>
        <v/>
      </c>
      <c r="M161" s="401" t="str">
        <f t="shared" si="22"/>
        <v/>
      </c>
    </row>
    <row r="162" spans="2:13" x14ac:dyDescent="0.25">
      <c r="B162" s="58"/>
      <c r="C162" s="14"/>
      <c r="D162" s="15"/>
      <c r="E162" s="15"/>
      <c r="F162" s="15"/>
      <c r="G162" s="422"/>
      <c r="H162" s="17" t="str">
        <f t="shared" ref="H162:H193" si="24">IF(D162="","",F162*G162)</f>
        <v/>
      </c>
      <c r="I162" s="18"/>
      <c r="J162" s="61"/>
      <c r="K162" s="399"/>
      <c r="L162" s="420" t="str">
        <f t="shared" si="23"/>
        <v/>
      </c>
      <c r="M162" s="401" t="str">
        <f t="shared" si="22"/>
        <v/>
      </c>
    </row>
    <row r="163" spans="2:13" x14ac:dyDescent="0.25">
      <c r="B163" s="58"/>
      <c r="C163" s="14"/>
      <c r="D163" s="15"/>
      <c r="E163" s="15"/>
      <c r="F163" s="15"/>
      <c r="G163" s="422"/>
      <c r="H163" s="17" t="str">
        <f t="shared" si="24"/>
        <v/>
      </c>
      <c r="I163" s="18"/>
      <c r="J163" s="61"/>
      <c r="K163" s="399"/>
      <c r="L163" s="420" t="str">
        <f t="shared" si="23"/>
        <v/>
      </c>
      <c r="M163" s="401" t="str">
        <f t="shared" si="22"/>
        <v/>
      </c>
    </row>
    <row r="164" spans="2:13" x14ac:dyDescent="0.25">
      <c r="B164" s="58"/>
      <c r="C164" s="14"/>
      <c r="D164" s="15"/>
      <c r="E164" s="15"/>
      <c r="F164" s="15"/>
      <c r="G164" s="422"/>
      <c r="H164" s="17" t="str">
        <f t="shared" si="24"/>
        <v/>
      </c>
      <c r="I164" s="18"/>
      <c r="J164" s="61"/>
      <c r="K164" s="399"/>
      <c r="L164" s="420" t="str">
        <f t="shared" si="23"/>
        <v/>
      </c>
      <c r="M164" s="401" t="str">
        <f t="shared" si="22"/>
        <v/>
      </c>
    </row>
    <row r="165" spans="2:13" x14ac:dyDescent="0.25">
      <c r="B165" s="58"/>
      <c r="C165" s="14"/>
      <c r="D165" s="15"/>
      <c r="E165" s="15"/>
      <c r="F165" s="15"/>
      <c r="G165" s="422"/>
      <c r="H165" s="17" t="str">
        <f t="shared" si="24"/>
        <v/>
      </c>
      <c r="I165" s="18"/>
      <c r="J165" s="61"/>
      <c r="K165" s="400"/>
      <c r="L165" s="420" t="str">
        <f t="shared" si="23"/>
        <v/>
      </c>
      <c r="M165" s="401" t="str">
        <f t="shared" si="22"/>
        <v/>
      </c>
    </row>
    <row r="166" spans="2:13" x14ac:dyDescent="0.25">
      <c r="B166" s="58"/>
      <c r="C166" s="14"/>
      <c r="D166" s="15"/>
      <c r="E166" s="15"/>
      <c r="F166" s="15"/>
      <c r="G166" s="422"/>
      <c r="H166" s="17" t="str">
        <f t="shared" si="24"/>
        <v/>
      </c>
      <c r="I166" s="18"/>
      <c r="J166" s="61"/>
      <c r="K166" s="399"/>
      <c r="L166" s="420" t="str">
        <f t="shared" si="23"/>
        <v/>
      </c>
      <c r="M166" s="401" t="str">
        <f t="shared" si="22"/>
        <v/>
      </c>
    </row>
    <row r="167" spans="2:13" x14ac:dyDescent="0.25">
      <c r="B167" s="58"/>
      <c r="C167" s="14"/>
      <c r="D167" s="15"/>
      <c r="E167" s="15"/>
      <c r="F167" s="15"/>
      <c r="G167" s="422"/>
      <c r="H167" s="17" t="str">
        <f t="shared" si="24"/>
        <v/>
      </c>
      <c r="I167" s="18"/>
      <c r="J167" s="61"/>
      <c r="K167" s="399"/>
      <c r="L167" s="420" t="str">
        <f t="shared" si="23"/>
        <v/>
      </c>
      <c r="M167" s="401" t="str">
        <f t="shared" si="22"/>
        <v/>
      </c>
    </row>
    <row r="168" spans="2:13" x14ac:dyDescent="0.25">
      <c r="B168" s="58"/>
      <c r="C168" s="14"/>
      <c r="D168" s="15"/>
      <c r="E168" s="15"/>
      <c r="F168" s="15"/>
      <c r="G168" s="422"/>
      <c r="H168" s="17" t="str">
        <f t="shared" si="24"/>
        <v/>
      </c>
      <c r="I168" s="18"/>
      <c r="J168" s="61"/>
      <c r="K168" s="399"/>
      <c r="L168" s="420" t="str">
        <f t="shared" si="23"/>
        <v/>
      </c>
      <c r="M168" s="401" t="str">
        <f t="shared" si="22"/>
        <v/>
      </c>
    </row>
    <row r="169" spans="2:13" x14ac:dyDescent="0.25">
      <c r="B169" s="58"/>
      <c r="C169" s="14"/>
      <c r="D169" s="15"/>
      <c r="E169" s="15"/>
      <c r="F169" s="15"/>
      <c r="G169" s="422"/>
      <c r="H169" s="17" t="str">
        <f t="shared" si="24"/>
        <v/>
      </c>
      <c r="I169" s="18"/>
      <c r="J169" s="61"/>
      <c r="K169" s="402"/>
      <c r="L169" s="420" t="str">
        <f t="shared" si="23"/>
        <v/>
      </c>
      <c r="M169" s="401" t="str">
        <f t="shared" si="22"/>
        <v/>
      </c>
    </row>
    <row r="170" spans="2:13" x14ac:dyDescent="0.25">
      <c r="B170" s="58"/>
      <c r="C170" s="14"/>
      <c r="D170" s="15"/>
      <c r="E170" s="15"/>
      <c r="F170" s="15"/>
      <c r="G170" s="422"/>
      <c r="H170" s="17" t="str">
        <f t="shared" si="24"/>
        <v/>
      </c>
      <c r="I170" s="18"/>
      <c r="J170" s="61"/>
      <c r="K170" s="402"/>
      <c r="L170" s="420" t="str">
        <f t="shared" si="23"/>
        <v/>
      </c>
      <c r="M170" s="401" t="str">
        <f t="shared" si="22"/>
        <v/>
      </c>
    </row>
    <row r="171" spans="2:13" x14ac:dyDescent="0.25">
      <c r="B171" s="58"/>
      <c r="C171" s="26"/>
      <c r="D171" s="15"/>
      <c r="E171" s="15"/>
      <c r="F171" s="15"/>
      <c r="G171" s="422"/>
      <c r="H171" s="17" t="str">
        <f t="shared" si="24"/>
        <v/>
      </c>
      <c r="I171" s="18"/>
      <c r="J171" s="61"/>
      <c r="K171" s="402"/>
      <c r="L171" s="420" t="str">
        <f t="shared" si="23"/>
        <v/>
      </c>
      <c r="M171" s="401" t="str">
        <f t="shared" si="22"/>
        <v/>
      </c>
    </row>
    <row r="172" spans="2:13" x14ac:dyDescent="0.25">
      <c r="B172" s="58"/>
      <c r="C172" s="26"/>
      <c r="D172" s="15"/>
      <c r="E172" s="15"/>
      <c r="F172" s="15"/>
      <c r="G172" s="422"/>
      <c r="H172" s="17" t="str">
        <f t="shared" si="24"/>
        <v/>
      </c>
      <c r="I172" s="18"/>
      <c r="J172" s="61"/>
      <c r="K172" s="402"/>
      <c r="L172" s="420" t="str">
        <f t="shared" si="23"/>
        <v/>
      </c>
      <c r="M172" s="401" t="str">
        <f t="shared" si="22"/>
        <v/>
      </c>
    </row>
    <row r="173" spans="2:13" x14ac:dyDescent="0.25">
      <c r="B173" s="58"/>
      <c r="C173" s="26"/>
      <c r="D173" s="15"/>
      <c r="E173" s="15"/>
      <c r="F173" s="15"/>
      <c r="G173" s="422"/>
      <c r="H173" s="17" t="str">
        <f t="shared" si="24"/>
        <v/>
      </c>
      <c r="I173" s="18"/>
      <c r="J173" s="61"/>
      <c r="K173" s="402"/>
      <c r="L173" s="420" t="str">
        <f t="shared" si="23"/>
        <v/>
      </c>
      <c r="M173" s="401" t="str">
        <f t="shared" si="22"/>
        <v/>
      </c>
    </row>
    <row r="174" spans="2:13" x14ac:dyDescent="0.25">
      <c r="B174" s="58"/>
      <c r="C174" s="26"/>
      <c r="D174" s="15"/>
      <c r="E174" s="15"/>
      <c r="F174" s="15"/>
      <c r="G174" s="422"/>
      <c r="H174" s="17" t="str">
        <f t="shared" si="24"/>
        <v/>
      </c>
      <c r="I174" s="18"/>
      <c r="J174" s="61"/>
      <c r="K174" s="402"/>
      <c r="L174" s="420" t="str">
        <f t="shared" si="23"/>
        <v/>
      </c>
      <c r="M174" s="401" t="str">
        <f t="shared" si="22"/>
        <v/>
      </c>
    </row>
    <row r="175" spans="2:13" x14ac:dyDescent="0.25">
      <c r="B175" s="58"/>
      <c r="C175" s="26"/>
      <c r="D175" s="15"/>
      <c r="E175" s="15"/>
      <c r="F175" s="15"/>
      <c r="G175" s="422"/>
      <c r="H175" s="17" t="str">
        <f t="shared" si="24"/>
        <v/>
      </c>
      <c r="I175" s="18"/>
      <c r="J175" s="61"/>
      <c r="K175" s="399"/>
      <c r="L175" s="420" t="str">
        <f t="shared" si="23"/>
        <v/>
      </c>
      <c r="M175" s="401" t="str">
        <f t="shared" si="22"/>
        <v/>
      </c>
    </row>
    <row r="176" spans="2:13" x14ac:dyDescent="0.25">
      <c r="B176" s="58"/>
      <c r="C176" s="26"/>
      <c r="D176" s="15"/>
      <c r="E176" s="15"/>
      <c r="F176" s="15"/>
      <c r="G176" s="422"/>
      <c r="H176" s="17" t="str">
        <f t="shared" si="24"/>
        <v/>
      </c>
      <c r="I176" s="18"/>
      <c r="J176" s="61"/>
      <c r="K176" s="399"/>
      <c r="L176" s="420" t="str">
        <f t="shared" si="23"/>
        <v/>
      </c>
      <c r="M176" s="401" t="str">
        <f t="shared" si="22"/>
        <v/>
      </c>
    </row>
    <row r="177" spans="2:13" x14ac:dyDescent="0.25">
      <c r="B177" s="58"/>
      <c r="C177" s="26"/>
      <c r="D177" s="15"/>
      <c r="E177" s="15"/>
      <c r="F177" s="15"/>
      <c r="G177" s="422"/>
      <c r="H177" s="17" t="str">
        <f t="shared" si="24"/>
        <v/>
      </c>
      <c r="I177" s="18"/>
      <c r="J177" s="61"/>
      <c r="K177" s="400"/>
      <c r="L177" s="420" t="str">
        <f t="shared" si="23"/>
        <v/>
      </c>
      <c r="M177" s="401" t="str">
        <f t="shared" si="22"/>
        <v/>
      </c>
    </row>
    <row r="178" spans="2:13" ht="13" x14ac:dyDescent="0.3">
      <c r="B178" s="58"/>
      <c r="C178" s="14"/>
      <c r="D178" s="706"/>
      <c r="E178" s="706"/>
      <c r="F178" s="15"/>
      <c r="G178" s="422"/>
      <c r="H178" s="17" t="str">
        <f t="shared" si="24"/>
        <v/>
      </c>
      <c r="I178" s="18"/>
      <c r="J178" s="61"/>
      <c r="K178" s="399"/>
      <c r="L178" s="420" t="str">
        <f t="shared" si="23"/>
        <v/>
      </c>
      <c r="M178" s="401" t="str">
        <f t="shared" si="22"/>
        <v/>
      </c>
    </row>
    <row r="179" spans="2:13" ht="13" x14ac:dyDescent="0.3">
      <c r="B179" s="58"/>
      <c r="C179" s="14"/>
      <c r="D179" s="706"/>
      <c r="E179" s="706"/>
      <c r="F179" s="15"/>
      <c r="G179" s="422"/>
      <c r="H179" s="17" t="str">
        <f t="shared" si="24"/>
        <v/>
      </c>
      <c r="I179" s="18"/>
      <c r="J179" s="61"/>
      <c r="K179" s="399"/>
      <c r="L179" s="420" t="str">
        <f t="shared" si="23"/>
        <v/>
      </c>
      <c r="M179" s="401" t="str">
        <f t="shared" si="22"/>
        <v/>
      </c>
    </row>
    <row r="180" spans="2:13" ht="13" x14ac:dyDescent="0.3">
      <c r="B180" s="58"/>
      <c r="C180" s="14"/>
      <c r="D180" s="706"/>
      <c r="E180" s="706"/>
      <c r="F180" s="15"/>
      <c r="G180" s="422"/>
      <c r="H180" s="17" t="str">
        <f t="shared" si="24"/>
        <v/>
      </c>
      <c r="I180" s="18"/>
      <c r="J180" s="61"/>
      <c r="K180" s="399"/>
      <c r="L180" s="420" t="str">
        <f t="shared" si="23"/>
        <v/>
      </c>
      <c r="M180" s="401" t="str">
        <f t="shared" si="22"/>
        <v/>
      </c>
    </row>
    <row r="181" spans="2:13" x14ac:dyDescent="0.25">
      <c r="B181" s="58"/>
      <c r="C181" s="14"/>
      <c r="D181" s="15"/>
      <c r="E181" s="15"/>
      <c r="F181" s="15"/>
      <c r="G181" s="422"/>
      <c r="H181" s="17" t="str">
        <f t="shared" si="24"/>
        <v/>
      </c>
      <c r="I181" s="18"/>
      <c r="J181" s="61"/>
      <c r="K181" s="399"/>
      <c r="L181" s="420" t="str">
        <f t="shared" si="23"/>
        <v/>
      </c>
      <c r="M181" s="401" t="str">
        <f t="shared" si="22"/>
        <v/>
      </c>
    </row>
    <row r="182" spans="2:13" x14ac:dyDescent="0.25">
      <c r="B182" s="58"/>
      <c r="C182" s="14"/>
      <c r="D182" s="15"/>
      <c r="E182" s="15"/>
      <c r="F182" s="15"/>
      <c r="G182" s="422"/>
      <c r="H182" s="17" t="str">
        <f t="shared" si="24"/>
        <v/>
      </c>
      <c r="I182" s="18"/>
      <c r="J182" s="61"/>
      <c r="K182" s="399"/>
      <c r="L182" s="420" t="str">
        <f t="shared" si="23"/>
        <v/>
      </c>
      <c r="M182" s="401" t="str">
        <f t="shared" si="22"/>
        <v/>
      </c>
    </row>
    <row r="183" spans="2:13" x14ac:dyDescent="0.25">
      <c r="B183" s="58"/>
      <c r="C183" s="14"/>
      <c r="D183" s="15"/>
      <c r="E183" s="15"/>
      <c r="F183" s="15"/>
      <c r="G183" s="422"/>
      <c r="H183" s="17" t="str">
        <f t="shared" si="24"/>
        <v/>
      </c>
      <c r="I183" s="18"/>
      <c r="J183" s="61"/>
      <c r="K183" s="400"/>
      <c r="L183" s="420" t="str">
        <f t="shared" si="23"/>
        <v/>
      </c>
      <c r="M183" s="401" t="str">
        <f t="shared" si="22"/>
        <v/>
      </c>
    </row>
    <row r="184" spans="2:13" x14ac:dyDescent="0.25">
      <c r="B184" s="58"/>
      <c r="C184" s="14"/>
      <c r="D184" s="15"/>
      <c r="E184" s="15"/>
      <c r="F184" s="15"/>
      <c r="G184" s="422"/>
      <c r="H184" s="17" t="str">
        <f t="shared" si="24"/>
        <v/>
      </c>
      <c r="I184" s="18"/>
      <c r="J184" s="61"/>
      <c r="K184" s="399"/>
      <c r="L184" s="420" t="str">
        <f t="shared" si="23"/>
        <v/>
      </c>
      <c r="M184" s="401" t="str">
        <f t="shared" si="22"/>
        <v/>
      </c>
    </row>
    <row r="185" spans="2:13" x14ac:dyDescent="0.25">
      <c r="B185" s="58"/>
      <c r="C185" s="14"/>
      <c r="D185" s="15"/>
      <c r="E185" s="15"/>
      <c r="F185" s="15"/>
      <c r="G185" s="422"/>
      <c r="H185" s="17" t="str">
        <f t="shared" si="24"/>
        <v/>
      </c>
      <c r="I185" s="18"/>
      <c r="J185" s="61"/>
      <c r="K185" s="399"/>
      <c r="L185" s="420" t="str">
        <f t="shared" si="23"/>
        <v/>
      </c>
      <c r="M185" s="401" t="str">
        <f t="shared" si="22"/>
        <v/>
      </c>
    </row>
    <row r="186" spans="2:13" x14ac:dyDescent="0.25">
      <c r="B186" s="58"/>
      <c r="C186" s="14"/>
      <c r="D186" s="15"/>
      <c r="E186" s="15"/>
      <c r="F186" s="15"/>
      <c r="G186" s="422"/>
      <c r="H186" s="17" t="str">
        <f t="shared" si="24"/>
        <v/>
      </c>
      <c r="I186" s="18"/>
      <c r="J186" s="61"/>
      <c r="K186" s="399"/>
      <c r="L186" s="420" t="str">
        <f t="shared" si="23"/>
        <v/>
      </c>
      <c r="M186" s="401" t="str">
        <f t="shared" si="22"/>
        <v/>
      </c>
    </row>
    <row r="187" spans="2:13" x14ac:dyDescent="0.25">
      <c r="B187" s="58"/>
      <c r="C187" s="14"/>
      <c r="D187" s="15"/>
      <c r="E187" s="15"/>
      <c r="F187" s="15"/>
      <c r="G187" s="422"/>
      <c r="H187" s="17" t="str">
        <f t="shared" si="24"/>
        <v/>
      </c>
      <c r="I187" s="18"/>
      <c r="J187" s="61"/>
      <c r="K187" s="399"/>
      <c r="L187" s="420" t="str">
        <f t="shared" si="23"/>
        <v/>
      </c>
      <c r="M187" s="401" t="str">
        <f t="shared" si="22"/>
        <v/>
      </c>
    </row>
    <row r="188" spans="2:13" x14ac:dyDescent="0.25">
      <c r="B188" s="58"/>
      <c r="C188" s="14"/>
      <c r="D188" s="15"/>
      <c r="E188" s="15"/>
      <c r="F188" s="15"/>
      <c r="G188" s="422"/>
      <c r="H188" s="17" t="str">
        <f t="shared" si="24"/>
        <v/>
      </c>
      <c r="I188" s="18"/>
      <c r="J188" s="61"/>
      <c r="K188" s="399"/>
      <c r="L188" s="420" t="str">
        <f t="shared" si="23"/>
        <v/>
      </c>
      <c r="M188" s="401" t="str">
        <f t="shared" si="22"/>
        <v/>
      </c>
    </row>
    <row r="189" spans="2:13" x14ac:dyDescent="0.25">
      <c r="B189" s="58"/>
      <c r="C189" s="14"/>
      <c r="D189" s="15"/>
      <c r="E189" s="15"/>
      <c r="F189" s="15"/>
      <c r="G189" s="422"/>
      <c r="H189" s="17" t="str">
        <f t="shared" si="24"/>
        <v/>
      </c>
      <c r="I189" s="18"/>
      <c r="J189" s="61"/>
      <c r="K189" s="399"/>
      <c r="L189" s="420" t="str">
        <f t="shared" si="23"/>
        <v/>
      </c>
      <c r="M189" s="401" t="str">
        <f t="shared" si="22"/>
        <v/>
      </c>
    </row>
    <row r="190" spans="2:13" x14ac:dyDescent="0.25">
      <c r="B190" s="58"/>
      <c r="C190" s="14"/>
      <c r="D190" s="15"/>
      <c r="E190" s="15"/>
      <c r="F190" s="15"/>
      <c r="G190" s="422"/>
      <c r="H190" s="17" t="str">
        <f t="shared" si="24"/>
        <v/>
      </c>
      <c r="I190" s="18"/>
      <c r="J190" s="61"/>
      <c r="K190" s="399"/>
      <c r="L190" s="420" t="str">
        <f t="shared" si="23"/>
        <v/>
      </c>
      <c r="M190" s="401" t="str">
        <f t="shared" si="22"/>
        <v/>
      </c>
    </row>
    <row r="191" spans="2:13" x14ac:dyDescent="0.25">
      <c r="B191" s="58"/>
      <c r="C191" s="14"/>
      <c r="D191" s="15"/>
      <c r="E191" s="15"/>
      <c r="F191" s="15"/>
      <c r="G191" s="422"/>
      <c r="H191" s="17" t="str">
        <f t="shared" si="24"/>
        <v/>
      </c>
      <c r="I191" s="18"/>
      <c r="J191" s="61"/>
      <c r="K191" s="399"/>
      <c r="L191" s="420" t="str">
        <f t="shared" si="23"/>
        <v/>
      </c>
      <c r="M191" s="401" t="str">
        <f t="shared" si="22"/>
        <v/>
      </c>
    </row>
    <row r="192" spans="2:13" x14ac:dyDescent="0.25">
      <c r="B192" s="58"/>
      <c r="C192" s="14"/>
      <c r="D192" s="15"/>
      <c r="E192" s="15"/>
      <c r="F192" s="15"/>
      <c r="G192" s="422"/>
      <c r="H192" s="17" t="str">
        <f t="shared" si="24"/>
        <v/>
      </c>
      <c r="I192" s="18"/>
      <c r="J192" s="61"/>
      <c r="K192" s="399"/>
      <c r="L192" s="420" t="str">
        <f t="shared" si="23"/>
        <v/>
      </c>
      <c r="M192" s="401" t="str">
        <f t="shared" si="22"/>
        <v/>
      </c>
    </row>
    <row r="193" spans="2:13" x14ac:dyDescent="0.25">
      <c r="B193" s="58"/>
      <c r="C193" s="14"/>
      <c r="D193" s="15"/>
      <c r="E193" s="15"/>
      <c r="F193" s="15"/>
      <c r="G193" s="422"/>
      <c r="H193" s="17" t="str">
        <f t="shared" si="24"/>
        <v/>
      </c>
      <c r="I193" s="18"/>
      <c r="J193" s="61"/>
      <c r="K193" s="399"/>
      <c r="L193" s="420" t="str">
        <f t="shared" si="23"/>
        <v/>
      </c>
      <c r="M193" s="401" t="str">
        <f t="shared" si="22"/>
        <v/>
      </c>
    </row>
    <row r="194" spans="2:13" x14ac:dyDescent="0.25">
      <c r="B194" s="58"/>
      <c r="C194" s="14"/>
      <c r="D194" s="15"/>
      <c r="E194" s="15"/>
      <c r="F194" s="15"/>
      <c r="G194" s="422"/>
      <c r="H194" s="17" t="str">
        <f t="shared" ref="H194:H226" si="25">IF(D194="","",F194*G194)</f>
        <v/>
      </c>
      <c r="I194" s="18"/>
      <c r="J194" s="61"/>
      <c r="K194" s="399"/>
      <c r="L194" s="420" t="str">
        <f t="shared" si="23"/>
        <v/>
      </c>
      <c r="M194" s="401" t="str">
        <f t="shared" si="22"/>
        <v/>
      </c>
    </row>
    <row r="195" spans="2:13" x14ac:dyDescent="0.25">
      <c r="B195" s="58"/>
      <c r="C195" s="14"/>
      <c r="D195" s="15"/>
      <c r="E195" s="15"/>
      <c r="F195" s="580"/>
      <c r="G195" s="422"/>
      <c r="H195" s="17" t="str">
        <f t="shared" si="25"/>
        <v/>
      </c>
      <c r="I195" s="18"/>
      <c r="J195" s="61"/>
      <c r="K195" s="402"/>
      <c r="L195" s="420" t="str">
        <f t="shared" si="23"/>
        <v/>
      </c>
      <c r="M195" s="401" t="str">
        <f t="shared" si="22"/>
        <v/>
      </c>
    </row>
    <row r="196" spans="2:13" x14ac:dyDescent="0.25">
      <c r="B196" s="58"/>
      <c r="C196" s="14"/>
      <c r="D196" s="15"/>
      <c r="E196" s="15"/>
      <c r="F196" s="15"/>
      <c r="G196" s="422"/>
      <c r="H196" s="17" t="str">
        <f t="shared" si="25"/>
        <v/>
      </c>
      <c r="I196" s="18"/>
      <c r="J196" s="61"/>
      <c r="K196" s="399"/>
      <c r="L196" s="420" t="str">
        <f t="shared" si="23"/>
        <v/>
      </c>
      <c r="M196" s="401" t="str">
        <f t="shared" si="22"/>
        <v/>
      </c>
    </row>
    <row r="197" spans="2:13" x14ac:dyDescent="0.25">
      <c r="B197" s="58"/>
      <c r="C197" s="14"/>
      <c r="D197" s="15"/>
      <c r="E197" s="15"/>
      <c r="F197" s="15"/>
      <c r="G197" s="422"/>
      <c r="H197" s="17" t="str">
        <f t="shared" si="25"/>
        <v/>
      </c>
      <c r="I197" s="18"/>
      <c r="J197" s="61"/>
      <c r="K197" s="402"/>
      <c r="L197" s="420" t="str">
        <f t="shared" si="23"/>
        <v/>
      </c>
      <c r="M197" s="401" t="str">
        <f t="shared" si="22"/>
        <v/>
      </c>
    </row>
    <row r="198" spans="2:13" x14ac:dyDescent="0.25">
      <c r="B198" s="58"/>
      <c r="C198" s="14"/>
      <c r="D198" s="15"/>
      <c r="E198" s="15"/>
      <c r="F198" s="15"/>
      <c r="G198" s="422"/>
      <c r="H198" s="17" t="str">
        <f t="shared" si="25"/>
        <v/>
      </c>
      <c r="I198" s="18"/>
      <c r="J198" s="61"/>
      <c r="K198" s="402"/>
      <c r="L198" s="420" t="str">
        <f t="shared" si="23"/>
        <v/>
      </c>
      <c r="M198" s="401" t="str">
        <f t="shared" si="22"/>
        <v/>
      </c>
    </row>
    <row r="199" spans="2:13" x14ac:dyDescent="0.25">
      <c r="B199" s="58"/>
      <c r="C199" s="14"/>
      <c r="D199" s="15"/>
      <c r="E199" s="15"/>
      <c r="F199" s="15"/>
      <c r="G199" s="422"/>
      <c r="H199" s="17" t="str">
        <f t="shared" si="25"/>
        <v/>
      </c>
      <c r="I199" s="18"/>
      <c r="J199" s="61"/>
      <c r="K199" s="399"/>
      <c r="L199" s="420" t="str">
        <f t="shared" si="23"/>
        <v/>
      </c>
      <c r="M199" s="401" t="str">
        <f t="shared" si="22"/>
        <v/>
      </c>
    </row>
    <row r="200" spans="2:13" x14ac:dyDescent="0.25">
      <c r="B200" s="58"/>
      <c r="C200" s="14"/>
      <c r="D200" s="15"/>
      <c r="E200" s="15"/>
      <c r="F200" s="15"/>
      <c r="G200" s="422"/>
      <c r="H200" s="17" t="str">
        <f t="shared" si="25"/>
        <v/>
      </c>
      <c r="I200" s="18"/>
      <c r="J200" s="61"/>
      <c r="K200" s="399"/>
      <c r="L200" s="420" t="str">
        <f t="shared" si="23"/>
        <v/>
      </c>
      <c r="M200" s="401" t="str">
        <f t="shared" si="22"/>
        <v/>
      </c>
    </row>
    <row r="201" spans="2:13" x14ac:dyDescent="0.25">
      <c r="B201" s="58"/>
      <c r="C201" s="14"/>
      <c r="D201" s="15"/>
      <c r="E201" s="15"/>
      <c r="F201" s="15"/>
      <c r="G201" s="422"/>
      <c r="H201" s="17" t="str">
        <f t="shared" si="25"/>
        <v/>
      </c>
      <c r="I201" s="18"/>
      <c r="J201" s="61"/>
      <c r="K201" s="399"/>
      <c r="L201" s="420" t="str">
        <f t="shared" si="23"/>
        <v/>
      </c>
      <c r="M201" s="401" t="str">
        <f t="shared" si="22"/>
        <v/>
      </c>
    </row>
    <row r="202" spans="2:13" x14ac:dyDescent="0.25">
      <c r="B202" s="58"/>
      <c r="C202" s="14"/>
      <c r="D202" s="15"/>
      <c r="E202" s="15"/>
      <c r="F202" s="15"/>
      <c r="G202" s="422"/>
      <c r="H202" s="17" t="str">
        <f t="shared" si="25"/>
        <v/>
      </c>
      <c r="I202" s="18"/>
      <c r="J202" s="61"/>
      <c r="K202" s="399"/>
      <c r="L202" s="420" t="str">
        <f t="shared" si="23"/>
        <v/>
      </c>
      <c r="M202" s="401" t="str">
        <f t="shared" si="22"/>
        <v/>
      </c>
    </row>
    <row r="203" spans="2:13" x14ac:dyDescent="0.25">
      <c r="B203" s="58"/>
      <c r="C203" s="14"/>
      <c r="D203" s="15"/>
      <c r="E203" s="15"/>
      <c r="F203" s="15"/>
      <c r="G203" s="422"/>
      <c r="H203" s="17" t="str">
        <f t="shared" si="25"/>
        <v/>
      </c>
      <c r="I203" s="18"/>
      <c r="J203" s="62"/>
      <c r="K203" s="62"/>
      <c r="L203" s="420" t="str">
        <f t="shared" si="23"/>
        <v/>
      </c>
      <c r="M203" s="401" t="str">
        <f t="shared" si="22"/>
        <v/>
      </c>
    </row>
    <row r="204" spans="2:13" x14ac:dyDescent="0.25">
      <c r="B204" s="58"/>
      <c r="C204" s="14"/>
      <c r="D204" s="15"/>
      <c r="E204" s="15"/>
      <c r="F204" s="15"/>
      <c r="G204" s="422"/>
      <c r="H204" s="17" t="str">
        <f t="shared" si="25"/>
        <v/>
      </c>
      <c r="I204" s="18"/>
      <c r="J204" s="61"/>
      <c r="K204" s="62"/>
      <c r="L204" s="420" t="str">
        <f t="shared" si="23"/>
        <v/>
      </c>
      <c r="M204" s="401" t="str">
        <f t="shared" si="22"/>
        <v/>
      </c>
    </row>
    <row r="205" spans="2:13" x14ac:dyDescent="0.25">
      <c r="B205" s="58"/>
      <c r="C205" s="14"/>
      <c r="D205" s="15"/>
      <c r="E205" s="15"/>
      <c r="F205" s="15"/>
      <c r="G205" s="422"/>
      <c r="H205" s="17" t="str">
        <f t="shared" si="25"/>
        <v/>
      </c>
      <c r="I205" s="18"/>
      <c r="J205" s="61"/>
      <c r="K205" s="62"/>
      <c r="L205" s="420" t="str">
        <f t="shared" si="23"/>
        <v/>
      </c>
      <c r="M205" s="401" t="str">
        <f t="shared" si="22"/>
        <v/>
      </c>
    </row>
    <row r="206" spans="2:13" x14ac:dyDescent="0.25">
      <c r="B206" s="58"/>
      <c r="C206" s="14"/>
      <c r="D206" s="15"/>
      <c r="E206" s="15"/>
      <c r="F206" s="15"/>
      <c r="G206" s="422"/>
      <c r="H206" s="17" t="str">
        <f t="shared" si="25"/>
        <v/>
      </c>
      <c r="I206" s="18"/>
      <c r="J206" s="61"/>
      <c r="K206" s="62"/>
      <c r="L206" s="420" t="str">
        <f t="shared" si="23"/>
        <v/>
      </c>
      <c r="M206" s="401" t="str">
        <f t="shared" si="22"/>
        <v/>
      </c>
    </row>
    <row r="207" spans="2:13" x14ac:dyDescent="0.25">
      <c r="B207" s="58"/>
      <c r="C207" s="14"/>
      <c r="D207" s="15"/>
      <c r="E207" s="15"/>
      <c r="F207" s="15"/>
      <c r="G207" s="422"/>
      <c r="H207" s="17" t="str">
        <f t="shared" si="25"/>
        <v/>
      </c>
      <c r="I207" s="18"/>
      <c r="J207" s="61"/>
      <c r="K207" s="62"/>
      <c r="L207" s="420" t="str">
        <f t="shared" si="23"/>
        <v/>
      </c>
      <c r="M207" s="401" t="str">
        <f t="shared" si="22"/>
        <v/>
      </c>
    </row>
    <row r="208" spans="2:13" x14ac:dyDescent="0.25">
      <c r="B208" s="58"/>
      <c r="C208" s="14"/>
      <c r="D208" s="15"/>
      <c r="E208" s="15"/>
      <c r="F208" s="15"/>
      <c r="G208" s="422"/>
      <c r="H208" s="17" t="str">
        <f t="shared" si="25"/>
        <v/>
      </c>
      <c r="I208" s="18"/>
      <c r="J208" s="62"/>
      <c r="K208" s="62"/>
      <c r="L208" s="420" t="str">
        <f t="shared" si="23"/>
        <v/>
      </c>
      <c r="M208" s="401" t="str">
        <f t="shared" si="22"/>
        <v/>
      </c>
    </row>
    <row r="209" spans="2:13" x14ac:dyDescent="0.25">
      <c r="B209" s="58"/>
      <c r="C209" s="14"/>
      <c r="D209" s="15"/>
      <c r="E209" s="15"/>
      <c r="F209" s="15"/>
      <c r="G209" s="422"/>
      <c r="H209" s="17" t="str">
        <f t="shared" si="25"/>
        <v/>
      </c>
      <c r="I209" s="18"/>
      <c r="J209" s="62"/>
      <c r="K209" s="62"/>
      <c r="L209" s="420" t="str">
        <f t="shared" si="23"/>
        <v/>
      </c>
      <c r="M209" s="401" t="str">
        <f t="shared" si="22"/>
        <v/>
      </c>
    </row>
    <row r="210" spans="2:13" x14ac:dyDescent="0.25">
      <c r="B210" s="58"/>
      <c r="C210" s="14"/>
      <c r="D210" s="15"/>
      <c r="E210" s="15"/>
      <c r="F210" s="15"/>
      <c r="G210" s="422"/>
      <c r="H210" s="17" t="str">
        <f t="shared" si="25"/>
        <v/>
      </c>
      <c r="I210" s="18"/>
      <c r="J210" s="62"/>
      <c r="K210" s="62"/>
      <c r="L210" s="420" t="str">
        <f t="shared" si="23"/>
        <v/>
      </c>
      <c r="M210" s="401" t="str">
        <f t="shared" si="22"/>
        <v/>
      </c>
    </row>
    <row r="211" spans="2:13" x14ac:dyDescent="0.25">
      <c r="B211" s="58"/>
      <c r="C211" s="14"/>
      <c r="D211" s="15"/>
      <c r="E211" s="15"/>
      <c r="F211" s="15"/>
      <c r="G211" s="422"/>
      <c r="H211" s="17" t="str">
        <f t="shared" si="25"/>
        <v/>
      </c>
      <c r="I211" s="18"/>
      <c r="J211" s="62"/>
      <c r="K211" s="62"/>
      <c r="L211" s="420" t="str">
        <f t="shared" si="23"/>
        <v/>
      </c>
      <c r="M211" s="401" t="str">
        <f t="shared" si="22"/>
        <v/>
      </c>
    </row>
    <row r="212" spans="2:13" x14ac:dyDescent="0.25">
      <c r="B212" s="58"/>
      <c r="C212" s="14"/>
      <c r="D212" s="15"/>
      <c r="E212" s="15"/>
      <c r="F212" s="15"/>
      <c r="G212" s="422"/>
      <c r="H212" s="17" t="str">
        <f t="shared" si="25"/>
        <v/>
      </c>
      <c r="I212" s="18"/>
      <c r="J212" s="62"/>
      <c r="K212" s="62"/>
      <c r="L212" s="420" t="str">
        <f t="shared" si="23"/>
        <v/>
      </c>
      <c r="M212" s="401" t="str">
        <f t="shared" si="22"/>
        <v/>
      </c>
    </row>
    <row r="213" spans="2:13" x14ac:dyDescent="0.25">
      <c r="B213" s="58"/>
      <c r="C213" s="14"/>
      <c r="D213" s="15"/>
      <c r="E213" s="15"/>
      <c r="F213" s="15"/>
      <c r="G213" s="422"/>
      <c r="H213" s="17"/>
      <c r="I213" s="18"/>
      <c r="J213" s="62"/>
      <c r="K213" s="62"/>
      <c r="L213" s="420"/>
      <c r="M213" s="401"/>
    </row>
    <row r="214" spans="2:13" x14ac:dyDescent="0.25">
      <c r="B214" s="58"/>
      <c r="C214" s="14"/>
      <c r="D214" s="15"/>
      <c r="E214" s="15"/>
      <c r="F214" s="15"/>
      <c r="G214" s="422"/>
      <c r="H214" s="17"/>
      <c r="I214" s="18"/>
      <c r="J214" s="62"/>
      <c r="K214" s="62"/>
      <c r="L214" s="420"/>
      <c r="M214" s="401"/>
    </row>
    <row r="215" spans="2:13" x14ac:dyDescent="0.25">
      <c r="B215" s="58"/>
      <c r="C215" s="14"/>
      <c r="D215" s="15"/>
      <c r="E215" s="15"/>
      <c r="F215" s="15"/>
      <c r="G215" s="422"/>
      <c r="H215" s="17"/>
      <c r="I215" s="18"/>
      <c r="J215" s="62"/>
      <c r="K215" s="62"/>
      <c r="L215" s="420"/>
      <c r="M215" s="401"/>
    </row>
    <row r="216" spans="2:13" x14ac:dyDescent="0.25">
      <c r="B216" s="58"/>
      <c r="C216" s="14"/>
      <c r="D216" s="15"/>
      <c r="E216" s="15"/>
      <c r="F216" s="15"/>
      <c r="G216" s="422"/>
      <c r="H216" s="17"/>
      <c r="I216" s="18"/>
      <c r="J216" s="62"/>
      <c r="K216" s="62"/>
      <c r="L216" s="420"/>
      <c r="M216" s="401"/>
    </row>
    <row r="217" spans="2:13" x14ac:dyDescent="0.25">
      <c r="B217" s="58"/>
      <c r="C217" s="14"/>
      <c r="D217" s="15"/>
      <c r="E217" s="15"/>
      <c r="F217" s="15"/>
      <c r="G217" s="422"/>
      <c r="H217" s="17"/>
      <c r="I217" s="18"/>
      <c r="J217" s="62"/>
      <c r="K217" s="62"/>
      <c r="L217" s="420"/>
      <c r="M217" s="401"/>
    </row>
    <row r="218" spans="2:13" x14ac:dyDescent="0.25">
      <c r="B218" s="58"/>
      <c r="C218" s="14"/>
      <c r="D218" s="15"/>
      <c r="E218" s="15"/>
      <c r="F218" s="15"/>
      <c r="G218" s="422"/>
      <c r="H218" s="17"/>
      <c r="I218" s="18"/>
      <c r="J218" s="62"/>
      <c r="K218" s="62"/>
      <c r="L218" s="420"/>
      <c r="M218" s="401"/>
    </row>
    <row r="219" spans="2:13" x14ac:dyDescent="0.25">
      <c r="B219" s="58"/>
      <c r="C219" s="14"/>
      <c r="D219" s="15"/>
      <c r="E219" s="15"/>
      <c r="F219" s="15"/>
      <c r="G219" s="422"/>
      <c r="H219" s="17"/>
      <c r="I219" s="18"/>
      <c r="J219" s="62"/>
      <c r="K219" s="62"/>
      <c r="L219" s="420"/>
      <c r="M219" s="401"/>
    </row>
    <row r="220" spans="2:13" x14ac:dyDescent="0.25">
      <c r="B220" s="58"/>
      <c r="C220" s="14"/>
      <c r="D220" s="15"/>
      <c r="E220" s="15"/>
      <c r="F220" s="15"/>
      <c r="G220" s="422"/>
      <c r="H220" s="17"/>
      <c r="I220" s="18"/>
      <c r="J220" s="62"/>
      <c r="K220" s="62"/>
      <c r="L220" s="420"/>
      <c r="M220" s="401"/>
    </row>
    <row r="221" spans="2:13" x14ac:dyDescent="0.25">
      <c r="B221" s="58"/>
      <c r="C221" s="14"/>
      <c r="D221" s="15"/>
      <c r="E221" s="15"/>
      <c r="F221" s="15"/>
      <c r="G221" s="422"/>
      <c r="H221" s="17"/>
      <c r="I221" s="18"/>
      <c r="J221" s="62"/>
      <c r="K221" s="62"/>
      <c r="L221" s="420"/>
      <c r="M221" s="401"/>
    </row>
    <row r="222" spans="2:13" x14ac:dyDescent="0.25">
      <c r="B222" s="58"/>
      <c r="C222" s="14"/>
      <c r="D222" s="15"/>
      <c r="E222" s="15"/>
      <c r="F222" s="15"/>
      <c r="G222" s="422"/>
      <c r="H222" s="17" t="str">
        <f t="shared" si="25"/>
        <v/>
      </c>
      <c r="I222" s="18"/>
      <c r="J222" s="62"/>
      <c r="K222" s="62"/>
      <c r="L222" s="420" t="str">
        <f t="shared" si="23"/>
        <v/>
      </c>
      <c r="M222" s="401" t="str">
        <f t="shared" si="22"/>
        <v/>
      </c>
    </row>
    <row r="223" spans="2:13" x14ac:dyDescent="0.25">
      <c r="B223" s="58"/>
      <c r="C223" s="14"/>
      <c r="D223" s="15"/>
      <c r="E223" s="15"/>
      <c r="F223" s="15"/>
      <c r="G223" s="422"/>
      <c r="H223" s="17" t="str">
        <f t="shared" si="25"/>
        <v/>
      </c>
      <c r="I223" s="18"/>
      <c r="J223" s="62"/>
      <c r="K223" s="62"/>
      <c r="L223" s="420" t="str">
        <f t="shared" si="23"/>
        <v/>
      </c>
      <c r="M223" s="401" t="str">
        <f t="shared" si="22"/>
        <v/>
      </c>
    </row>
    <row r="224" spans="2:13" x14ac:dyDescent="0.25">
      <c r="B224" s="58"/>
      <c r="C224" s="14"/>
      <c r="D224" s="15"/>
      <c r="E224" s="15"/>
      <c r="F224" s="15"/>
      <c r="G224" s="422"/>
      <c r="H224" s="17" t="str">
        <f t="shared" si="25"/>
        <v/>
      </c>
      <c r="I224" s="18"/>
      <c r="J224" s="62"/>
      <c r="K224" s="62"/>
      <c r="L224" s="420" t="str">
        <f t="shared" si="23"/>
        <v/>
      </c>
      <c r="M224" s="401" t="str">
        <f t="shared" si="22"/>
        <v/>
      </c>
    </row>
    <row r="225" spans="2:13" x14ac:dyDescent="0.25">
      <c r="B225" s="58"/>
      <c r="C225" s="14"/>
      <c r="D225" s="15"/>
      <c r="E225" s="15"/>
      <c r="F225" s="15"/>
      <c r="G225" s="422"/>
      <c r="H225" s="17" t="str">
        <f t="shared" si="25"/>
        <v/>
      </c>
      <c r="I225" s="18"/>
      <c r="J225" s="62"/>
      <c r="K225" s="62"/>
      <c r="L225" s="420" t="str">
        <f t="shared" si="23"/>
        <v/>
      </c>
      <c r="M225" s="401" t="str">
        <f t="shared" si="22"/>
        <v/>
      </c>
    </row>
    <row r="226" spans="2:13" x14ac:dyDescent="0.25">
      <c r="B226" s="58"/>
      <c r="C226" s="14"/>
      <c r="D226" s="15"/>
      <c r="E226" s="15"/>
      <c r="F226" s="15"/>
      <c r="G226" s="422"/>
      <c r="H226" s="17" t="str">
        <f t="shared" si="25"/>
        <v/>
      </c>
      <c r="I226" s="18"/>
      <c r="J226" s="61"/>
      <c r="K226" s="62"/>
      <c r="L226" s="420" t="str">
        <f t="shared" si="23"/>
        <v/>
      </c>
      <c r="M226" s="401" t="str">
        <f t="shared" si="22"/>
        <v/>
      </c>
    </row>
    <row r="227" spans="2:13" x14ac:dyDescent="0.25">
      <c r="B227" s="58"/>
      <c r="C227" s="14"/>
      <c r="D227" s="15"/>
      <c r="E227" s="15"/>
      <c r="F227" s="15"/>
      <c r="G227" s="422"/>
      <c r="H227" s="17"/>
      <c r="I227" s="18"/>
      <c r="J227" s="16"/>
      <c r="K227" s="16"/>
      <c r="L227" s="420" t="str">
        <f t="shared" si="23"/>
        <v/>
      </c>
      <c r="M227" s="401" t="str">
        <f t="shared" si="22"/>
        <v/>
      </c>
    </row>
    <row r="228" spans="2:13" x14ac:dyDescent="0.25">
      <c r="B228" s="58"/>
      <c r="C228" s="14"/>
      <c r="D228" s="15"/>
      <c r="E228" s="15"/>
      <c r="F228" s="15"/>
      <c r="G228" s="422"/>
      <c r="H228" s="17"/>
      <c r="I228" s="18"/>
      <c r="J228" s="61"/>
      <c r="K228" s="696"/>
      <c r="L228" s="420" t="str">
        <f>IF(J228="","",F229*K228)</f>
        <v/>
      </c>
      <c r="M228" s="401" t="str">
        <f>IF(J228="","",IF(SUM(H229)=0,"",L228/H229))</f>
        <v/>
      </c>
    </row>
    <row r="229" spans="2:13" s="28" customFormat="1" ht="19.5" customHeight="1" x14ac:dyDescent="0.25">
      <c r="B229" s="135" t="str">
        <f>$B$12</f>
        <v>C5.1</v>
      </c>
      <c r="C229" s="498" t="str">
        <f>"TOTAL CARRIED FORWARD"&amp;IF(H229=H$1," TO SUMMARY (Page C"&amp;Page_A&amp;")","")</f>
        <v>TOTAL CARRIED FORWARD TO SUMMARY (Page C48)</v>
      </c>
      <c r="D229" s="31"/>
      <c r="E229" s="31"/>
      <c r="F229" s="32"/>
      <c r="G229" s="31"/>
      <c r="H229" s="33">
        <f>SUM(H160:H228)</f>
        <v>0</v>
      </c>
      <c r="I229" s="34"/>
      <c r="J229" s="408"/>
      <c r="K229" s="406"/>
      <c r="L229" s="418">
        <f>SUM(L160:L228)</f>
        <v>0</v>
      </c>
      <c r="M229" s="407" t="str">
        <f>IF(J229="","",IF(SUM(H230)=0,"",L229/H230))</f>
        <v/>
      </c>
    </row>
    <row r="230" spans="2:13" s="1" customFormat="1" ht="13" x14ac:dyDescent="0.25">
      <c r="B230" s="1108" t="str">
        <f>Client1</f>
        <v>Province of KwaZulu-Natal</v>
      </c>
      <c r="C230" s="1108"/>
      <c r="D230" s="1108"/>
      <c r="E230" s="87"/>
      <c r="F230" s="1109" t="str">
        <f>"Contract No. "&amp;ContractNo</f>
        <v>Contract No. ZNB 00399/00000/HOD/INF/21/T</v>
      </c>
      <c r="G230" s="1109"/>
      <c r="H230" s="1109"/>
      <c r="I230" s="5"/>
    </row>
    <row r="231" spans="2:13" s="1" customFormat="1" ht="13" x14ac:dyDescent="0.25">
      <c r="B231" s="1108" t="str">
        <f>Client2</f>
        <v>Department of Transport</v>
      </c>
      <c r="C231" s="1108"/>
      <c r="D231" s="1108"/>
      <c r="E231" s="87"/>
      <c r="F231" s="1109"/>
      <c r="G231" s="1109"/>
      <c r="H231" s="1109"/>
      <c r="I231" s="5"/>
    </row>
    <row r="232" spans="2:13" s="1" customFormat="1" x14ac:dyDescent="0.25">
      <c r="B232" s="1111"/>
      <c r="C232" s="1111"/>
      <c r="D232" s="1111"/>
      <c r="E232" s="78"/>
      <c r="F232" s="1110"/>
      <c r="G232" s="1110"/>
      <c r="H232" s="1110"/>
      <c r="I232" s="5"/>
    </row>
    <row r="233" spans="2:13" s="1" customFormat="1" ht="13" x14ac:dyDescent="0.25">
      <c r="B233" s="1112" t="s">
        <v>8</v>
      </c>
      <c r="C233" s="1113"/>
      <c r="D233" s="1113"/>
      <c r="E233" s="1113"/>
      <c r="F233" s="1113"/>
      <c r="G233" s="1113"/>
      <c r="H233" s="1125" t="str">
        <f>$H$6</f>
        <v>CHAPTER C5.1</v>
      </c>
      <c r="I233" s="6"/>
    </row>
    <row r="234" spans="2:13" s="1" customFormat="1" ht="13" x14ac:dyDescent="0.25">
      <c r="B234" s="1117" t="str">
        <f>ContractDescription</f>
        <v>THE CONSTRUCTION OF EARTHWORKS, LAYERWORKS, SURFACING, CULVERTS AND CWAKA RIVER BRIDGE FROM KM 11.600 TO KM 14.000 ON MAIN ROAD P494 IN THE KING CETSHWAYO DISTRICT UNDER EMPANGENI REGION</v>
      </c>
      <c r="C234" s="1118"/>
      <c r="D234" s="1118"/>
      <c r="E234" s="1118"/>
      <c r="F234" s="1118"/>
      <c r="G234" s="1118"/>
      <c r="H234" s="1126"/>
      <c r="I234" s="8"/>
    </row>
    <row r="235" spans="2:13" s="1" customFormat="1" ht="13" x14ac:dyDescent="0.25">
      <c r="B235" s="1117"/>
      <c r="C235" s="1118"/>
      <c r="D235" s="1118"/>
      <c r="E235" s="1118"/>
      <c r="F235" s="1118"/>
      <c r="G235" s="1118"/>
      <c r="H235" s="1126"/>
      <c r="I235" s="8"/>
    </row>
    <row r="236" spans="2:13" s="1" customFormat="1" ht="13" x14ac:dyDescent="0.25">
      <c r="B236" s="1119"/>
      <c r="C236" s="1120"/>
      <c r="D236" s="1120"/>
      <c r="E236" s="1120"/>
      <c r="F236" s="1120"/>
      <c r="G236" s="1120"/>
      <c r="H236" s="1127"/>
      <c r="I236" s="8"/>
    </row>
    <row r="237" spans="2:13" s="9" customFormat="1" ht="25" customHeight="1" x14ac:dyDescent="0.25">
      <c r="B237" s="74" t="s">
        <v>0</v>
      </c>
      <c r="C237" s="11" t="s">
        <v>1</v>
      </c>
      <c r="D237" s="11" t="s">
        <v>2</v>
      </c>
      <c r="E237" s="11"/>
      <c r="F237" s="11" t="s">
        <v>3</v>
      </c>
      <c r="G237" s="11" t="s">
        <v>4</v>
      </c>
      <c r="H237" s="11" t="s">
        <v>5</v>
      </c>
      <c r="I237" s="12"/>
      <c r="J237" s="408" t="s">
        <v>996</v>
      </c>
      <c r="K237" s="253" t="s">
        <v>997</v>
      </c>
      <c r="L237" s="253" t="s">
        <v>998</v>
      </c>
      <c r="M237" s="253" t="s">
        <v>999</v>
      </c>
    </row>
    <row r="238" spans="2:13" s="28" customFormat="1" ht="19.5" customHeight="1" x14ac:dyDescent="0.25">
      <c r="B238" s="80"/>
      <c r="C238" s="30" t="s">
        <v>27</v>
      </c>
      <c r="D238" s="31"/>
      <c r="E238" s="31"/>
      <c r="F238" s="32"/>
      <c r="G238" s="31"/>
      <c r="H238" s="33">
        <f>H229</f>
        <v>0</v>
      </c>
      <c r="I238" s="34"/>
      <c r="J238" s="416"/>
      <c r="K238" s="409"/>
      <c r="L238" s="419">
        <f>L229</f>
        <v>0</v>
      </c>
      <c r="M238" s="410" t="str">
        <f t="shared" ref="M238:M288" si="26">IF(J238="","",IF(SUM(H238)=0,"",L238/H238))</f>
        <v/>
      </c>
    </row>
    <row r="239" spans="2:13" x14ac:dyDescent="0.25">
      <c r="B239" s="58"/>
      <c r="C239" s="14"/>
      <c r="D239" s="15"/>
      <c r="E239" s="15"/>
      <c r="F239" s="15"/>
      <c r="G239" s="422"/>
      <c r="H239" s="17"/>
      <c r="I239" s="18"/>
      <c r="J239" s="61"/>
      <c r="K239" s="399"/>
      <c r="L239" s="420" t="str">
        <f t="shared" ref="L239:L288" si="27">IF(J239="","",F239*K239)</f>
        <v/>
      </c>
      <c r="M239" s="401" t="str">
        <f t="shared" si="26"/>
        <v/>
      </c>
    </row>
    <row r="240" spans="2:13" x14ac:dyDescent="0.25">
      <c r="B240" s="58"/>
      <c r="C240" s="14"/>
      <c r="D240" s="15"/>
      <c r="E240" s="15"/>
      <c r="F240" s="15"/>
      <c r="G240" s="422"/>
      <c r="H240" s="17" t="str">
        <f t="shared" ref="H240:H256" si="28">IF(D240="","",F240*G240)</f>
        <v/>
      </c>
      <c r="I240" s="18"/>
      <c r="J240" s="61"/>
      <c r="K240" s="399"/>
      <c r="L240" s="420" t="str">
        <f t="shared" si="27"/>
        <v/>
      </c>
      <c r="M240" s="401" t="str">
        <f t="shared" si="26"/>
        <v/>
      </c>
    </row>
    <row r="241" spans="2:13" x14ac:dyDescent="0.25">
      <c r="B241" s="58"/>
      <c r="C241" s="14"/>
      <c r="D241" s="15"/>
      <c r="E241" s="15"/>
      <c r="F241" s="15"/>
      <c r="G241" s="422"/>
      <c r="H241" s="17" t="str">
        <f t="shared" si="28"/>
        <v/>
      </c>
      <c r="I241" s="18"/>
      <c r="J241" s="61"/>
      <c r="K241" s="399"/>
      <c r="L241" s="420" t="str">
        <f t="shared" si="27"/>
        <v/>
      </c>
      <c r="M241" s="401" t="str">
        <f t="shared" si="26"/>
        <v/>
      </c>
    </row>
    <row r="242" spans="2:13" x14ac:dyDescent="0.25">
      <c r="B242" s="58"/>
      <c r="C242" s="14"/>
      <c r="D242" s="15"/>
      <c r="E242" s="15"/>
      <c r="F242" s="15"/>
      <c r="G242" s="422"/>
      <c r="H242" s="17" t="str">
        <f t="shared" si="28"/>
        <v/>
      </c>
      <c r="I242" s="18"/>
      <c r="J242" s="61"/>
      <c r="K242" s="399"/>
      <c r="L242" s="420" t="str">
        <f t="shared" si="27"/>
        <v/>
      </c>
      <c r="M242" s="401" t="str">
        <f t="shared" si="26"/>
        <v/>
      </c>
    </row>
    <row r="243" spans="2:13" x14ac:dyDescent="0.25">
      <c r="B243" s="58"/>
      <c r="C243" s="14"/>
      <c r="D243" s="15"/>
      <c r="E243" s="15"/>
      <c r="F243" s="15"/>
      <c r="G243" s="422"/>
      <c r="H243" s="17" t="str">
        <f t="shared" si="28"/>
        <v/>
      </c>
      <c r="I243" s="18"/>
      <c r="J243" s="61"/>
      <c r="K243" s="400"/>
      <c r="L243" s="420" t="str">
        <f t="shared" si="27"/>
        <v/>
      </c>
      <c r="M243" s="401" t="str">
        <f t="shared" si="26"/>
        <v/>
      </c>
    </row>
    <row r="244" spans="2:13" x14ac:dyDescent="0.25">
      <c r="B244" s="58"/>
      <c r="C244" s="14"/>
      <c r="D244" s="15"/>
      <c r="E244" s="15"/>
      <c r="F244" s="15"/>
      <c r="G244" s="422"/>
      <c r="H244" s="17" t="str">
        <f t="shared" si="28"/>
        <v/>
      </c>
      <c r="I244" s="18"/>
      <c r="J244" s="61"/>
      <c r="K244" s="399"/>
      <c r="L244" s="420" t="str">
        <f t="shared" si="27"/>
        <v/>
      </c>
      <c r="M244" s="401" t="str">
        <f t="shared" si="26"/>
        <v/>
      </c>
    </row>
    <row r="245" spans="2:13" ht="13" x14ac:dyDescent="0.25">
      <c r="B245" s="146"/>
      <c r="C245" s="19"/>
      <c r="D245" s="15"/>
      <c r="E245" s="15"/>
      <c r="F245" s="15"/>
      <c r="G245" s="422"/>
      <c r="H245" s="17" t="str">
        <f t="shared" si="28"/>
        <v/>
      </c>
      <c r="I245" s="18"/>
      <c r="J245" s="61"/>
      <c r="K245" s="399"/>
      <c r="L245" s="420" t="str">
        <f t="shared" si="27"/>
        <v/>
      </c>
      <c r="M245" s="401" t="str">
        <f t="shared" si="26"/>
        <v/>
      </c>
    </row>
    <row r="246" spans="2:13" x14ac:dyDescent="0.25">
      <c r="B246" s="58"/>
      <c r="C246" s="14"/>
      <c r="D246" s="15"/>
      <c r="E246" s="15"/>
      <c r="F246" s="15"/>
      <c r="G246" s="422"/>
      <c r="H246" s="17" t="str">
        <f t="shared" si="28"/>
        <v/>
      </c>
      <c r="I246" s="18"/>
      <c r="J246" s="61"/>
      <c r="K246" s="399"/>
      <c r="L246" s="420" t="str">
        <f t="shared" si="27"/>
        <v/>
      </c>
      <c r="M246" s="401" t="str">
        <f t="shared" si="26"/>
        <v/>
      </c>
    </row>
    <row r="247" spans="2:13" x14ac:dyDescent="0.25">
      <c r="B247" s="58"/>
      <c r="C247" s="14"/>
      <c r="D247" s="15"/>
      <c r="E247" s="15"/>
      <c r="F247" s="15"/>
      <c r="G247" s="422"/>
      <c r="H247" s="17" t="str">
        <f t="shared" si="28"/>
        <v/>
      </c>
      <c r="I247" s="18"/>
      <c r="J247" s="61"/>
      <c r="K247" s="402"/>
      <c r="L247" s="420" t="str">
        <f t="shared" si="27"/>
        <v/>
      </c>
      <c r="M247" s="401" t="str">
        <f t="shared" si="26"/>
        <v/>
      </c>
    </row>
    <row r="248" spans="2:13" x14ac:dyDescent="0.25">
      <c r="B248" s="58"/>
      <c r="C248" s="14"/>
      <c r="D248" s="15"/>
      <c r="E248" s="15"/>
      <c r="F248" s="15"/>
      <c r="G248" s="422"/>
      <c r="H248" s="17" t="str">
        <f t="shared" si="28"/>
        <v/>
      </c>
      <c r="I248" s="18"/>
      <c r="J248" s="61"/>
      <c r="K248" s="402"/>
      <c r="L248" s="420" t="str">
        <f t="shared" si="27"/>
        <v/>
      </c>
      <c r="M248" s="401" t="str">
        <f t="shared" si="26"/>
        <v/>
      </c>
    </row>
    <row r="249" spans="2:13" x14ac:dyDescent="0.25">
      <c r="B249" s="58"/>
      <c r="C249" s="14"/>
      <c r="D249" s="15"/>
      <c r="E249" s="15"/>
      <c r="F249" s="15"/>
      <c r="G249" s="422"/>
      <c r="H249" s="17" t="str">
        <f t="shared" si="28"/>
        <v/>
      </c>
      <c r="I249" s="18"/>
      <c r="J249" s="61"/>
      <c r="K249" s="402"/>
      <c r="L249" s="420" t="str">
        <f t="shared" si="27"/>
        <v/>
      </c>
      <c r="M249" s="401" t="str">
        <f t="shared" si="26"/>
        <v/>
      </c>
    </row>
    <row r="250" spans="2:13" x14ac:dyDescent="0.25">
      <c r="B250" s="58"/>
      <c r="C250" s="14"/>
      <c r="D250" s="15"/>
      <c r="E250" s="15"/>
      <c r="F250" s="15"/>
      <c r="G250" s="422"/>
      <c r="H250" s="17" t="str">
        <f t="shared" si="28"/>
        <v/>
      </c>
      <c r="I250" s="18"/>
      <c r="J250" s="61"/>
      <c r="K250" s="402"/>
      <c r="L250" s="420" t="str">
        <f t="shared" si="27"/>
        <v/>
      </c>
      <c r="M250" s="401" t="str">
        <f t="shared" si="26"/>
        <v/>
      </c>
    </row>
    <row r="251" spans="2:13" x14ac:dyDescent="0.25">
      <c r="B251" s="58"/>
      <c r="C251" s="14"/>
      <c r="D251" s="15"/>
      <c r="E251" s="15"/>
      <c r="F251" s="15"/>
      <c r="G251" s="422"/>
      <c r="H251" s="17" t="str">
        <f t="shared" si="28"/>
        <v/>
      </c>
      <c r="I251" s="18"/>
      <c r="J251" s="61"/>
      <c r="K251" s="402"/>
      <c r="L251" s="420" t="str">
        <f t="shared" si="27"/>
        <v/>
      </c>
      <c r="M251" s="401" t="str">
        <f t="shared" si="26"/>
        <v/>
      </c>
    </row>
    <row r="252" spans="2:13" x14ac:dyDescent="0.25">
      <c r="B252" s="58"/>
      <c r="C252" s="14"/>
      <c r="D252" s="15"/>
      <c r="E252" s="15"/>
      <c r="F252" s="15"/>
      <c r="G252" s="422"/>
      <c r="H252" s="17" t="str">
        <f t="shared" si="28"/>
        <v/>
      </c>
      <c r="I252" s="18"/>
      <c r="J252" s="61"/>
      <c r="K252" s="402"/>
      <c r="L252" s="420" t="str">
        <f t="shared" si="27"/>
        <v/>
      </c>
      <c r="M252" s="401" t="str">
        <f t="shared" si="26"/>
        <v/>
      </c>
    </row>
    <row r="253" spans="2:13" x14ac:dyDescent="0.25">
      <c r="B253" s="58"/>
      <c r="C253" s="14"/>
      <c r="D253" s="15"/>
      <c r="E253" s="15"/>
      <c r="F253" s="15"/>
      <c r="G253" s="422"/>
      <c r="H253" s="17" t="str">
        <f t="shared" si="28"/>
        <v/>
      </c>
      <c r="I253" s="18"/>
      <c r="J253" s="61"/>
      <c r="K253" s="399"/>
      <c r="L253" s="420" t="str">
        <f t="shared" si="27"/>
        <v/>
      </c>
      <c r="M253" s="401" t="str">
        <f t="shared" si="26"/>
        <v/>
      </c>
    </row>
    <row r="254" spans="2:13" x14ac:dyDescent="0.25">
      <c r="B254" s="58"/>
      <c r="C254" s="14"/>
      <c r="D254" s="15"/>
      <c r="E254" s="15"/>
      <c r="F254" s="15"/>
      <c r="G254" s="422"/>
      <c r="H254" s="17" t="str">
        <f t="shared" si="28"/>
        <v/>
      </c>
      <c r="I254" s="18"/>
      <c r="J254" s="61"/>
      <c r="K254" s="399"/>
      <c r="L254" s="420" t="str">
        <f t="shared" si="27"/>
        <v/>
      </c>
      <c r="M254" s="401" t="str">
        <f t="shared" si="26"/>
        <v/>
      </c>
    </row>
    <row r="255" spans="2:13" x14ac:dyDescent="0.25">
      <c r="B255" s="58"/>
      <c r="C255" s="14"/>
      <c r="D255" s="15"/>
      <c r="E255" s="15"/>
      <c r="F255" s="15"/>
      <c r="G255" s="422"/>
      <c r="H255" s="17" t="str">
        <f t="shared" si="28"/>
        <v/>
      </c>
      <c r="I255" s="18"/>
      <c r="J255" s="61"/>
      <c r="K255" s="400"/>
      <c r="L255" s="420" t="str">
        <f t="shared" si="27"/>
        <v/>
      </c>
      <c r="M255" s="401" t="str">
        <f t="shared" si="26"/>
        <v/>
      </c>
    </row>
    <row r="256" spans="2:13" x14ac:dyDescent="0.25">
      <c r="B256" s="58"/>
      <c r="C256" s="14"/>
      <c r="D256" s="15"/>
      <c r="E256" s="15"/>
      <c r="F256" s="15"/>
      <c r="G256" s="422"/>
      <c r="H256" s="17" t="str">
        <f t="shared" si="28"/>
        <v/>
      </c>
      <c r="I256" s="18"/>
      <c r="J256" s="61"/>
      <c r="K256" s="399"/>
      <c r="L256" s="420" t="str">
        <f t="shared" si="27"/>
        <v/>
      </c>
      <c r="M256" s="401" t="str">
        <f t="shared" si="26"/>
        <v/>
      </c>
    </row>
    <row r="257" spans="2:13" x14ac:dyDescent="0.25">
      <c r="B257" s="58"/>
      <c r="C257" s="14"/>
      <c r="D257" s="15"/>
      <c r="E257" s="15"/>
      <c r="F257" s="15"/>
      <c r="G257" s="422"/>
      <c r="H257" s="17"/>
      <c r="I257" s="18"/>
      <c r="J257" s="61"/>
      <c r="K257" s="399"/>
      <c r="L257" s="420" t="str">
        <f t="shared" si="27"/>
        <v/>
      </c>
      <c r="M257" s="401" t="str">
        <f t="shared" si="26"/>
        <v/>
      </c>
    </row>
    <row r="258" spans="2:13" x14ac:dyDescent="0.25">
      <c r="B258" s="58"/>
      <c r="C258" s="14"/>
      <c r="D258" s="15"/>
      <c r="E258" s="15"/>
      <c r="F258" s="15"/>
      <c r="G258" s="422"/>
      <c r="H258" s="17"/>
      <c r="I258" s="18"/>
      <c r="J258" s="61"/>
      <c r="K258" s="399"/>
      <c r="L258" s="420" t="str">
        <f t="shared" si="27"/>
        <v/>
      </c>
      <c r="M258" s="401" t="str">
        <f t="shared" si="26"/>
        <v/>
      </c>
    </row>
    <row r="259" spans="2:13" x14ac:dyDescent="0.25">
      <c r="B259" s="58"/>
      <c r="C259" s="14"/>
      <c r="D259" s="15"/>
      <c r="E259" s="15"/>
      <c r="F259" s="15"/>
      <c r="G259" s="422"/>
      <c r="H259" s="17"/>
      <c r="I259" s="18"/>
      <c r="J259" s="61"/>
      <c r="K259" s="399"/>
      <c r="L259" s="420" t="str">
        <f t="shared" si="27"/>
        <v/>
      </c>
      <c r="M259" s="401" t="str">
        <f t="shared" si="26"/>
        <v/>
      </c>
    </row>
    <row r="260" spans="2:13" x14ac:dyDescent="0.25">
      <c r="B260" s="58"/>
      <c r="C260" s="14"/>
      <c r="D260" s="15"/>
      <c r="E260" s="15"/>
      <c r="F260" s="15"/>
      <c r="G260" s="422"/>
      <c r="H260" s="17"/>
      <c r="I260" s="18"/>
      <c r="J260" s="61"/>
      <c r="K260" s="399"/>
      <c r="L260" s="420" t="str">
        <f t="shared" si="27"/>
        <v/>
      </c>
      <c r="M260" s="401" t="str">
        <f t="shared" si="26"/>
        <v/>
      </c>
    </row>
    <row r="261" spans="2:13" x14ac:dyDescent="0.25">
      <c r="B261" s="58"/>
      <c r="C261" s="14"/>
      <c r="D261" s="15"/>
      <c r="E261" s="15"/>
      <c r="F261" s="15"/>
      <c r="G261" s="422"/>
      <c r="H261" s="17"/>
      <c r="I261" s="18"/>
      <c r="J261" s="61"/>
      <c r="K261" s="400"/>
      <c r="L261" s="420" t="str">
        <f t="shared" si="27"/>
        <v/>
      </c>
      <c r="M261" s="401" t="str">
        <f t="shared" si="26"/>
        <v/>
      </c>
    </row>
    <row r="262" spans="2:13" x14ac:dyDescent="0.25">
      <c r="B262" s="58"/>
      <c r="C262" s="14"/>
      <c r="D262" s="15"/>
      <c r="E262" s="15"/>
      <c r="F262" s="15"/>
      <c r="G262" s="422"/>
      <c r="H262" s="17"/>
      <c r="I262" s="18"/>
      <c r="J262" s="61"/>
      <c r="K262" s="399"/>
      <c r="L262" s="420" t="str">
        <f t="shared" si="27"/>
        <v/>
      </c>
      <c r="M262" s="401" t="str">
        <f t="shared" si="26"/>
        <v/>
      </c>
    </row>
    <row r="263" spans="2:13" x14ac:dyDescent="0.25">
      <c r="B263" s="58"/>
      <c r="C263" s="14"/>
      <c r="D263" s="15"/>
      <c r="E263" s="15"/>
      <c r="F263" s="15"/>
      <c r="G263" s="422"/>
      <c r="H263" s="17"/>
      <c r="I263" s="18"/>
      <c r="J263" s="61"/>
      <c r="K263" s="399"/>
      <c r="L263" s="420" t="str">
        <f t="shared" si="27"/>
        <v/>
      </c>
      <c r="M263" s="401" t="str">
        <f t="shared" si="26"/>
        <v/>
      </c>
    </row>
    <row r="264" spans="2:13" x14ac:dyDescent="0.25">
      <c r="B264" s="58"/>
      <c r="C264" s="14"/>
      <c r="D264" s="15"/>
      <c r="E264" s="15"/>
      <c r="F264" s="15"/>
      <c r="G264" s="422"/>
      <c r="H264" s="17"/>
      <c r="I264" s="18"/>
      <c r="J264" s="61"/>
      <c r="K264" s="399"/>
      <c r="L264" s="420" t="str">
        <f t="shared" si="27"/>
        <v/>
      </c>
      <c r="M264" s="401" t="str">
        <f t="shared" si="26"/>
        <v/>
      </c>
    </row>
    <row r="265" spans="2:13" x14ac:dyDescent="0.25">
      <c r="B265" s="58"/>
      <c r="C265" s="14"/>
      <c r="D265" s="15"/>
      <c r="E265" s="15"/>
      <c r="F265" s="15"/>
      <c r="G265" s="422"/>
      <c r="H265" s="17"/>
      <c r="I265" s="18"/>
      <c r="J265" s="61"/>
      <c r="K265" s="399"/>
      <c r="L265" s="420" t="str">
        <f t="shared" si="27"/>
        <v/>
      </c>
      <c r="M265" s="401" t="str">
        <f t="shared" si="26"/>
        <v/>
      </c>
    </row>
    <row r="266" spans="2:13" x14ac:dyDescent="0.25">
      <c r="B266" s="58"/>
      <c r="C266" s="14"/>
      <c r="D266" s="15"/>
      <c r="E266" s="15"/>
      <c r="F266" s="15"/>
      <c r="G266" s="422"/>
      <c r="H266" s="17"/>
      <c r="I266" s="18"/>
      <c r="J266" s="61"/>
      <c r="K266" s="399"/>
      <c r="L266" s="420" t="str">
        <f t="shared" si="27"/>
        <v/>
      </c>
      <c r="M266" s="401" t="str">
        <f t="shared" si="26"/>
        <v/>
      </c>
    </row>
    <row r="267" spans="2:13" x14ac:dyDescent="0.25">
      <c r="B267" s="58"/>
      <c r="C267" s="14"/>
      <c r="D267" s="15"/>
      <c r="E267" s="15"/>
      <c r="F267" s="15"/>
      <c r="G267" s="422"/>
      <c r="H267" s="17"/>
      <c r="I267" s="18"/>
      <c r="J267" s="61"/>
      <c r="K267" s="399"/>
      <c r="L267" s="420" t="str">
        <f t="shared" si="27"/>
        <v/>
      </c>
      <c r="M267" s="401" t="str">
        <f t="shared" si="26"/>
        <v/>
      </c>
    </row>
    <row r="268" spans="2:13" x14ac:dyDescent="0.25">
      <c r="B268" s="58"/>
      <c r="C268" s="14"/>
      <c r="D268" s="15"/>
      <c r="E268" s="15"/>
      <c r="F268" s="15"/>
      <c r="G268" s="422"/>
      <c r="H268" s="17"/>
      <c r="I268" s="18"/>
      <c r="J268" s="61"/>
      <c r="K268" s="399"/>
      <c r="L268" s="420" t="str">
        <f t="shared" si="27"/>
        <v/>
      </c>
      <c r="M268" s="401" t="str">
        <f t="shared" si="26"/>
        <v/>
      </c>
    </row>
    <row r="269" spans="2:13" x14ac:dyDescent="0.25">
      <c r="B269" s="58"/>
      <c r="C269" s="14"/>
      <c r="D269" s="15"/>
      <c r="E269" s="15"/>
      <c r="F269" s="15"/>
      <c r="G269" s="422"/>
      <c r="H269" s="17"/>
      <c r="I269" s="18"/>
      <c r="J269" s="61"/>
      <c r="K269" s="399"/>
      <c r="L269" s="420" t="str">
        <f t="shared" si="27"/>
        <v/>
      </c>
      <c r="M269" s="401" t="str">
        <f t="shared" si="26"/>
        <v/>
      </c>
    </row>
    <row r="270" spans="2:13" x14ac:dyDescent="0.25">
      <c r="B270" s="58"/>
      <c r="C270" s="14"/>
      <c r="D270" s="15"/>
      <c r="E270" s="15"/>
      <c r="F270" s="15"/>
      <c r="G270" s="422"/>
      <c r="H270" s="17"/>
      <c r="I270" s="18"/>
      <c r="J270" s="61"/>
      <c r="K270" s="399"/>
      <c r="L270" s="420" t="str">
        <f t="shared" si="27"/>
        <v/>
      </c>
      <c r="M270" s="401" t="str">
        <f t="shared" si="26"/>
        <v/>
      </c>
    </row>
    <row r="271" spans="2:13" x14ac:dyDescent="0.25">
      <c r="B271" s="58"/>
      <c r="C271" s="14"/>
      <c r="D271" s="15"/>
      <c r="E271" s="15"/>
      <c r="F271" s="15"/>
      <c r="G271" s="422"/>
      <c r="H271" s="17"/>
      <c r="I271" s="18"/>
      <c r="J271" s="61"/>
      <c r="K271" s="399"/>
      <c r="L271" s="420" t="str">
        <f t="shared" si="27"/>
        <v/>
      </c>
      <c r="M271" s="401" t="str">
        <f t="shared" si="26"/>
        <v/>
      </c>
    </row>
    <row r="272" spans="2:13" x14ac:dyDescent="0.25">
      <c r="B272" s="58"/>
      <c r="C272" s="14"/>
      <c r="D272" s="15"/>
      <c r="E272" s="15"/>
      <c r="F272" s="15"/>
      <c r="G272" s="422"/>
      <c r="H272" s="17"/>
      <c r="I272" s="18"/>
      <c r="J272" s="61"/>
      <c r="K272" s="399"/>
      <c r="L272" s="420" t="str">
        <f t="shared" si="27"/>
        <v/>
      </c>
      <c r="M272" s="401" t="str">
        <f t="shared" si="26"/>
        <v/>
      </c>
    </row>
    <row r="273" spans="2:13" x14ac:dyDescent="0.25">
      <c r="B273" s="58"/>
      <c r="C273" s="14"/>
      <c r="D273" s="15"/>
      <c r="E273" s="15"/>
      <c r="F273" s="15"/>
      <c r="G273" s="422"/>
      <c r="H273" s="17"/>
      <c r="I273" s="18"/>
      <c r="J273" s="61"/>
      <c r="K273" s="402"/>
      <c r="L273" s="420" t="str">
        <f t="shared" si="27"/>
        <v/>
      </c>
      <c r="M273" s="401" t="str">
        <f t="shared" si="26"/>
        <v/>
      </c>
    </row>
    <row r="274" spans="2:13" x14ac:dyDescent="0.25">
      <c r="B274" s="58"/>
      <c r="C274" s="14"/>
      <c r="D274" s="15"/>
      <c r="E274" s="15"/>
      <c r="F274" s="15"/>
      <c r="G274" s="422"/>
      <c r="H274" s="17"/>
      <c r="I274" s="18"/>
      <c r="J274" s="61"/>
      <c r="K274" s="399"/>
      <c r="L274" s="420" t="str">
        <f t="shared" si="27"/>
        <v/>
      </c>
      <c r="M274" s="401" t="str">
        <f t="shared" si="26"/>
        <v/>
      </c>
    </row>
    <row r="275" spans="2:13" x14ac:dyDescent="0.25">
      <c r="B275" s="58"/>
      <c r="C275" s="14"/>
      <c r="D275" s="15"/>
      <c r="E275" s="15"/>
      <c r="F275" s="15"/>
      <c r="G275" s="422"/>
      <c r="H275" s="17"/>
      <c r="I275" s="18"/>
      <c r="J275" s="61"/>
      <c r="K275" s="402"/>
      <c r="L275" s="420" t="str">
        <f t="shared" si="27"/>
        <v/>
      </c>
      <c r="M275" s="401" t="str">
        <f t="shared" si="26"/>
        <v/>
      </c>
    </row>
    <row r="276" spans="2:13" x14ac:dyDescent="0.25">
      <c r="B276" s="58"/>
      <c r="C276" s="14"/>
      <c r="D276" s="15"/>
      <c r="E276" s="15"/>
      <c r="F276" s="15"/>
      <c r="G276" s="422"/>
      <c r="H276" s="17"/>
      <c r="I276" s="18"/>
      <c r="J276" s="61"/>
      <c r="K276" s="402"/>
      <c r="L276" s="420" t="str">
        <f t="shared" si="27"/>
        <v/>
      </c>
      <c r="M276" s="401" t="str">
        <f t="shared" si="26"/>
        <v/>
      </c>
    </row>
    <row r="277" spans="2:13" x14ac:dyDescent="0.25">
      <c r="B277" s="58"/>
      <c r="C277" s="14"/>
      <c r="D277" s="15"/>
      <c r="E277" s="15"/>
      <c r="F277" s="15"/>
      <c r="G277" s="422"/>
      <c r="H277" s="17"/>
      <c r="I277" s="18"/>
      <c r="J277" s="61"/>
      <c r="K277" s="399"/>
      <c r="L277" s="420" t="str">
        <f t="shared" si="27"/>
        <v/>
      </c>
      <c r="M277" s="401" t="str">
        <f t="shared" si="26"/>
        <v/>
      </c>
    </row>
    <row r="278" spans="2:13" x14ac:dyDescent="0.25">
      <c r="B278" s="58"/>
      <c r="C278" s="14"/>
      <c r="D278" s="15"/>
      <c r="E278" s="15"/>
      <c r="F278" s="15"/>
      <c r="G278" s="422"/>
      <c r="H278" s="17"/>
      <c r="I278" s="18"/>
      <c r="J278" s="61"/>
      <c r="K278" s="399"/>
      <c r="L278" s="420" t="str">
        <f t="shared" si="27"/>
        <v/>
      </c>
      <c r="M278" s="401" t="str">
        <f t="shared" si="26"/>
        <v/>
      </c>
    </row>
    <row r="279" spans="2:13" x14ac:dyDescent="0.25">
      <c r="B279" s="58"/>
      <c r="C279" s="14"/>
      <c r="D279" s="15"/>
      <c r="E279" s="15"/>
      <c r="F279" s="15"/>
      <c r="G279" s="422"/>
      <c r="H279" s="17"/>
      <c r="I279" s="18"/>
      <c r="J279" s="61"/>
      <c r="K279" s="399"/>
      <c r="L279" s="420" t="str">
        <f t="shared" si="27"/>
        <v/>
      </c>
      <c r="M279" s="401" t="str">
        <f t="shared" si="26"/>
        <v/>
      </c>
    </row>
    <row r="280" spans="2:13" x14ac:dyDescent="0.25">
      <c r="B280" s="58"/>
      <c r="C280" s="14"/>
      <c r="D280" s="15"/>
      <c r="E280" s="15"/>
      <c r="F280" s="15"/>
      <c r="G280" s="422"/>
      <c r="H280" s="17"/>
      <c r="I280" s="18"/>
      <c r="J280" s="61"/>
      <c r="K280" s="399"/>
      <c r="L280" s="420" t="str">
        <f t="shared" si="27"/>
        <v/>
      </c>
      <c r="M280" s="401" t="str">
        <f t="shared" si="26"/>
        <v/>
      </c>
    </row>
    <row r="281" spans="2:13" x14ac:dyDescent="0.25">
      <c r="B281" s="58"/>
      <c r="C281" s="14"/>
      <c r="D281" s="15"/>
      <c r="E281" s="15"/>
      <c r="F281" s="15"/>
      <c r="G281" s="422"/>
      <c r="H281" s="17"/>
      <c r="I281" s="18"/>
      <c r="J281" s="62"/>
      <c r="K281" s="62"/>
      <c r="L281" s="420" t="str">
        <f t="shared" si="27"/>
        <v/>
      </c>
      <c r="M281" s="401" t="str">
        <f t="shared" si="26"/>
        <v/>
      </c>
    </row>
    <row r="282" spans="2:13" x14ac:dyDescent="0.25">
      <c r="B282" s="58"/>
      <c r="C282" s="14"/>
      <c r="D282" s="15"/>
      <c r="E282" s="15"/>
      <c r="F282" s="15"/>
      <c r="G282" s="422"/>
      <c r="H282" s="17"/>
      <c r="I282" s="18"/>
      <c r="J282" s="61"/>
      <c r="K282" s="62"/>
      <c r="L282" s="420" t="str">
        <f t="shared" si="27"/>
        <v/>
      </c>
      <c r="M282" s="401" t="str">
        <f t="shared" si="26"/>
        <v/>
      </c>
    </row>
    <row r="283" spans="2:13" x14ac:dyDescent="0.25">
      <c r="B283" s="58"/>
      <c r="C283" s="14"/>
      <c r="D283" s="15"/>
      <c r="E283" s="15"/>
      <c r="F283" s="15"/>
      <c r="G283" s="422"/>
      <c r="H283" s="17"/>
      <c r="I283" s="18"/>
      <c r="J283" s="61"/>
      <c r="K283" s="62"/>
      <c r="L283" s="420" t="str">
        <f t="shared" si="27"/>
        <v/>
      </c>
      <c r="M283" s="401" t="str">
        <f t="shared" si="26"/>
        <v/>
      </c>
    </row>
    <row r="284" spans="2:13" x14ac:dyDescent="0.25">
      <c r="B284" s="58"/>
      <c r="C284" s="14"/>
      <c r="D284" s="15"/>
      <c r="E284" s="15"/>
      <c r="F284" s="15"/>
      <c r="G284" s="422"/>
      <c r="H284" s="17"/>
      <c r="I284" s="18"/>
      <c r="J284" s="61"/>
      <c r="K284" s="62"/>
      <c r="L284" s="420" t="str">
        <f t="shared" si="27"/>
        <v/>
      </c>
      <c r="M284" s="401" t="str">
        <f t="shared" si="26"/>
        <v/>
      </c>
    </row>
    <row r="285" spans="2:13" x14ac:dyDescent="0.25">
      <c r="B285" s="58"/>
      <c r="C285" s="14"/>
      <c r="D285" s="15"/>
      <c r="E285" s="15"/>
      <c r="F285" s="15"/>
      <c r="G285" s="422"/>
      <c r="H285" s="17"/>
      <c r="I285" s="18"/>
      <c r="J285" s="61"/>
      <c r="K285" s="62"/>
      <c r="L285" s="420" t="str">
        <f t="shared" si="27"/>
        <v/>
      </c>
      <c r="M285" s="401" t="str">
        <f t="shared" si="26"/>
        <v/>
      </c>
    </row>
    <row r="286" spans="2:13" x14ac:dyDescent="0.25">
      <c r="B286" s="58"/>
      <c r="C286" s="14"/>
      <c r="D286" s="15"/>
      <c r="E286" s="15"/>
      <c r="F286" s="15"/>
      <c r="G286" s="422"/>
      <c r="H286" s="17"/>
      <c r="I286" s="18"/>
      <c r="J286" s="62"/>
      <c r="K286" s="62"/>
      <c r="L286" s="420" t="str">
        <f t="shared" si="27"/>
        <v/>
      </c>
      <c r="M286" s="401" t="str">
        <f t="shared" si="26"/>
        <v/>
      </c>
    </row>
    <row r="287" spans="2:13" x14ac:dyDescent="0.25">
      <c r="B287" s="58"/>
      <c r="C287" s="14"/>
      <c r="D287" s="15"/>
      <c r="E287" s="15"/>
      <c r="F287" s="15"/>
      <c r="G287" s="422"/>
      <c r="H287" s="17"/>
      <c r="I287" s="18"/>
      <c r="J287" s="62"/>
      <c r="K287" s="62"/>
      <c r="L287" s="420" t="str">
        <f t="shared" si="27"/>
        <v/>
      </c>
      <c r="M287" s="401" t="str">
        <f t="shared" si="26"/>
        <v/>
      </c>
    </row>
    <row r="288" spans="2:13" x14ac:dyDescent="0.25">
      <c r="B288" s="58"/>
      <c r="C288" s="14"/>
      <c r="D288" s="15"/>
      <c r="E288" s="15"/>
      <c r="F288" s="15"/>
      <c r="G288" s="422"/>
      <c r="H288" s="17"/>
      <c r="I288" s="18"/>
      <c r="J288" s="62"/>
      <c r="K288" s="62"/>
      <c r="L288" s="420" t="str">
        <f t="shared" si="27"/>
        <v/>
      </c>
      <c r="M288" s="401" t="str">
        <f t="shared" si="26"/>
        <v/>
      </c>
    </row>
    <row r="289" spans="2:13" x14ac:dyDescent="0.25">
      <c r="B289" s="58"/>
      <c r="C289" s="14"/>
      <c r="D289" s="15"/>
      <c r="E289" s="15"/>
      <c r="F289" s="15"/>
      <c r="G289" s="422"/>
      <c r="H289" s="17"/>
      <c r="I289" s="18"/>
      <c r="J289" s="62"/>
      <c r="K289" s="62"/>
      <c r="L289" s="420" t="str">
        <f t="shared" ref="L289:L304" si="29">IF(J289="","",F289*K289)</f>
        <v/>
      </c>
      <c r="M289" s="401" t="str">
        <f t="shared" ref="M289:M305" si="30">IF(J289="","",IF(SUM(H289)=0,"",L289/H289))</f>
        <v/>
      </c>
    </row>
    <row r="290" spans="2:13" x14ac:dyDescent="0.25">
      <c r="B290" s="58"/>
      <c r="C290" s="14"/>
      <c r="D290" s="15"/>
      <c r="E290" s="15"/>
      <c r="F290" s="15"/>
      <c r="G290" s="422"/>
      <c r="H290" s="17"/>
      <c r="I290" s="18"/>
      <c r="J290" s="62"/>
      <c r="K290" s="62"/>
      <c r="L290" s="420" t="str">
        <f t="shared" si="29"/>
        <v/>
      </c>
      <c r="M290" s="401" t="str">
        <f t="shared" si="30"/>
        <v/>
      </c>
    </row>
    <row r="291" spans="2:13" x14ac:dyDescent="0.25">
      <c r="B291" s="58"/>
      <c r="C291" s="14"/>
      <c r="D291" s="15"/>
      <c r="E291" s="15"/>
      <c r="F291" s="15"/>
      <c r="G291" s="422"/>
      <c r="H291" s="17"/>
      <c r="I291" s="18"/>
      <c r="J291" s="62"/>
      <c r="K291" s="62"/>
      <c r="L291" s="420" t="str">
        <f t="shared" si="29"/>
        <v/>
      </c>
      <c r="M291" s="401" t="str">
        <f t="shared" si="30"/>
        <v/>
      </c>
    </row>
    <row r="292" spans="2:13" x14ac:dyDescent="0.25">
      <c r="B292" s="58"/>
      <c r="C292" s="14"/>
      <c r="D292" s="15"/>
      <c r="E292" s="15"/>
      <c r="F292" s="15"/>
      <c r="G292" s="422"/>
      <c r="H292" s="17"/>
      <c r="I292" s="18"/>
      <c r="J292" s="62"/>
      <c r="K292" s="62"/>
      <c r="L292" s="420" t="str">
        <f t="shared" si="29"/>
        <v/>
      </c>
      <c r="M292" s="401" t="str">
        <f t="shared" si="30"/>
        <v/>
      </c>
    </row>
    <row r="293" spans="2:13" x14ac:dyDescent="0.25">
      <c r="B293" s="58"/>
      <c r="C293" s="14"/>
      <c r="D293" s="15"/>
      <c r="E293" s="15"/>
      <c r="F293" s="15"/>
      <c r="G293" s="422"/>
      <c r="H293" s="17" t="str">
        <f>IF(D293="","",F293*G293)</f>
        <v/>
      </c>
      <c r="I293" s="18"/>
      <c r="J293" s="62"/>
      <c r="K293" s="62"/>
      <c r="L293" s="420" t="str">
        <f t="shared" si="29"/>
        <v/>
      </c>
      <c r="M293" s="401" t="str">
        <f t="shared" si="30"/>
        <v/>
      </c>
    </row>
    <row r="294" spans="2:13" x14ac:dyDescent="0.25">
      <c r="B294" s="58"/>
      <c r="C294" s="14"/>
      <c r="D294" s="15"/>
      <c r="E294" s="15"/>
      <c r="F294" s="15"/>
      <c r="G294" s="422"/>
      <c r="H294" s="17" t="str">
        <f>IF(D294="","",F294*G294)</f>
        <v/>
      </c>
      <c r="I294" s="18"/>
      <c r="J294" s="62"/>
      <c r="K294" s="62"/>
      <c r="L294" s="420" t="str">
        <f t="shared" si="29"/>
        <v/>
      </c>
      <c r="M294" s="401" t="str">
        <f t="shared" si="30"/>
        <v/>
      </c>
    </row>
    <row r="295" spans="2:13" x14ac:dyDescent="0.25">
      <c r="B295" s="58"/>
      <c r="C295" s="14"/>
      <c r="D295" s="15"/>
      <c r="E295" s="15"/>
      <c r="F295" s="15"/>
      <c r="G295" s="422"/>
      <c r="H295" s="17" t="str">
        <f>IF(D295="","",F295*G295)</f>
        <v/>
      </c>
      <c r="I295" s="18"/>
      <c r="J295" s="61"/>
      <c r="K295" s="62"/>
      <c r="L295" s="420" t="str">
        <f t="shared" si="29"/>
        <v/>
      </c>
      <c r="M295" s="401" t="str">
        <f t="shared" si="30"/>
        <v/>
      </c>
    </row>
    <row r="296" spans="2:13" x14ac:dyDescent="0.25">
      <c r="B296" s="58"/>
      <c r="C296" s="14"/>
      <c r="D296" s="15"/>
      <c r="E296" s="15"/>
      <c r="F296" s="15"/>
      <c r="G296" s="422"/>
      <c r="H296" s="17" t="str">
        <f>IF(D296="","",F296*G296)</f>
        <v/>
      </c>
      <c r="I296" s="18"/>
      <c r="J296" s="16"/>
      <c r="K296" s="16"/>
      <c r="L296" s="420" t="str">
        <f t="shared" si="29"/>
        <v/>
      </c>
      <c r="M296" s="401" t="str">
        <f t="shared" si="30"/>
        <v/>
      </c>
    </row>
    <row r="297" spans="2:13" x14ac:dyDescent="0.25">
      <c r="B297" s="58"/>
      <c r="C297" s="14"/>
      <c r="D297" s="15"/>
      <c r="E297" s="15"/>
      <c r="F297" s="15"/>
      <c r="G297" s="422"/>
      <c r="H297" s="17" t="str">
        <f>IF(D297="","",F297*G297)</f>
        <v/>
      </c>
      <c r="I297" s="18"/>
      <c r="J297" s="16"/>
      <c r="K297" s="16"/>
      <c r="L297" s="420" t="str">
        <f t="shared" si="29"/>
        <v/>
      </c>
      <c r="M297" s="401" t="str">
        <f t="shared" si="30"/>
        <v/>
      </c>
    </row>
    <row r="298" spans="2:13" x14ac:dyDescent="0.25">
      <c r="B298" s="58"/>
      <c r="C298" s="14"/>
      <c r="D298" s="15"/>
      <c r="E298" s="15"/>
      <c r="F298" s="15"/>
      <c r="G298" s="422"/>
      <c r="H298" s="17"/>
      <c r="I298" s="18"/>
      <c r="J298" s="16"/>
      <c r="K298" s="16"/>
      <c r="L298" s="420" t="str">
        <f t="shared" si="29"/>
        <v/>
      </c>
      <c r="M298" s="401" t="str">
        <f t="shared" si="30"/>
        <v/>
      </c>
    </row>
    <row r="299" spans="2:13" x14ac:dyDescent="0.25">
      <c r="B299" s="58"/>
      <c r="C299" s="14"/>
      <c r="D299" s="15"/>
      <c r="E299" s="15"/>
      <c r="F299" s="15"/>
      <c r="G299" s="422"/>
      <c r="H299" s="17" t="str">
        <f t="shared" ref="H299:H304" si="31">IF(D299="","",F299*G299)</f>
        <v/>
      </c>
      <c r="I299" s="18"/>
      <c r="J299" s="16"/>
      <c r="K299" s="16"/>
      <c r="L299" s="420" t="str">
        <f t="shared" si="29"/>
        <v/>
      </c>
      <c r="M299" s="401" t="str">
        <f t="shared" si="30"/>
        <v/>
      </c>
    </row>
    <row r="300" spans="2:13" x14ac:dyDescent="0.25">
      <c r="B300" s="58"/>
      <c r="C300" s="14"/>
      <c r="D300" s="15"/>
      <c r="E300" s="15"/>
      <c r="F300" s="15"/>
      <c r="G300" s="422"/>
      <c r="H300" s="17" t="str">
        <f t="shared" si="31"/>
        <v/>
      </c>
      <c r="I300" s="18"/>
      <c r="J300" s="16"/>
      <c r="K300" s="16"/>
      <c r="L300" s="420" t="str">
        <f t="shared" si="29"/>
        <v/>
      </c>
      <c r="M300" s="401" t="str">
        <f t="shared" si="30"/>
        <v/>
      </c>
    </row>
    <row r="301" spans="2:13" x14ac:dyDescent="0.25">
      <c r="B301" s="58"/>
      <c r="C301" s="14"/>
      <c r="D301" s="15"/>
      <c r="E301" s="15"/>
      <c r="F301" s="15"/>
      <c r="G301" s="422"/>
      <c r="H301" s="17" t="str">
        <f t="shared" si="31"/>
        <v/>
      </c>
      <c r="I301" s="18"/>
      <c r="J301" s="16"/>
      <c r="K301" s="16"/>
      <c r="L301" s="420" t="str">
        <f t="shared" si="29"/>
        <v/>
      </c>
      <c r="M301" s="401" t="str">
        <f t="shared" si="30"/>
        <v/>
      </c>
    </row>
    <row r="302" spans="2:13" x14ac:dyDescent="0.25">
      <c r="B302" s="58"/>
      <c r="C302" s="14"/>
      <c r="D302" s="15"/>
      <c r="E302" s="15"/>
      <c r="F302" s="15"/>
      <c r="G302" s="422"/>
      <c r="H302" s="17" t="str">
        <f t="shared" si="31"/>
        <v/>
      </c>
      <c r="I302" s="18"/>
      <c r="J302" s="16"/>
      <c r="K302" s="16"/>
      <c r="L302" s="420" t="str">
        <f t="shared" si="29"/>
        <v/>
      </c>
      <c r="M302" s="401" t="str">
        <f t="shared" si="30"/>
        <v/>
      </c>
    </row>
    <row r="303" spans="2:13" x14ac:dyDescent="0.25">
      <c r="B303" s="58"/>
      <c r="C303" s="14"/>
      <c r="D303" s="15"/>
      <c r="E303" s="15"/>
      <c r="F303" s="15"/>
      <c r="G303" s="422"/>
      <c r="H303" s="17" t="str">
        <f t="shared" si="31"/>
        <v/>
      </c>
      <c r="I303" s="18"/>
      <c r="J303" s="61"/>
      <c r="K303" s="62"/>
      <c r="L303" s="420" t="str">
        <f t="shared" si="29"/>
        <v/>
      </c>
      <c r="M303" s="401" t="str">
        <f t="shared" si="30"/>
        <v/>
      </c>
    </row>
    <row r="304" spans="2:13" x14ac:dyDescent="0.25">
      <c r="B304" s="58"/>
      <c r="C304" s="14"/>
      <c r="D304" s="15"/>
      <c r="E304" s="15"/>
      <c r="F304" s="15"/>
      <c r="G304" s="422"/>
      <c r="H304" s="17" t="str">
        <f t="shared" si="31"/>
        <v/>
      </c>
      <c r="I304" s="18"/>
      <c r="J304" s="61"/>
      <c r="K304" s="696"/>
      <c r="L304" s="420" t="str">
        <f t="shared" si="29"/>
        <v/>
      </c>
      <c r="M304" s="401" t="str">
        <f t="shared" si="30"/>
        <v/>
      </c>
    </row>
    <row r="305" spans="2:13" s="28" customFormat="1" ht="25" customHeight="1" x14ac:dyDescent="0.25">
      <c r="B305" s="84" t="str">
        <f>$B$12</f>
        <v>C5.1</v>
      </c>
      <c r="C305" s="498" t="str">
        <f>"TOTAL CARRIED FORWARD"&amp;IF(H305=H$1," TO SUMMARY (Page C"&amp;Page_A&amp;")","")</f>
        <v>TOTAL CARRIED FORWARD TO SUMMARY (Page C48)</v>
      </c>
      <c r="D305" s="31"/>
      <c r="E305" s="31"/>
      <c r="F305" s="32"/>
      <c r="G305" s="31"/>
      <c r="H305" s="33">
        <f>SUM(H238:H304)</f>
        <v>0</v>
      </c>
      <c r="I305" s="34"/>
      <c r="J305" s="408"/>
      <c r="K305" s="406"/>
      <c r="L305" s="418">
        <f>SUM(L238:L304)</f>
        <v>0</v>
      </c>
      <c r="M305" s="407" t="str">
        <f t="shared" si="30"/>
        <v/>
      </c>
    </row>
  </sheetData>
  <mergeCells count="27">
    <mergeCell ref="B7:G9"/>
    <mergeCell ref="H6:H9"/>
    <mergeCell ref="B6:G6"/>
    <mergeCell ref="F3:H3"/>
    <mergeCell ref="B3:C3"/>
    <mergeCell ref="B4:C4"/>
    <mergeCell ref="B74:D74"/>
    <mergeCell ref="F74:H76"/>
    <mergeCell ref="B75:D75"/>
    <mergeCell ref="B76:D76"/>
    <mergeCell ref="B77:G77"/>
    <mergeCell ref="H77:H80"/>
    <mergeCell ref="B78:G80"/>
    <mergeCell ref="B152:D152"/>
    <mergeCell ref="F152:H154"/>
    <mergeCell ref="B153:D153"/>
    <mergeCell ref="B154:D154"/>
    <mergeCell ref="B155:G155"/>
    <mergeCell ref="H155:H158"/>
    <mergeCell ref="B156:G158"/>
    <mergeCell ref="B230:D230"/>
    <mergeCell ref="F230:H232"/>
    <mergeCell ref="B231:D231"/>
    <mergeCell ref="B232:D232"/>
    <mergeCell ref="B233:G233"/>
    <mergeCell ref="H233:H236"/>
    <mergeCell ref="B234:G236"/>
  </mergeCells>
  <phoneticPr fontId="15" type="noConversion"/>
  <conditionalFormatting sqref="G11:H73 G82:H151 G160:H229 G238:H305">
    <cfRule type="expression" dxfId="74"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0070C0"/>
  </sheetPr>
  <dimension ref="A1:N144"/>
  <sheetViews>
    <sheetView showGridLines="0" view="pageBreakPreview" zoomScale="90" zoomScaleNormal="125" zoomScaleSheetLayoutView="90" zoomScalePageLayoutView="125" workbookViewId="0">
      <pane ySplit="2" topLeftCell="A3" activePane="bottomLeft" state="frozen"/>
      <selection activeCell="G24" sqref="G24"/>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1</v>
      </c>
      <c r="H1" s="247">
        <f>MAX(H2:H215)</f>
        <v>0</v>
      </c>
      <c r="I1" s="247">
        <f>MAX(I2:I215)</f>
        <v>0</v>
      </c>
      <c r="J1" s="248"/>
      <c r="K1" s="249"/>
      <c r="L1" s="247">
        <f>MAX(L2:L215)</f>
        <v>7835</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1" t="str">
        <f>"CHAPTER "&amp;B12</f>
        <v>CHAPTER C5.2</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18" si="0">IF(D11="","",F11*G11)</f>
        <v/>
      </c>
      <c r="I11" s="18"/>
      <c r="J11" s="702"/>
      <c r="K11" s="619"/>
      <c r="L11" s="420" t="str">
        <f t="shared" ref="L11" si="1">IF(J11="","",F11*K11)</f>
        <v/>
      </c>
      <c r="M11" s="401" t="str">
        <f t="shared" ref="M11" si="2">IF(J11="","",IF(SUM(H11)=0,"",L11/H11))</f>
        <v/>
      </c>
    </row>
    <row r="12" spans="1:14" ht="13" x14ac:dyDescent="0.25">
      <c r="B12" s="146" t="s">
        <v>219</v>
      </c>
      <c r="C12" s="672" t="s">
        <v>220</v>
      </c>
      <c r="D12" s="15"/>
      <c r="E12" s="15"/>
      <c r="F12" s="15"/>
      <c r="G12" s="411"/>
      <c r="H12" s="17" t="str">
        <f t="shared" si="0"/>
        <v/>
      </c>
      <c r="I12" s="18"/>
      <c r="J12" s="61"/>
      <c r="K12" s="399"/>
      <c r="L12" s="420" t="str">
        <f t="shared" ref="L12:L25" si="3">IF(J12="","",F12*K12)</f>
        <v/>
      </c>
      <c r="M12" s="401" t="str">
        <f t="shared" ref="M12:M25" si="4">IF(J12="","",IF(SUM(H12)=0,"",L12/H12))</f>
        <v/>
      </c>
    </row>
    <row r="13" spans="1:14" x14ac:dyDescent="0.25">
      <c r="B13" s="58"/>
      <c r="C13" s="65"/>
      <c r="D13" s="15"/>
      <c r="E13" s="15"/>
      <c r="F13" s="15"/>
      <c r="G13" s="411"/>
      <c r="H13" s="17" t="str">
        <f t="shared" si="0"/>
        <v/>
      </c>
      <c r="I13" s="18"/>
      <c r="J13" s="61"/>
      <c r="K13" s="399"/>
      <c r="L13" s="420" t="str">
        <f t="shared" si="3"/>
        <v/>
      </c>
      <c r="M13" s="401" t="str">
        <f t="shared" si="4"/>
        <v/>
      </c>
    </row>
    <row r="14" spans="1:14" ht="13" x14ac:dyDescent="0.25">
      <c r="B14" s="146" t="s">
        <v>2173</v>
      </c>
      <c r="C14" s="672" t="s">
        <v>2184</v>
      </c>
      <c r="D14" s="15"/>
      <c r="E14" s="15"/>
      <c r="F14" s="24"/>
      <c r="G14" s="411"/>
      <c r="H14" s="17" t="str">
        <f t="shared" si="0"/>
        <v/>
      </c>
      <c r="I14" s="18"/>
      <c r="J14" s="61"/>
      <c r="K14" s="399"/>
      <c r="L14" s="420" t="str">
        <f t="shared" si="3"/>
        <v/>
      </c>
      <c r="M14" s="401" t="str">
        <f t="shared" si="4"/>
        <v/>
      </c>
    </row>
    <row r="15" spans="1:14" x14ac:dyDescent="0.25">
      <c r="B15" s="58"/>
      <c r="C15" s="65"/>
      <c r="D15" s="15"/>
      <c r="E15" s="15"/>
      <c r="F15" s="24"/>
      <c r="G15" s="411"/>
      <c r="H15" s="17" t="str">
        <f t="shared" si="0"/>
        <v/>
      </c>
      <c r="I15" s="18"/>
      <c r="J15" s="61"/>
      <c r="K15" s="399"/>
      <c r="L15" s="420" t="str">
        <f t="shared" si="3"/>
        <v/>
      </c>
      <c r="M15" s="401" t="str">
        <f t="shared" si="4"/>
        <v/>
      </c>
    </row>
    <row r="16" spans="1:14" ht="14.5" x14ac:dyDescent="0.25">
      <c r="B16" s="58" t="s">
        <v>2174</v>
      </c>
      <c r="C16" s="65" t="s">
        <v>2175</v>
      </c>
      <c r="D16" s="15"/>
      <c r="E16" s="15"/>
      <c r="F16" s="647"/>
      <c r="G16" s="753"/>
      <c r="H16" s="17" t="str">
        <f t="shared" si="0"/>
        <v/>
      </c>
      <c r="I16" s="57"/>
      <c r="J16" s="61"/>
      <c r="K16" s="400"/>
      <c r="L16" s="420" t="str">
        <f t="shared" si="3"/>
        <v/>
      </c>
      <c r="M16" s="401" t="str">
        <f t="shared" si="4"/>
        <v/>
      </c>
    </row>
    <row r="17" spans="2:13" x14ac:dyDescent="0.25">
      <c r="B17" s="58"/>
      <c r="C17" s="65"/>
      <c r="D17" s="15"/>
      <c r="E17" s="15"/>
      <c r="F17" s="647"/>
      <c r="G17" s="753"/>
      <c r="H17" s="17" t="str">
        <f t="shared" si="0"/>
        <v/>
      </c>
      <c r="I17" s="57"/>
      <c r="J17" s="61"/>
      <c r="K17" s="400"/>
      <c r="L17" s="420" t="str">
        <f t="shared" si="3"/>
        <v/>
      </c>
      <c r="M17" s="401" t="str">
        <f t="shared" si="4"/>
        <v/>
      </c>
    </row>
    <row r="18" spans="2:13" x14ac:dyDescent="0.25">
      <c r="B18" s="58" t="s">
        <v>39</v>
      </c>
      <c r="C18" s="65" t="s">
        <v>2186</v>
      </c>
      <c r="D18" s="15" t="s">
        <v>34</v>
      </c>
      <c r="E18" s="15"/>
      <c r="F18" s="647">
        <v>1</v>
      </c>
      <c r="G18" s="753"/>
      <c r="H18" s="17">
        <f t="shared" si="0"/>
        <v>0</v>
      </c>
      <c r="I18" s="57"/>
      <c r="J18" s="61"/>
      <c r="K18" s="400"/>
      <c r="L18" s="420" t="str">
        <f t="shared" si="3"/>
        <v/>
      </c>
      <c r="M18" s="401" t="str">
        <f t="shared" si="4"/>
        <v/>
      </c>
    </row>
    <row r="19" spans="2:13" x14ac:dyDescent="0.25">
      <c r="B19" s="58"/>
      <c r="C19" s="65"/>
      <c r="D19" s="15"/>
      <c r="E19" s="15"/>
      <c r="F19" s="647"/>
      <c r="G19" s="753"/>
      <c r="H19" s="17"/>
      <c r="I19" s="57"/>
      <c r="J19" s="61"/>
      <c r="K19" s="400"/>
      <c r="L19" s="420"/>
      <c r="M19" s="401"/>
    </row>
    <row r="20" spans="2:13" x14ac:dyDescent="0.25">
      <c r="B20" s="58" t="s">
        <v>41</v>
      </c>
      <c r="C20" s="65" t="s">
        <v>2185</v>
      </c>
      <c r="D20" s="15" t="s">
        <v>34</v>
      </c>
      <c r="E20" s="15"/>
      <c r="F20" s="647">
        <v>1</v>
      </c>
      <c r="G20" s="753"/>
      <c r="H20" s="17">
        <f t="shared" ref="H20:H25" si="5">IF(D20="","",F20*G20)</f>
        <v>0</v>
      </c>
      <c r="I20" s="57"/>
      <c r="J20" s="61"/>
      <c r="K20" s="400"/>
      <c r="L20" s="420"/>
      <c r="M20" s="401"/>
    </row>
    <row r="21" spans="2:13" x14ac:dyDescent="0.25">
      <c r="B21" s="58"/>
      <c r="C21" s="65"/>
      <c r="D21" s="15"/>
      <c r="E21" s="15"/>
      <c r="F21" s="647"/>
      <c r="G21" s="753"/>
      <c r="H21" s="17" t="str">
        <f t="shared" si="5"/>
        <v/>
      </c>
      <c r="I21" s="57"/>
      <c r="J21" s="61"/>
      <c r="K21" s="399"/>
      <c r="L21" s="420" t="str">
        <f t="shared" si="3"/>
        <v/>
      </c>
      <c r="M21" s="401" t="str">
        <f t="shared" si="4"/>
        <v/>
      </c>
    </row>
    <row r="22" spans="2:13" ht="13" x14ac:dyDescent="0.25">
      <c r="B22" s="146" t="s">
        <v>221</v>
      </c>
      <c r="C22" s="672" t="s">
        <v>222</v>
      </c>
      <c r="D22" s="15"/>
      <c r="E22" s="15"/>
      <c r="F22" s="24"/>
      <c r="G22" s="411"/>
      <c r="H22" s="17" t="str">
        <f t="shared" si="5"/>
        <v/>
      </c>
      <c r="I22" s="18"/>
      <c r="J22" s="61"/>
      <c r="K22" s="399"/>
      <c r="L22" s="420" t="str">
        <f t="shared" si="3"/>
        <v/>
      </c>
      <c r="M22" s="401" t="str">
        <f t="shared" si="4"/>
        <v/>
      </c>
    </row>
    <row r="23" spans="2:13" x14ac:dyDescent="0.25">
      <c r="B23" s="58"/>
      <c r="C23" s="65"/>
      <c r="D23" s="15"/>
      <c r="E23" s="15"/>
      <c r="F23" s="24"/>
      <c r="G23" s="411"/>
      <c r="H23" s="17" t="str">
        <f t="shared" si="5"/>
        <v/>
      </c>
      <c r="I23" s="18"/>
      <c r="J23" s="61"/>
      <c r="K23" s="399"/>
      <c r="L23" s="420" t="str">
        <f t="shared" si="3"/>
        <v/>
      </c>
      <c r="M23" s="401" t="str">
        <f t="shared" si="4"/>
        <v/>
      </c>
    </row>
    <row r="24" spans="2:13" ht="25" x14ac:dyDescent="0.25">
      <c r="B24" s="58" t="s">
        <v>1909</v>
      </c>
      <c r="C24" s="65" t="s">
        <v>224</v>
      </c>
      <c r="D24" s="15"/>
      <c r="E24" s="15"/>
      <c r="F24" s="24"/>
      <c r="G24" s="423"/>
      <c r="H24" s="17" t="str">
        <f t="shared" si="5"/>
        <v/>
      </c>
      <c r="I24" s="57"/>
      <c r="J24" s="61"/>
      <c r="K24" s="400"/>
      <c r="L24" s="420" t="str">
        <f t="shared" si="3"/>
        <v/>
      </c>
      <c r="M24" s="401" t="str">
        <f t="shared" si="4"/>
        <v/>
      </c>
    </row>
    <row r="25" spans="2:13" x14ac:dyDescent="0.25">
      <c r="B25" s="58"/>
      <c r="C25" s="65"/>
      <c r="D25" s="15"/>
      <c r="E25" s="15"/>
      <c r="F25" s="24"/>
      <c r="G25" s="423"/>
      <c r="H25" s="17" t="str">
        <f t="shared" si="5"/>
        <v/>
      </c>
      <c r="I25" s="57"/>
      <c r="J25" s="61"/>
      <c r="K25" s="399"/>
      <c r="L25" s="420" t="str">
        <f t="shared" si="3"/>
        <v/>
      </c>
      <c r="M25" s="401" t="str">
        <f t="shared" si="4"/>
        <v/>
      </c>
    </row>
    <row r="26" spans="2:13" x14ac:dyDescent="0.25">
      <c r="B26" s="58" t="s">
        <v>39</v>
      </c>
      <c r="C26" s="65" t="s">
        <v>226</v>
      </c>
      <c r="D26" s="15" t="s">
        <v>577</v>
      </c>
      <c r="E26" s="15"/>
      <c r="F26" s="24">
        <v>15000</v>
      </c>
      <c r="G26" s="411"/>
      <c r="H26" s="17">
        <f t="shared" ref="H26:H39" si="6">IF(D26="","",F26*G26)</f>
        <v>0</v>
      </c>
      <c r="I26" s="57"/>
      <c r="J26" s="61" t="s">
        <v>1721</v>
      </c>
      <c r="K26" s="399">
        <f>IF(D26="","",ROUND(Labour_perc_roads*G26,1))</f>
        <v>0</v>
      </c>
      <c r="L26" s="420">
        <f t="shared" ref="L26:L39" si="7">IF(J26="","",F26*K26)</f>
        <v>0</v>
      </c>
      <c r="M26" s="401" t="str">
        <f t="shared" ref="M26:M39" si="8">IF(J26="","",IF(SUM(H26)=0,"",L26/H26))</f>
        <v/>
      </c>
    </row>
    <row r="27" spans="2:13" x14ac:dyDescent="0.25">
      <c r="B27" s="58"/>
      <c r="C27" s="65"/>
      <c r="D27" s="15"/>
      <c r="E27" s="15"/>
      <c r="F27" s="24"/>
      <c r="G27" s="411"/>
      <c r="H27" s="17" t="str">
        <f t="shared" si="6"/>
        <v/>
      </c>
      <c r="I27" s="57"/>
      <c r="J27" s="61"/>
      <c r="K27" s="399"/>
      <c r="L27" s="420" t="str">
        <f t="shared" si="7"/>
        <v/>
      </c>
      <c r="M27" s="401" t="str">
        <f t="shared" si="8"/>
        <v/>
      </c>
    </row>
    <row r="28" spans="2:13" x14ac:dyDescent="0.25">
      <c r="B28" s="58" t="s">
        <v>52</v>
      </c>
      <c r="C28" s="65" t="s">
        <v>1910</v>
      </c>
      <c r="D28" s="15" t="s">
        <v>700</v>
      </c>
      <c r="E28" s="15"/>
      <c r="F28" s="647">
        <v>10000</v>
      </c>
      <c r="G28" s="421"/>
      <c r="H28" s="17">
        <f t="shared" si="6"/>
        <v>0</v>
      </c>
      <c r="I28" s="18"/>
      <c r="J28" s="61"/>
      <c r="K28" s="402"/>
      <c r="L28" s="420" t="str">
        <f t="shared" si="7"/>
        <v/>
      </c>
      <c r="M28" s="401" t="str">
        <f t="shared" si="8"/>
        <v/>
      </c>
    </row>
    <row r="29" spans="2:13" x14ac:dyDescent="0.25">
      <c r="B29" s="58"/>
      <c r="C29" s="65"/>
      <c r="D29" s="15"/>
      <c r="E29" s="15"/>
      <c r="F29" s="24"/>
      <c r="G29" s="423"/>
      <c r="H29" s="17" t="str">
        <f t="shared" si="6"/>
        <v/>
      </c>
      <c r="I29" s="18"/>
      <c r="J29" s="61"/>
      <c r="K29" s="402"/>
      <c r="L29" s="420" t="str">
        <f t="shared" si="7"/>
        <v/>
      </c>
      <c r="M29" s="401" t="str">
        <f t="shared" si="8"/>
        <v/>
      </c>
    </row>
    <row r="30" spans="2:13" x14ac:dyDescent="0.25">
      <c r="B30" s="58" t="s">
        <v>223</v>
      </c>
      <c r="C30" s="65" t="s">
        <v>225</v>
      </c>
      <c r="D30" s="15" t="s">
        <v>577</v>
      </c>
      <c r="E30" s="15"/>
      <c r="F30" s="24">
        <v>43000</v>
      </c>
      <c r="G30" s="411"/>
      <c r="H30" s="17">
        <f t="shared" si="6"/>
        <v>0</v>
      </c>
      <c r="I30" s="60"/>
      <c r="J30" s="61"/>
      <c r="K30" s="402"/>
      <c r="L30" s="420" t="str">
        <f t="shared" si="7"/>
        <v/>
      </c>
      <c r="M30" s="401" t="str">
        <f t="shared" si="8"/>
        <v/>
      </c>
    </row>
    <row r="31" spans="2:13" x14ac:dyDescent="0.25">
      <c r="B31" s="58"/>
      <c r="C31" s="65"/>
      <c r="D31" s="15"/>
      <c r="E31" s="15"/>
      <c r="F31" s="24"/>
      <c r="G31" s="411"/>
      <c r="H31" s="17" t="str">
        <f t="shared" si="6"/>
        <v/>
      </c>
      <c r="I31" s="60"/>
      <c r="J31" s="61"/>
      <c r="K31" s="402"/>
      <c r="L31" s="420" t="str">
        <f t="shared" si="7"/>
        <v/>
      </c>
      <c r="M31" s="401" t="str">
        <f t="shared" si="8"/>
        <v/>
      </c>
    </row>
    <row r="32" spans="2:13" ht="26" x14ac:dyDescent="0.25">
      <c r="B32" s="146" t="s">
        <v>228</v>
      </c>
      <c r="C32" s="672" t="s">
        <v>229</v>
      </c>
      <c r="D32" s="15"/>
      <c r="E32" s="15"/>
      <c r="F32" s="15"/>
      <c r="G32" s="422"/>
      <c r="H32" s="17" t="str">
        <f t="shared" si="6"/>
        <v/>
      </c>
      <c r="I32" s="63"/>
      <c r="J32" s="61"/>
      <c r="K32" s="399"/>
      <c r="L32" s="420" t="str">
        <f t="shared" si="7"/>
        <v/>
      </c>
      <c r="M32" s="401" t="str">
        <f t="shared" si="8"/>
        <v/>
      </c>
    </row>
    <row r="33" spans="2:13" x14ac:dyDescent="0.25">
      <c r="B33" s="58"/>
      <c r="C33" s="65"/>
      <c r="D33" s="15"/>
      <c r="E33" s="15"/>
      <c r="F33" s="15"/>
      <c r="G33" s="422"/>
      <c r="H33" s="17" t="str">
        <f t="shared" si="6"/>
        <v/>
      </c>
      <c r="I33" s="63"/>
      <c r="J33" s="61"/>
      <c r="K33" s="399"/>
      <c r="L33" s="420" t="str">
        <f t="shared" si="7"/>
        <v/>
      </c>
      <c r="M33" s="401" t="str">
        <f t="shared" si="8"/>
        <v/>
      </c>
    </row>
    <row r="34" spans="2:13" x14ac:dyDescent="0.25">
      <c r="B34" s="58" t="s">
        <v>230</v>
      </c>
      <c r="C34" s="65" t="s">
        <v>231</v>
      </c>
      <c r="D34" s="15" t="s">
        <v>700</v>
      </c>
      <c r="E34" s="15"/>
      <c r="F34" s="580">
        <f>Quantities!$S$679</f>
        <v>12000</v>
      </c>
      <c r="G34" s="422"/>
      <c r="H34" s="17">
        <f t="shared" si="6"/>
        <v>0</v>
      </c>
      <c r="I34" s="63"/>
      <c r="J34" s="61" t="s">
        <v>1721</v>
      </c>
      <c r="K34" s="399">
        <f>IF(D34="","",ROUND(Labour_perc_roads*G34,1))</f>
        <v>0</v>
      </c>
      <c r="L34" s="420">
        <f t="shared" si="7"/>
        <v>0</v>
      </c>
      <c r="M34" s="401" t="str">
        <f t="shared" si="8"/>
        <v/>
      </c>
    </row>
    <row r="35" spans="2:13" x14ac:dyDescent="0.25">
      <c r="B35" s="58"/>
      <c r="C35" s="65"/>
      <c r="D35" s="15"/>
      <c r="E35" s="15"/>
      <c r="F35" s="15"/>
      <c r="G35" s="422"/>
      <c r="H35" s="17" t="str">
        <f t="shared" si="6"/>
        <v/>
      </c>
      <c r="I35" s="63"/>
      <c r="J35" s="61"/>
      <c r="K35" s="399"/>
      <c r="L35" s="420" t="str">
        <f t="shared" si="7"/>
        <v/>
      </c>
      <c r="M35" s="401" t="str">
        <f t="shared" si="8"/>
        <v/>
      </c>
    </row>
    <row r="36" spans="2:13" ht="26" x14ac:dyDescent="0.25">
      <c r="B36" s="146" t="s">
        <v>1952</v>
      </c>
      <c r="C36" s="672" t="s">
        <v>185</v>
      </c>
      <c r="D36" s="21"/>
      <c r="E36" s="21"/>
      <c r="F36" s="580"/>
      <c r="G36" s="424"/>
      <c r="H36" s="743" t="str">
        <f t="shared" si="6"/>
        <v/>
      </c>
      <c r="I36" s="57"/>
      <c r="J36" s="61"/>
      <c r="K36" s="399"/>
      <c r="L36" s="420" t="str">
        <f t="shared" si="7"/>
        <v/>
      </c>
      <c r="M36" s="401" t="str">
        <f t="shared" si="8"/>
        <v/>
      </c>
    </row>
    <row r="37" spans="2:13" x14ac:dyDescent="0.25">
      <c r="B37" s="58"/>
      <c r="C37" s="65"/>
      <c r="D37" s="21"/>
      <c r="E37" s="21"/>
      <c r="F37" s="15"/>
      <c r="G37" s="424"/>
      <c r="H37" s="743" t="str">
        <f t="shared" si="6"/>
        <v/>
      </c>
      <c r="I37" s="18"/>
      <c r="J37" s="61"/>
      <c r="K37" s="402"/>
      <c r="L37" s="420" t="str">
        <f t="shared" si="7"/>
        <v/>
      </c>
      <c r="M37" s="401" t="str">
        <f t="shared" si="8"/>
        <v/>
      </c>
    </row>
    <row r="38" spans="2:13" ht="25" x14ac:dyDescent="0.25">
      <c r="B38" s="58" t="s">
        <v>39</v>
      </c>
      <c r="C38" s="65" t="s">
        <v>186</v>
      </c>
      <c r="D38" s="15" t="s">
        <v>2211</v>
      </c>
      <c r="E38" s="15"/>
      <c r="F38" s="580">
        <v>44000</v>
      </c>
      <c r="G38" s="424"/>
      <c r="H38" s="743">
        <f t="shared" si="6"/>
        <v>0</v>
      </c>
      <c r="I38" s="18"/>
      <c r="J38" s="61"/>
      <c r="K38" s="402"/>
      <c r="L38" s="420" t="str">
        <f t="shared" si="7"/>
        <v/>
      </c>
      <c r="M38" s="401" t="str">
        <f t="shared" si="8"/>
        <v/>
      </c>
    </row>
    <row r="39" spans="2:13" x14ac:dyDescent="0.25">
      <c r="B39" s="58"/>
      <c r="C39" s="803"/>
      <c r="D39" s="21"/>
      <c r="E39" s="21"/>
      <c r="F39" s="647"/>
      <c r="G39" s="753"/>
      <c r="H39" s="743" t="str">
        <f t="shared" si="6"/>
        <v/>
      </c>
      <c r="I39" s="18"/>
      <c r="J39" s="61"/>
      <c r="K39" s="399"/>
      <c r="L39" s="420" t="str">
        <f t="shared" si="7"/>
        <v/>
      </c>
      <c r="M39" s="401" t="str">
        <f t="shared" si="8"/>
        <v/>
      </c>
    </row>
    <row r="40" spans="2:13" ht="13" x14ac:dyDescent="0.25">
      <c r="B40" s="146" t="s">
        <v>2198</v>
      </c>
      <c r="C40" s="672" t="s">
        <v>233</v>
      </c>
      <c r="D40" s="15"/>
      <c r="E40" s="15"/>
      <c r="F40" s="24"/>
      <c r="G40" s="411"/>
      <c r="H40" s="17" t="str">
        <f t="shared" ref="H40:H65" si="9">IF(D40="","",F40*G40)</f>
        <v/>
      </c>
      <c r="I40" s="18"/>
      <c r="J40" s="62"/>
      <c r="K40" s="62"/>
      <c r="L40" s="420" t="str">
        <f t="shared" ref="L40" si="10">IF(J40="","",F40*K40)</f>
        <v/>
      </c>
      <c r="M40" s="401" t="str">
        <f t="shared" ref="M40:M72" si="11">IF(J40="","",IF(SUM(H40)=0,"",L40/H40))</f>
        <v/>
      </c>
    </row>
    <row r="41" spans="2:13" x14ac:dyDescent="0.25">
      <c r="B41" s="58"/>
      <c r="C41" s="65"/>
      <c r="D41" s="15"/>
      <c r="E41" s="15"/>
      <c r="F41" s="15"/>
      <c r="G41" s="422"/>
      <c r="H41" s="17" t="str">
        <f t="shared" si="9"/>
        <v/>
      </c>
      <c r="I41" s="18"/>
      <c r="J41" s="62"/>
      <c r="K41" s="62"/>
      <c r="L41" s="420" t="str">
        <f t="shared" ref="L41:L71" si="12">IF(J41="","",F41*K41)</f>
        <v/>
      </c>
      <c r="M41" s="401" t="str">
        <f t="shared" ref="M41:M71" si="13">IF(J41="","",IF(SUM(H41)=0,"",L41/H41))</f>
        <v/>
      </c>
    </row>
    <row r="42" spans="2:13" ht="25" x14ac:dyDescent="0.25">
      <c r="B42" s="58" t="s">
        <v>2187</v>
      </c>
      <c r="C42" s="65" t="s">
        <v>2188</v>
      </c>
      <c r="D42" s="15" t="s">
        <v>34</v>
      </c>
      <c r="E42" s="15"/>
      <c r="F42" s="15">
        <v>6</v>
      </c>
      <c r="G42" s="422"/>
      <c r="H42" s="17">
        <f t="shared" si="9"/>
        <v>0</v>
      </c>
      <c r="I42" s="18"/>
      <c r="J42" s="62"/>
      <c r="K42" s="62"/>
      <c r="L42" s="420" t="str">
        <f t="shared" si="12"/>
        <v/>
      </c>
      <c r="M42" s="401" t="str">
        <f t="shared" si="13"/>
        <v/>
      </c>
    </row>
    <row r="43" spans="2:13" x14ac:dyDescent="0.25">
      <c r="B43" s="58"/>
      <c r="C43" s="65"/>
      <c r="D43" s="15"/>
      <c r="E43" s="15"/>
      <c r="F43" s="15"/>
      <c r="G43" s="422"/>
      <c r="H43" s="17" t="str">
        <f t="shared" si="9"/>
        <v/>
      </c>
      <c r="I43" s="18"/>
      <c r="J43" s="62"/>
      <c r="K43" s="62"/>
      <c r="L43" s="420" t="str">
        <f t="shared" si="12"/>
        <v/>
      </c>
      <c r="M43" s="401" t="str">
        <f t="shared" si="13"/>
        <v/>
      </c>
    </row>
    <row r="44" spans="2:13" x14ac:dyDescent="0.25">
      <c r="B44" s="58"/>
      <c r="C44" s="65"/>
      <c r="D44" s="15"/>
      <c r="E44" s="15"/>
      <c r="F44" s="15"/>
      <c r="G44" s="422"/>
      <c r="H44" s="17" t="str">
        <f t="shared" si="9"/>
        <v/>
      </c>
      <c r="I44" s="18"/>
      <c r="J44" s="62"/>
      <c r="K44" s="62"/>
      <c r="L44" s="420" t="str">
        <f t="shared" si="12"/>
        <v/>
      </c>
      <c r="M44" s="401" t="str">
        <f t="shared" si="13"/>
        <v/>
      </c>
    </row>
    <row r="45" spans="2:13" ht="13" x14ac:dyDescent="0.25">
      <c r="B45" s="146" t="s">
        <v>2230</v>
      </c>
      <c r="C45" s="672" t="s">
        <v>508</v>
      </c>
      <c r="D45" s="15"/>
      <c r="E45" s="15"/>
      <c r="F45" s="15"/>
      <c r="G45" s="422"/>
      <c r="H45" s="17" t="str">
        <f t="shared" si="9"/>
        <v/>
      </c>
      <c r="I45" s="18"/>
      <c r="J45" s="62"/>
      <c r="K45" s="62"/>
      <c r="L45" s="420" t="str">
        <f t="shared" si="12"/>
        <v/>
      </c>
      <c r="M45" s="401" t="str">
        <f t="shared" si="13"/>
        <v/>
      </c>
    </row>
    <row r="46" spans="2:13" x14ac:dyDescent="0.25">
      <c r="B46" s="58"/>
      <c r="C46" s="65"/>
      <c r="D46" s="15"/>
      <c r="E46" s="15"/>
      <c r="F46" s="15"/>
      <c r="G46" s="422"/>
      <c r="H46" s="17" t="str">
        <f t="shared" si="9"/>
        <v/>
      </c>
      <c r="I46" s="18"/>
      <c r="J46" s="62"/>
      <c r="K46" s="62"/>
      <c r="L46" s="420" t="str">
        <f t="shared" si="12"/>
        <v/>
      </c>
      <c r="M46" s="401" t="str">
        <f t="shared" si="13"/>
        <v/>
      </c>
    </row>
    <row r="47" spans="2:13" ht="13" x14ac:dyDescent="0.25">
      <c r="B47" s="146" t="s">
        <v>507</v>
      </c>
      <c r="C47" s="672" t="s">
        <v>2234</v>
      </c>
      <c r="D47" s="15"/>
      <c r="E47" s="15"/>
      <c r="F47" s="15"/>
      <c r="G47" s="422"/>
      <c r="H47" s="17" t="str">
        <f t="shared" si="9"/>
        <v/>
      </c>
      <c r="I47" s="18"/>
      <c r="J47" s="62"/>
      <c r="K47" s="62"/>
      <c r="L47" s="420" t="str">
        <f t="shared" si="12"/>
        <v/>
      </c>
      <c r="M47" s="401" t="str">
        <f t="shared" si="13"/>
        <v/>
      </c>
    </row>
    <row r="48" spans="2:13" x14ac:dyDescent="0.25">
      <c r="B48" s="58"/>
      <c r="C48" s="65"/>
      <c r="D48" s="15"/>
      <c r="E48" s="15"/>
      <c r="F48" s="15"/>
      <c r="G48" s="422"/>
      <c r="H48" s="17" t="str">
        <f t="shared" si="9"/>
        <v/>
      </c>
      <c r="I48" s="18"/>
      <c r="J48" s="62"/>
      <c r="K48" s="62"/>
      <c r="L48" s="420" t="str">
        <f t="shared" si="12"/>
        <v/>
      </c>
      <c r="M48" s="401" t="str">
        <f t="shared" si="13"/>
        <v/>
      </c>
    </row>
    <row r="49" spans="2:13" ht="25" x14ac:dyDescent="0.25">
      <c r="B49" s="58" t="s">
        <v>505</v>
      </c>
      <c r="C49" s="65" t="s">
        <v>2231</v>
      </c>
      <c r="D49" s="15"/>
      <c r="E49" s="15"/>
      <c r="F49" s="15"/>
      <c r="G49" s="422"/>
      <c r="H49" s="17" t="str">
        <f t="shared" si="9"/>
        <v/>
      </c>
      <c r="I49" s="18"/>
      <c r="J49" s="62"/>
      <c r="K49" s="62"/>
      <c r="L49" s="420" t="str">
        <f t="shared" si="12"/>
        <v/>
      </c>
      <c r="M49" s="401" t="str">
        <f t="shared" si="13"/>
        <v/>
      </c>
    </row>
    <row r="50" spans="2:13" x14ac:dyDescent="0.25">
      <c r="B50" s="58"/>
      <c r="C50" s="65"/>
      <c r="D50" s="15"/>
      <c r="E50" s="15"/>
      <c r="F50" s="15"/>
      <c r="G50" s="422"/>
      <c r="H50" s="17" t="str">
        <f t="shared" si="9"/>
        <v/>
      </c>
      <c r="I50" s="18"/>
      <c r="J50" s="62"/>
      <c r="K50" s="62"/>
      <c r="L50" s="420" t="str">
        <f t="shared" si="12"/>
        <v/>
      </c>
      <c r="M50" s="401" t="str">
        <f t="shared" si="13"/>
        <v/>
      </c>
    </row>
    <row r="51" spans="2:13" x14ac:dyDescent="0.25">
      <c r="B51" s="58"/>
      <c r="C51" s="65" t="s">
        <v>2232</v>
      </c>
      <c r="D51" s="15" t="s">
        <v>577</v>
      </c>
      <c r="E51" s="15"/>
      <c r="F51" s="15">
        <v>25</v>
      </c>
      <c r="G51" s="422"/>
      <c r="H51" s="17">
        <f t="shared" si="9"/>
        <v>0</v>
      </c>
      <c r="I51" s="18"/>
      <c r="J51" s="62" t="s">
        <v>1721</v>
      </c>
      <c r="K51" s="62">
        <f>ROUND(Labour_perc_roads*G51,0)</f>
        <v>0</v>
      </c>
      <c r="L51" s="420">
        <f t="shared" si="12"/>
        <v>0</v>
      </c>
      <c r="M51" s="401" t="str">
        <f t="shared" si="13"/>
        <v/>
      </c>
    </row>
    <row r="52" spans="2:13" x14ac:dyDescent="0.25">
      <c r="B52" s="58"/>
      <c r="C52" s="65"/>
      <c r="D52" s="15"/>
      <c r="E52" s="15"/>
      <c r="F52" s="15"/>
      <c r="G52" s="422"/>
      <c r="H52" s="17" t="str">
        <f t="shared" si="9"/>
        <v/>
      </c>
      <c r="I52" s="18"/>
      <c r="J52" s="62"/>
      <c r="K52" s="62"/>
      <c r="L52" s="420" t="str">
        <f t="shared" si="12"/>
        <v/>
      </c>
      <c r="M52" s="401" t="str">
        <f t="shared" si="13"/>
        <v/>
      </c>
    </row>
    <row r="53" spans="2:13" x14ac:dyDescent="0.25">
      <c r="B53" s="58"/>
      <c r="C53" s="65" t="s">
        <v>2237</v>
      </c>
      <c r="D53" s="15" t="s">
        <v>577</v>
      </c>
      <c r="E53" s="15"/>
      <c r="F53" s="15">
        <v>10</v>
      </c>
      <c r="G53" s="422"/>
      <c r="H53" s="17">
        <f t="shared" si="9"/>
        <v>0</v>
      </c>
      <c r="I53" s="18"/>
      <c r="J53" s="62" t="s">
        <v>1721</v>
      </c>
      <c r="K53" s="62">
        <f>ROUND(Labour_perc_roads*G53,0)</f>
        <v>0</v>
      </c>
      <c r="L53" s="420">
        <f t="shared" si="12"/>
        <v>0</v>
      </c>
      <c r="M53" s="401" t="str">
        <f t="shared" si="13"/>
        <v/>
      </c>
    </row>
    <row r="54" spans="2:13" x14ac:dyDescent="0.25">
      <c r="B54" s="58"/>
      <c r="C54" s="65"/>
      <c r="D54" s="15"/>
      <c r="E54" s="15"/>
      <c r="F54" s="15"/>
      <c r="G54" s="422"/>
      <c r="H54" s="17" t="str">
        <f t="shared" si="9"/>
        <v/>
      </c>
      <c r="I54" s="18"/>
      <c r="J54" s="62"/>
      <c r="K54" s="62"/>
      <c r="L54" s="420" t="str">
        <f t="shared" si="12"/>
        <v/>
      </c>
      <c r="M54" s="401" t="str">
        <f t="shared" si="13"/>
        <v/>
      </c>
    </row>
    <row r="55" spans="2:13" ht="37.5" x14ac:dyDescent="0.25">
      <c r="B55" s="58" t="s">
        <v>503</v>
      </c>
      <c r="C55" s="65" t="s">
        <v>2233</v>
      </c>
      <c r="D55" s="15" t="s">
        <v>577</v>
      </c>
      <c r="E55" s="15" t="s">
        <v>996</v>
      </c>
      <c r="F55" s="15">
        <v>35</v>
      </c>
      <c r="G55" s="422"/>
      <c r="H55" s="17">
        <f t="shared" si="9"/>
        <v>0</v>
      </c>
      <c r="I55" s="18"/>
      <c r="J55" s="62" t="s">
        <v>996</v>
      </c>
      <c r="K55" s="62">
        <f>_Excavation</f>
        <v>151</v>
      </c>
      <c r="L55" s="420">
        <f t="shared" si="12"/>
        <v>5285</v>
      </c>
      <c r="M55" s="401" t="str">
        <f t="shared" si="13"/>
        <v/>
      </c>
    </row>
    <row r="56" spans="2:13" x14ac:dyDescent="0.25">
      <c r="B56" s="58"/>
      <c r="C56" s="65"/>
      <c r="D56" s="15"/>
      <c r="E56" s="15"/>
      <c r="F56" s="15"/>
      <c r="G56" s="422"/>
      <c r="H56" s="17" t="str">
        <f t="shared" si="9"/>
        <v/>
      </c>
      <c r="I56" s="18"/>
      <c r="J56" s="62"/>
      <c r="K56" s="62"/>
      <c r="L56" s="420" t="str">
        <f t="shared" si="12"/>
        <v/>
      </c>
      <c r="M56" s="401" t="str">
        <f t="shared" si="13"/>
        <v/>
      </c>
    </row>
    <row r="57" spans="2:13" ht="13" x14ac:dyDescent="0.25">
      <c r="B57" s="146" t="s">
        <v>500</v>
      </c>
      <c r="C57" s="672" t="s">
        <v>499</v>
      </c>
      <c r="D57" s="15"/>
      <c r="E57" s="15"/>
      <c r="F57" s="15"/>
      <c r="G57" s="422"/>
      <c r="H57" s="17" t="str">
        <f t="shared" si="9"/>
        <v/>
      </c>
      <c r="I57" s="18"/>
      <c r="J57" s="62"/>
      <c r="K57" s="62"/>
      <c r="L57" s="420" t="str">
        <f t="shared" si="12"/>
        <v/>
      </c>
      <c r="M57" s="401" t="str">
        <f t="shared" si="13"/>
        <v/>
      </c>
    </row>
    <row r="58" spans="2:13" x14ac:dyDescent="0.25">
      <c r="B58" s="58"/>
      <c r="C58" s="65"/>
      <c r="D58" s="15"/>
      <c r="E58" s="15"/>
      <c r="F58" s="15"/>
      <c r="G58" s="422"/>
      <c r="H58" s="17" t="str">
        <f t="shared" si="9"/>
        <v/>
      </c>
      <c r="I58" s="18"/>
      <c r="J58" s="62"/>
      <c r="K58" s="62"/>
      <c r="L58" s="420" t="str">
        <f t="shared" si="12"/>
        <v/>
      </c>
      <c r="M58" s="401" t="str">
        <f t="shared" si="13"/>
        <v/>
      </c>
    </row>
    <row r="59" spans="2:13" x14ac:dyDescent="0.25">
      <c r="B59" s="58" t="s">
        <v>498</v>
      </c>
      <c r="C59" s="65" t="s">
        <v>2235</v>
      </c>
      <c r="D59" s="15" t="s">
        <v>577</v>
      </c>
      <c r="E59" s="15"/>
      <c r="F59" s="15">
        <v>50</v>
      </c>
      <c r="G59" s="422"/>
      <c r="H59" s="17">
        <f t="shared" si="9"/>
        <v>0</v>
      </c>
      <c r="I59" s="18"/>
      <c r="J59" s="62" t="s">
        <v>996</v>
      </c>
      <c r="K59" s="62">
        <f>_Backfill</f>
        <v>51</v>
      </c>
      <c r="L59" s="420">
        <f t="shared" si="12"/>
        <v>2550</v>
      </c>
      <c r="M59" s="401" t="str">
        <f t="shared" si="13"/>
        <v/>
      </c>
    </row>
    <row r="60" spans="2:13" x14ac:dyDescent="0.25">
      <c r="B60" s="58"/>
      <c r="C60" s="65"/>
      <c r="D60" s="15"/>
      <c r="E60" s="15"/>
      <c r="F60" s="15"/>
      <c r="G60" s="422"/>
      <c r="H60" s="17" t="str">
        <f t="shared" si="9"/>
        <v/>
      </c>
      <c r="I60" s="18"/>
      <c r="J60" s="62"/>
      <c r="K60" s="62"/>
      <c r="L60" s="420" t="str">
        <f t="shared" si="12"/>
        <v/>
      </c>
      <c r="M60" s="401" t="str">
        <f t="shared" si="13"/>
        <v/>
      </c>
    </row>
    <row r="61" spans="2:13" ht="13" x14ac:dyDescent="0.25">
      <c r="B61" s="146" t="s">
        <v>494</v>
      </c>
      <c r="C61" s="672" t="s">
        <v>493</v>
      </c>
      <c r="D61" s="15"/>
      <c r="E61" s="15"/>
      <c r="F61" s="15"/>
      <c r="G61" s="422"/>
      <c r="H61" s="17" t="str">
        <f t="shared" si="9"/>
        <v/>
      </c>
      <c r="I61" s="18"/>
      <c r="J61" s="62"/>
      <c r="K61" s="62"/>
      <c r="L61" s="420" t="str">
        <f t="shared" si="12"/>
        <v/>
      </c>
      <c r="M61" s="401" t="str">
        <f t="shared" si="13"/>
        <v/>
      </c>
    </row>
    <row r="62" spans="2:13" x14ac:dyDescent="0.25">
      <c r="B62" s="58"/>
      <c r="C62" s="65"/>
      <c r="D62" s="15"/>
      <c r="E62" s="15"/>
      <c r="F62" s="15"/>
      <c r="G62" s="422"/>
      <c r="H62" s="17" t="str">
        <f t="shared" si="9"/>
        <v/>
      </c>
      <c r="I62" s="18"/>
      <c r="J62" s="62"/>
      <c r="K62" s="62"/>
      <c r="L62" s="420" t="str">
        <f t="shared" si="12"/>
        <v/>
      </c>
      <c r="M62" s="401" t="str">
        <f t="shared" si="13"/>
        <v/>
      </c>
    </row>
    <row r="63" spans="2:13" x14ac:dyDescent="0.25">
      <c r="B63" s="58" t="s">
        <v>492</v>
      </c>
      <c r="C63" s="65" t="s">
        <v>2236</v>
      </c>
      <c r="D63" s="15" t="s">
        <v>6</v>
      </c>
      <c r="E63" s="15"/>
      <c r="F63" s="15">
        <v>70</v>
      </c>
      <c r="G63" s="422"/>
      <c r="H63" s="17">
        <f t="shared" si="9"/>
        <v>0</v>
      </c>
      <c r="I63" s="18"/>
      <c r="J63" s="62" t="s">
        <v>1721</v>
      </c>
      <c r="K63" s="62">
        <f>ROUND(Labour_perc_roads*G63,0)</f>
        <v>0</v>
      </c>
      <c r="L63" s="420">
        <f t="shared" si="12"/>
        <v>0</v>
      </c>
      <c r="M63" s="401" t="str">
        <f t="shared" si="13"/>
        <v/>
      </c>
    </row>
    <row r="64" spans="2:13" x14ac:dyDescent="0.25">
      <c r="B64" s="58"/>
      <c r="C64" s="65"/>
      <c r="D64" s="15"/>
      <c r="E64" s="15"/>
      <c r="F64" s="15"/>
      <c r="G64" s="422"/>
      <c r="H64" s="17" t="str">
        <f t="shared" si="9"/>
        <v/>
      </c>
      <c r="I64" s="18"/>
      <c r="J64" s="62"/>
      <c r="K64" s="62"/>
      <c r="L64" s="420" t="str">
        <f t="shared" si="12"/>
        <v/>
      </c>
      <c r="M64" s="401" t="str">
        <f t="shared" si="13"/>
        <v/>
      </c>
    </row>
    <row r="65" spans="2:13" x14ac:dyDescent="0.25">
      <c r="B65" s="58"/>
      <c r="C65" s="65"/>
      <c r="D65" s="15"/>
      <c r="E65" s="15"/>
      <c r="F65" s="15"/>
      <c r="G65" s="422"/>
      <c r="H65" s="17" t="str">
        <f t="shared" si="9"/>
        <v/>
      </c>
      <c r="I65" s="18"/>
      <c r="J65" s="62"/>
      <c r="K65" s="62"/>
      <c r="L65" s="420" t="str">
        <f t="shared" si="12"/>
        <v/>
      </c>
      <c r="M65" s="401" t="str">
        <f t="shared" si="13"/>
        <v/>
      </c>
    </row>
    <row r="66" spans="2:13" x14ac:dyDescent="0.25">
      <c r="B66" s="58"/>
      <c r="C66" s="65"/>
      <c r="D66" s="15"/>
      <c r="E66" s="15"/>
      <c r="F66" s="15"/>
      <c r="G66" s="422"/>
      <c r="H66" s="17" t="str">
        <f t="shared" ref="H66:H68" si="14">IF(D66="","",F66*G66)</f>
        <v/>
      </c>
      <c r="I66" s="18"/>
      <c r="J66" s="62"/>
      <c r="K66" s="62"/>
      <c r="L66" s="420" t="str">
        <f t="shared" ref="L66:L68" si="15">IF(J66="","",F66*K66)</f>
        <v/>
      </c>
      <c r="M66" s="401" t="str">
        <f t="shared" ref="M66:M68" si="16">IF(J66="","",IF(SUM(H66)=0,"",L66/H66))</f>
        <v/>
      </c>
    </row>
    <row r="67" spans="2:13" x14ac:dyDescent="0.25">
      <c r="B67" s="58"/>
      <c r="C67" s="65"/>
      <c r="D67" s="15"/>
      <c r="E67" s="15"/>
      <c r="F67" s="15"/>
      <c r="G67" s="422"/>
      <c r="H67" s="17" t="str">
        <f t="shared" si="14"/>
        <v/>
      </c>
      <c r="I67" s="18"/>
      <c r="J67" s="62"/>
      <c r="K67" s="62"/>
      <c r="L67" s="420" t="str">
        <f t="shared" si="15"/>
        <v/>
      </c>
      <c r="M67" s="401" t="str">
        <f t="shared" si="16"/>
        <v/>
      </c>
    </row>
    <row r="68" spans="2:13" x14ac:dyDescent="0.25">
      <c r="B68" s="58"/>
      <c r="C68" s="65"/>
      <c r="D68" s="15"/>
      <c r="E68" s="15"/>
      <c r="F68" s="15"/>
      <c r="G68" s="422"/>
      <c r="H68" s="17" t="str">
        <f t="shared" si="14"/>
        <v/>
      </c>
      <c r="I68" s="18"/>
      <c r="J68" s="62"/>
      <c r="K68" s="62"/>
      <c r="L68" s="420" t="str">
        <f t="shared" si="15"/>
        <v/>
      </c>
      <c r="M68" s="401" t="str">
        <f t="shared" si="16"/>
        <v/>
      </c>
    </row>
    <row r="69" spans="2:13" x14ac:dyDescent="0.25">
      <c r="B69" s="58"/>
      <c r="C69" s="65"/>
      <c r="D69" s="15"/>
      <c r="E69" s="15"/>
      <c r="F69" s="15"/>
      <c r="G69" s="422"/>
      <c r="H69" s="17" t="str">
        <f>IF(D69="","",F69*G69)</f>
        <v/>
      </c>
      <c r="I69" s="18"/>
      <c r="J69" s="62"/>
      <c r="K69" s="62"/>
      <c r="L69" s="420" t="str">
        <f t="shared" si="12"/>
        <v/>
      </c>
      <c r="M69" s="401" t="str">
        <f t="shared" si="13"/>
        <v/>
      </c>
    </row>
    <row r="70" spans="2:13" x14ac:dyDescent="0.25">
      <c r="B70" s="58"/>
      <c r="C70" s="65"/>
      <c r="D70" s="15"/>
      <c r="E70" s="15"/>
      <c r="F70" s="15"/>
      <c r="G70" s="422"/>
      <c r="H70" s="17" t="str">
        <f>IF(D70="","",F70*G70)</f>
        <v/>
      </c>
      <c r="I70" s="18"/>
      <c r="J70" s="61"/>
      <c r="K70" s="695"/>
      <c r="L70" s="420" t="str">
        <f t="shared" si="12"/>
        <v/>
      </c>
      <c r="M70" s="401" t="str">
        <f t="shared" si="13"/>
        <v/>
      </c>
    </row>
    <row r="71" spans="2:13" x14ac:dyDescent="0.25">
      <c r="B71" s="58"/>
      <c r="C71" s="65"/>
      <c r="D71" s="15"/>
      <c r="E71" s="15"/>
      <c r="F71" s="15"/>
      <c r="G71" s="422"/>
      <c r="H71" s="17" t="str">
        <f>IF(D71="","",F71*G71)</f>
        <v/>
      </c>
      <c r="I71" s="18"/>
      <c r="J71" s="61"/>
      <c r="K71" s="696"/>
      <c r="L71" s="420" t="str">
        <f t="shared" si="12"/>
        <v/>
      </c>
      <c r="M71" s="401" t="str">
        <f t="shared" si="13"/>
        <v/>
      </c>
    </row>
    <row r="72" spans="2:13" s="28" customFormat="1" ht="19.5" customHeight="1" x14ac:dyDescent="0.25">
      <c r="B72" s="135" t="str">
        <f>$B$12</f>
        <v>C5.2</v>
      </c>
      <c r="C72" s="498" t="str">
        <f>"TOTAL CARRIED FORWARD"&amp;IF(H72=H$1," TO SUMMARY (Page C"&amp;Page_A&amp;")","")</f>
        <v>TOTAL CARRIED FORWARD TO SUMMARY (Page C48)</v>
      </c>
      <c r="D72" s="31"/>
      <c r="E72" s="31"/>
      <c r="F72" s="32"/>
      <c r="G72" s="31"/>
      <c r="H72" s="33">
        <f>SUM(H11:H71)</f>
        <v>0</v>
      </c>
      <c r="I72" s="34"/>
      <c r="J72" s="408"/>
      <c r="K72" s="406"/>
      <c r="L72" s="418">
        <f>SUM(L11:L71)</f>
        <v>7835</v>
      </c>
      <c r="M72" s="407" t="str">
        <f t="shared" si="11"/>
        <v/>
      </c>
    </row>
    <row r="73" spans="2:13" ht="13" x14ac:dyDescent="0.25">
      <c r="B73" s="1108" t="str">
        <f>Client1</f>
        <v>Province of KwaZulu-Natal</v>
      </c>
      <c r="C73" s="1108"/>
      <c r="D73" s="1108"/>
      <c r="E73" s="87"/>
      <c r="F73" s="1109" t="str">
        <f>"Contract No. "&amp;ContractNo</f>
        <v>Contract No. ZNB 00399/00000/HOD/INF/21/T</v>
      </c>
      <c r="G73" s="1109"/>
      <c r="H73" s="1109"/>
    </row>
    <row r="74" spans="2:13" ht="13" x14ac:dyDescent="0.25">
      <c r="B74" s="1108" t="str">
        <f>Client2</f>
        <v>Department of Transport</v>
      </c>
      <c r="C74" s="1108"/>
      <c r="D74" s="1108"/>
      <c r="E74" s="87"/>
      <c r="F74" s="1109"/>
      <c r="G74" s="1109"/>
      <c r="H74" s="1109"/>
    </row>
    <row r="75" spans="2:13" x14ac:dyDescent="0.25">
      <c r="B75" s="1111"/>
      <c r="C75" s="1111"/>
      <c r="D75" s="1111"/>
      <c r="E75" s="78"/>
      <c r="F75" s="1110"/>
      <c r="G75" s="1110"/>
      <c r="H75" s="1110"/>
    </row>
    <row r="76" spans="2:13" ht="13" x14ac:dyDescent="0.25">
      <c r="B76" s="1112" t="s">
        <v>8</v>
      </c>
      <c r="C76" s="1113"/>
      <c r="D76" s="1113"/>
      <c r="E76" s="1113"/>
      <c r="F76" s="1113"/>
      <c r="G76" s="1113"/>
      <c r="H76" s="1125" t="str">
        <f>$H$6</f>
        <v>CHAPTER C5.2</v>
      </c>
      <c r="I76" s="6"/>
    </row>
    <row r="77" spans="2:13" ht="13" x14ac:dyDescent="0.25">
      <c r="B77" s="1117" t="str">
        <f>ContractDescription</f>
        <v>THE CONSTRUCTION OF EARTHWORKS, LAYERWORKS, SURFACING, CULVERTS AND CWAKA RIVER BRIDGE FROM KM 11.600 TO KM 14.000 ON MAIN ROAD P494 IN THE KING CETSHWAYO DISTRICT UNDER EMPANGENI REGION</v>
      </c>
      <c r="C77" s="1118"/>
      <c r="D77" s="1118"/>
      <c r="E77" s="1118"/>
      <c r="F77" s="1118"/>
      <c r="G77" s="1118"/>
      <c r="H77" s="1126"/>
      <c r="I77" s="8"/>
    </row>
    <row r="78" spans="2:13" ht="13" x14ac:dyDescent="0.25">
      <c r="B78" s="1117"/>
      <c r="C78" s="1118"/>
      <c r="D78" s="1118"/>
      <c r="E78" s="1118"/>
      <c r="F78" s="1118"/>
      <c r="G78" s="1118"/>
      <c r="H78" s="1126"/>
      <c r="I78" s="8"/>
    </row>
    <row r="79" spans="2:13" ht="13" x14ac:dyDescent="0.25">
      <c r="B79" s="1119"/>
      <c r="C79" s="1120"/>
      <c r="D79" s="1120"/>
      <c r="E79" s="1120"/>
      <c r="F79" s="1120"/>
      <c r="G79" s="1120"/>
      <c r="H79" s="1127"/>
      <c r="I79" s="8"/>
    </row>
    <row r="80" spans="2:13" s="9" customFormat="1" ht="25" customHeight="1" x14ac:dyDescent="0.25">
      <c r="B80" s="74" t="s">
        <v>0</v>
      </c>
      <c r="C80" s="11" t="s">
        <v>1</v>
      </c>
      <c r="D80" s="11" t="s">
        <v>2</v>
      </c>
      <c r="E80" s="11"/>
      <c r="F80" s="11" t="s">
        <v>3</v>
      </c>
      <c r="G80" s="11" t="s">
        <v>4</v>
      </c>
      <c r="H80" s="11" t="s">
        <v>5</v>
      </c>
      <c r="I80" s="12"/>
      <c r="J80" s="408" t="s">
        <v>996</v>
      </c>
      <c r="K80" s="253" t="s">
        <v>997</v>
      </c>
      <c r="L80" s="253" t="s">
        <v>998</v>
      </c>
      <c r="M80" s="253" t="s">
        <v>999</v>
      </c>
    </row>
    <row r="81" spans="2:13" s="28" customFormat="1" ht="19.5" customHeight="1" x14ac:dyDescent="0.25">
      <c r="B81" s="80"/>
      <c r="C81" s="30" t="s">
        <v>27</v>
      </c>
      <c r="D81" s="31"/>
      <c r="E81" s="31"/>
      <c r="F81" s="32"/>
      <c r="G81" s="31"/>
      <c r="H81" s="33">
        <f>H72</f>
        <v>0</v>
      </c>
      <c r="I81" s="34"/>
      <c r="J81" s="416"/>
      <c r="K81" s="409"/>
      <c r="L81" s="419">
        <f>L72</f>
        <v>7835</v>
      </c>
      <c r="M81" s="410"/>
    </row>
    <row r="82" spans="2:13" x14ac:dyDescent="0.25">
      <c r="B82" s="46"/>
      <c r="C82" s="14"/>
      <c r="D82" s="15"/>
      <c r="E82" s="15"/>
      <c r="F82" s="15"/>
      <c r="G82" s="422"/>
      <c r="H82" s="17"/>
      <c r="I82" s="18"/>
      <c r="J82" s="61"/>
      <c r="K82" s="399"/>
      <c r="L82" s="420" t="str">
        <f t="shared" ref="L82" si="17">IF(J82="","",F82*K82)</f>
        <v/>
      </c>
      <c r="M82" s="401" t="str">
        <f t="shared" ref="M82" si="18">IF(J82="","",IF(SUM(H82)=0,"",L82/H82))</f>
        <v/>
      </c>
    </row>
    <row r="83" spans="2:13" x14ac:dyDescent="0.25">
      <c r="B83" s="46"/>
      <c r="C83" s="14"/>
      <c r="D83" s="15"/>
      <c r="E83" s="15"/>
      <c r="F83" s="15"/>
      <c r="G83" s="422"/>
      <c r="H83" s="17" t="str">
        <f t="shared" ref="H83:H114" si="19">IF(D83="","",F83*G83)</f>
        <v/>
      </c>
      <c r="I83" s="18"/>
      <c r="J83" s="61"/>
      <c r="K83" s="399"/>
      <c r="L83" s="420" t="str">
        <f t="shared" ref="L83:L143" si="20">IF(J83="","",F83*K83)</f>
        <v/>
      </c>
      <c r="M83" s="401" t="str">
        <f t="shared" ref="M83:M144" si="21">IF(J83="","",IF(SUM(H83)=0,"",L83/H83))</f>
        <v/>
      </c>
    </row>
    <row r="84" spans="2:13" x14ac:dyDescent="0.25">
      <c r="B84" s="46"/>
      <c r="C84" s="14"/>
      <c r="D84" s="15"/>
      <c r="E84" s="15"/>
      <c r="F84" s="15"/>
      <c r="G84" s="424"/>
      <c r="H84" s="17" t="str">
        <f t="shared" si="19"/>
        <v/>
      </c>
      <c r="I84" s="18"/>
      <c r="J84" s="61"/>
      <c r="K84" s="399"/>
      <c r="L84" s="420" t="str">
        <f t="shared" si="20"/>
        <v/>
      </c>
      <c r="M84" s="401" t="str">
        <f t="shared" si="21"/>
        <v/>
      </c>
    </row>
    <row r="85" spans="2:13" x14ac:dyDescent="0.25">
      <c r="B85" s="46"/>
      <c r="C85" s="14"/>
      <c r="D85" s="15"/>
      <c r="E85" s="15"/>
      <c r="F85" s="15"/>
      <c r="G85" s="424"/>
      <c r="H85" s="17" t="str">
        <f t="shared" si="19"/>
        <v/>
      </c>
      <c r="I85" s="18"/>
      <c r="J85" s="61"/>
      <c r="K85" s="399"/>
      <c r="L85" s="420" t="str">
        <f t="shared" si="20"/>
        <v/>
      </c>
      <c r="M85" s="401" t="str">
        <f t="shared" si="21"/>
        <v/>
      </c>
    </row>
    <row r="86" spans="2:13" x14ac:dyDescent="0.25">
      <c r="B86" s="46"/>
      <c r="C86" s="14"/>
      <c r="D86" s="15"/>
      <c r="E86" s="15"/>
      <c r="F86" s="15"/>
      <c r="G86" s="424"/>
      <c r="H86" s="17" t="str">
        <f t="shared" si="19"/>
        <v/>
      </c>
      <c r="I86" s="18"/>
      <c r="J86" s="61"/>
      <c r="K86" s="400"/>
      <c r="L86" s="420" t="str">
        <f t="shared" si="20"/>
        <v/>
      </c>
      <c r="M86" s="401" t="str">
        <f t="shared" si="21"/>
        <v/>
      </c>
    </row>
    <row r="87" spans="2:13" x14ac:dyDescent="0.25">
      <c r="B87" s="46"/>
      <c r="C87" s="14"/>
      <c r="D87" s="15"/>
      <c r="E87" s="15"/>
      <c r="F87" s="15"/>
      <c r="G87" s="422"/>
      <c r="H87" s="17" t="str">
        <f t="shared" si="19"/>
        <v/>
      </c>
      <c r="I87" s="18"/>
      <c r="J87" s="61"/>
      <c r="K87" s="399"/>
      <c r="L87" s="420" t="str">
        <f t="shared" si="20"/>
        <v/>
      </c>
      <c r="M87" s="401" t="str">
        <f t="shared" si="21"/>
        <v/>
      </c>
    </row>
    <row r="88" spans="2:13" x14ac:dyDescent="0.25">
      <c r="B88" s="46"/>
      <c r="C88" s="14"/>
      <c r="D88" s="15"/>
      <c r="E88" s="15"/>
      <c r="F88" s="15"/>
      <c r="G88" s="422"/>
      <c r="H88" s="17" t="str">
        <f t="shared" si="19"/>
        <v/>
      </c>
      <c r="I88" s="18"/>
      <c r="J88" s="61"/>
      <c r="K88" s="399"/>
      <c r="L88" s="420" t="str">
        <f t="shared" si="20"/>
        <v/>
      </c>
      <c r="M88" s="401" t="str">
        <f t="shared" si="21"/>
        <v/>
      </c>
    </row>
    <row r="89" spans="2:13" x14ac:dyDescent="0.25">
      <c r="B89" s="46"/>
      <c r="C89" s="14"/>
      <c r="D89" s="15"/>
      <c r="E89" s="15"/>
      <c r="F89" s="580"/>
      <c r="G89" s="422"/>
      <c r="H89" s="17" t="str">
        <f t="shared" si="19"/>
        <v/>
      </c>
      <c r="I89" s="18"/>
      <c r="J89" s="61"/>
      <c r="K89" s="399"/>
      <c r="L89" s="420" t="str">
        <f t="shared" si="20"/>
        <v/>
      </c>
      <c r="M89" s="401" t="str">
        <f t="shared" si="21"/>
        <v/>
      </c>
    </row>
    <row r="90" spans="2:13" x14ac:dyDescent="0.25">
      <c r="B90" s="46"/>
      <c r="C90" s="14"/>
      <c r="D90" s="15"/>
      <c r="E90" s="15"/>
      <c r="F90" s="15"/>
      <c r="G90" s="422"/>
      <c r="H90" s="17" t="str">
        <f t="shared" si="19"/>
        <v/>
      </c>
      <c r="I90" s="18"/>
      <c r="J90" s="61"/>
      <c r="K90" s="402"/>
      <c r="L90" s="420" t="str">
        <f t="shared" si="20"/>
        <v/>
      </c>
      <c r="M90" s="401" t="str">
        <f t="shared" si="21"/>
        <v/>
      </c>
    </row>
    <row r="91" spans="2:13" x14ac:dyDescent="0.25">
      <c r="B91" s="46"/>
      <c r="C91" s="14"/>
      <c r="D91" s="15"/>
      <c r="E91" s="15"/>
      <c r="F91" s="15"/>
      <c r="G91" s="422"/>
      <c r="H91" s="17" t="str">
        <f t="shared" si="19"/>
        <v/>
      </c>
      <c r="I91" s="18"/>
      <c r="J91" s="61"/>
      <c r="K91" s="402"/>
      <c r="L91" s="420" t="str">
        <f t="shared" si="20"/>
        <v/>
      </c>
      <c r="M91" s="401" t="str">
        <f t="shared" si="21"/>
        <v/>
      </c>
    </row>
    <row r="92" spans="2:13" x14ac:dyDescent="0.25">
      <c r="B92" s="46"/>
      <c r="C92" s="14"/>
      <c r="D92" s="15"/>
      <c r="E92" s="15"/>
      <c r="F92" s="15"/>
      <c r="G92" s="422"/>
      <c r="H92" s="17" t="str">
        <f t="shared" si="19"/>
        <v/>
      </c>
      <c r="I92" s="18"/>
      <c r="J92" s="61"/>
      <c r="K92" s="402"/>
      <c r="L92" s="420" t="str">
        <f t="shared" si="20"/>
        <v/>
      </c>
      <c r="M92" s="401" t="str">
        <f t="shared" si="21"/>
        <v/>
      </c>
    </row>
    <row r="93" spans="2:13" x14ac:dyDescent="0.25">
      <c r="B93" s="46"/>
      <c r="C93" s="14"/>
      <c r="D93" s="15"/>
      <c r="E93" s="15"/>
      <c r="F93" s="15"/>
      <c r="G93" s="422"/>
      <c r="H93" s="17" t="str">
        <f t="shared" si="19"/>
        <v/>
      </c>
      <c r="I93" s="18"/>
      <c r="J93" s="61"/>
      <c r="K93" s="402"/>
      <c r="L93" s="420" t="str">
        <f t="shared" si="20"/>
        <v/>
      </c>
      <c r="M93" s="401" t="str">
        <f t="shared" si="21"/>
        <v/>
      </c>
    </row>
    <row r="94" spans="2:13" x14ac:dyDescent="0.25">
      <c r="B94" s="46"/>
      <c r="C94" s="14"/>
      <c r="D94" s="15"/>
      <c r="E94" s="15"/>
      <c r="F94" s="15"/>
      <c r="G94" s="422"/>
      <c r="H94" s="17" t="str">
        <f t="shared" si="19"/>
        <v/>
      </c>
      <c r="I94" s="18"/>
      <c r="J94" s="61"/>
      <c r="K94" s="402"/>
      <c r="L94" s="420" t="str">
        <f t="shared" si="20"/>
        <v/>
      </c>
      <c r="M94" s="401" t="str">
        <f t="shared" si="21"/>
        <v/>
      </c>
    </row>
    <row r="95" spans="2:13" x14ac:dyDescent="0.25">
      <c r="B95" s="46"/>
      <c r="C95" s="26"/>
      <c r="D95" s="15"/>
      <c r="E95" s="15"/>
      <c r="F95" s="15"/>
      <c r="G95" s="422"/>
      <c r="H95" s="17" t="str">
        <f t="shared" si="19"/>
        <v/>
      </c>
      <c r="I95" s="18"/>
      <c r="J95" s="61"/>
      <c r="K95" s="402"/>
      <c r="L95" s="420" t="str">
        <f t="shared" si="20"/>
        <v/>
      </c>
      <c r="M95" s="401" t="str">
        <f t="shared" si="21"/>
        <v/>
      </c>
    </row>
    <row r="96" spans="2:13" x14ac:dyDescent="0.25">
      <c r="B96" s="46"/>
      <c r="C96" s="26"/>
      <c r="D96" s="61"/>
      <c r="E96" s="61"/>
      <c r="F96" s="61"/>
      <c r="G96" s="422"/>
      <c r="H96" s="17" t="str">
        <f t="shared" si="19"/>
        <v/>
      </c>
      <c r="I96" s="63"/>
      <c r="J96" s="61"/>
      <c r="K96" s="399"/>
      <c r="L96" s="420" t="str">
        <f t="shared" si="20"/>
        <v/>
      </c>
      <c r="M96" s="401" t="str">
        <f t="shared" si="21"/>
        <v/>
      </c>
    </row>
    <row r="97" spans="2:13" x14ac:dyDescent="0.25">
      <c r="B97" s="46"/>
      <c r="C97" s="14"/>
      <c r="D97" s="15"/>
      <c r="E97" s="15"/>
      <c r="F97" s="15"/>
      <c r="G97" s="422"/>
      <c r="H97" s="17" t="str">
        <f t="shared" si="19"/>
        <v/>
      </c>
      <c r="I97" s="18"/>
      <c r="J97" s="61"/>
      <c r="K97" s="399"/>
      <c r="L97" s="420" t="str">
        <f t="shared" si="20"/>
        <v/>
      </c>
      <c r="M97" s="401" t="str">
        <f t="shared" si="21"/>
        <v/>
      </c>
    </row>
    <row r="98" spans="2:13" x14ac:dyDescent="0.25">
      <c r="B98" s="46"/>
      <c r="C98" s="26"/>
      <c r="D98" s="15"/>
      <c r="E98" s="15"/>
      <c r="F98" s="15"/>
      <c r="G98" s="422"/>
      <c r="H98" s="17" t="str">
        <f t="shared" si="19"/>
        <v/>
      </c>
      <c r="I98" s="18"/>
      <c r="J98" s="61"/>
      <c r="K98" s="400"/>
      <c r="L98" s="420" t="str">
        <f t="shared" si="20"/>
        <v/>
      </c>
      <c r="M98" s="401" t="str">
        <f t="shared" si="21"/>
        <v/>
      </c>
    </row>
    <row r="99" spans="2:13" x14ac:dyDescent="0.25">
      <c r="B99" s="46"/>
      <c r="C99" s="26"/>
      <c r="D99" s="15"/>
      <c r="E99" s="15"/>
      <c r="F99" s="61"/>
      <c r="G99" s="422"/>
      <c r="H99" s="17" t="str">
        <f t="shared" si="19"/>
        <v/>
      </c>
      <c r="I99" s="69"/>
      <c r="J99" s="61"/>
      <c r="K99" s="399"/>
      <c r="L99" s="420" t="str">
        <f t="shared" si="20"/>
        <v/>
      </c>
      <c r="M99" s="401" t="str">
        <f t="shared" si="21"/>
        <v/>
      </c>
    </row>
    <row r="100" spans="2:13" x14ac:dyDescent="0.25">
      <c r="B100" s="46"/>
      <c r="C100" s="26"/>
      <c r="D100" s="61"/>
      <c r="E100" s="61"/>
      <c r="F100" s="61"/>
      <c r="G100" s="422"/>
      <c r="H100" s="17" t="str">
        <f t="shared" si="19"/>
        <v/>
      </c>
      <c r="I100" s="69"/>
      <c r="J100" s="61"/>
      <c r="K100" s="399"/>
      <c r="L100" s="420" t="str">
        <f t="shared" si="20"/>
        <v/>
      </c>
      <c r="M100" s="401" t="str">
        <f t="shared" si="21"/>
        <v/>
      </c>
    </row>
    <row r="101" spans="2:13" x14ac:dyDescent="0.25">
      <c r="B101" s="46"/>
      <c r="C101" s="26"/>
      <c r="D101" s="15"/>
      <c r="E101" s="15"/>
      <c r="F101" s="61"/>
      <c r="G101" s="422"/>
      <c r="H101" s="17" t="str">
        <f t="shared" si="19"/>
        <v/>
      </c>
      <c r="I101" s="63"/>
      <c r="J101" s="61"/>
      <c r="K101" s="399"/>
      <c r="L101" s="420" t="str">
        <f t="shared" si="20"/>
        <v/>
      </c>
      <c r="M101" s="401" t="str">
        <f t="shared" si="21"/>
        <v/>
      </c>
    </row>
    <row r="102" spans="2:13" x14ac:dyDescent="0.25">
      <c r="B102" s="46"/>
      <c r="C102" s="26"/>
      <c r="D102" s="61"/>
      <c r="E102" s="61"/>
      <c r="F102" s="61"/>
      <c r="G102" s="422"/>
      <c r="H102" s="17" t="str">
        <f t="shared" si="19"/>
        <v/>
      </c>
      <c r="I102" s="63"/>
      <c r="J102" s="61"/>
      <c r="K102" s="399"/>
      <c r="L102" s="420" t="str">
        <f t="shared" si="20"/>
        <v/>
      </c>
      <c r="M102" s="401" t="str">
        <f t="shared" si="21"/>
        <v/>
      </c>
    </row>
    <row r="103" spans="2:13" x14ac:dyDescent="0.25">
      <c r="B103" s="46"/>
      <c r="C103" s="14"/>
      <c r="D103" s="15"/>
      <c r="E103" s="15"/>
      <c r="F103" s="15"/>
      <c r="G103" s="422"/>
      <c r="H103" s="17" t="str">
        <f t="shared" si="19"/>
        <v/>
      </c>
      <c r="I103" s="18"/>
      <c r="J103" s="61"/>
      <c r="K103" s="399"/>
      <c r="L103" s="420" t="str">
        <f t="shared" si="20"/>
        <v/>
      </c>
      <c r="M103" s="401" t="str">
        <f t="shared" si="21"/>
        <v/>
      </c>
    </row>
    <row r="104" spans="2:13" x14ac:dyDescent="0.25">
      <c r="B104" s="46"/>
      <c r="C104" s="14"/>
      <c r="D104" s="15"/>
      <c r="E104" s="15"/>
      <c r="F104" s="15"/>
      <c r="G104" s="422"/>
      <c r="H104" s="17" t="str">
        <f t="shared" si="19"/>
        <v/>
      </c>
      <c r="I104" s="18"/>
      <c r="J104" s="61"/>
      <c r="K104" s="400"/>
      <c r="L104" s="420" t="str">
        <f t="shared" si="20"/>
        <v/>
      </c>
      <c r="M104" s="401" t="str">
        <f t="shared" si="21"/>
        <v/>
      </c>
    </row>
    <row r="105" spans="2:13" x14ac:dyDescent="0.25">
      <c r="B105" s="46"/>
      <c r="C105" s="14"/>
      <c r="D105" s="15"/>
      <c r="E105" s="15"/>
      <c r="F105" s="15"/>
      <c r="G105" s="422"/>
      <c r="H105" s="17" t="str">
        <f t="shared" si="19"/>
        <v/>
      </c>
      <c r="I105" s="18"/>
      <c r="J105" s="61"/>
      <c r="K105" s="399"/>
      <c r="L105" s="420" t="str">
        <f t="shared" si="20"/>
        <v/>
      </c>
      <c r="M105" s="401" t="str">
        <f t="shared" si="21"/>
        <v/>
      </c>
    </row>
    <row r="106" spans="2:13" x14ac:dyDescent="0.25">
      <c r="B106" s="46"/>
      <c r="C106" s="14"/>
      <c r="D106" s="15"/>
      <c r="E106" s="15"/>
      <c r="F106" s="15"/>
      <c r="G106" s="422"/>
      <c r="H106" s="17" t="str">
        <f t="shared" si="19"/>
        <v/>
      </c>
      <c r="I106" s="18"/>
      <c r="J106" s="61"/>
      <c r="K106" s="399"/>
      <c r="L106" s="420" t="str">
        <f t="shared" si="20"/>
        <v/>
      </c>
      <c r="M106" s="401" t="str">
        <f t="shared" si="21"/>
        <v/>
      </c>
    </row>
    <row r="107" spans="2:13" x14ac:dyDescent="0.25">
      <c r="B107" s="46"/>
      <c r="C107" s="14"/>
      <c r="D107" s="15"/>
      <c r="E107" s="15"/>
      <c r="F107" s="15"/>
      <c r="G107" s="422"/>
      <c r="H107" s="17" t="str">
        <f t="shared" si="19"/>
        <v/>
      </c>
      <c r="I107" s="18"/>
      <c r="J107" s="61"/>
      <c r="K107" s="399"/>
      <c r="L107" s="420" t="str">
        <f t="shared" si="20"/>
        <v/>
      </c>
      <c r="M107" s="401" t="str">
        <f t="shared" si="21"/>
        <v/>
      </c>
    </row>
    <row r="108" spans="2:13" x14ac:dyDescent="0.25">
      <c r="B108" s="46"/>
      <c r="C108" s="14"/>
      <c r="D108" s="15"/>
      <c r="E108" s="15"/>
      <c r="F108" s="15"/>
      <c r="G108" s="422"/>
      <c r="H108" s="17" t="str">
        <f t="shared" si="19"/>
        <v/>
      </c>
      <c r="I108" s="18"/>
      <c r="J108" s="61"/>
      <c r="K108" s="399"/>
      <c r="L108" s="420" t="str">
        <f t="shared" si="20"/>
        <v/>
      </c>
      <c r="M108" s="401" t="str">
        <f t="shared" si="21"/>
        <v/>
      </c>
    </row>
    <row r="109" spans="2:13" x14ac:dyDescent="0.25">
      <c r="B109" s="46"/>
      <c r="C109" s="26"/>
      <c r="D109" s="15"/>
      <c r="E109" s="15"/>
      <c r="F109" s="15"/>
      <c r="G109" s="422"/>
      <c r="H109" s="17" t="str">
        <f t="shared" si="19"/>
        <v/>
      </c>
      <c r="I109" s="18"/>
      <c r="J109" s="61"/>
      <c r="K109" s="399"/>
      <c r="L109" s="420" t="str">
        <f t="shared" si="20"/>
        <v/>
      </c>
      <c r="M109" s="401" t="str">
        <f t="shared" si="21"/>
        <v/>
      </c>
    </row>
    <row r="110" spans="2:13" x14ac:dyDescent="0.25">
      <c r="B110" s="46"/>
      <c r="C110" s="26"/>
      <c r="D110" s="15"/>
      <c r="E110" s="15"/>
      <c r="F110" s="15"/>
      <c r="G110" s="422"/>
      <c r="H110" s="17" t="str">
        <f t="shared" si="19"/>
        <v/>
      </c>
      <c r="I110" s="18"/>
      <c r="J110" s="61"/>
      <c r="K110" s="399"/>
      <c r="L110" s="420" t="str">
        <f t="shared" si="20"/>
        <v/>
      </c>
      <c r="M110" s="401" t="str">
        <f t="shared" si="21"/>
        <v/>
      </c>
    </row>
    <row r="111" spans="2:13" x14ac:dyDescent="0.25">
      <c r="B111" s="46"/>
      <c r="C111" s="26"/>
      <c r="D111" s="15"/>
      <c r="E111" s="15"/>
      <c r="F111" s="15"/>
      <c r="G111" s="422"/>
      <c r="H111" s="17" t="str">
        <f t="shared" si="19"/>
        <v/>
      </c>
      <c r="I111" s="18"/>
      <c r="J111" s="61"/>
      <c r="K111" s="399"/>
      <c r="L111" s="420" t="str">
        <f t="shared" si="20"/>
        <v/>
      </c>
      <c r="M111" s="401" t="str">
        <f t="shared" si="21"/>
        <v/>
      </c>
    </row>
    <row r="112" spans="2:13" x14ac:dyDescent="0.25">
      <c r="B112" s="46"/>
      <c r="C112" s="26"/>
      <c r="D112" s="15"/>
      <c r="E112" s="15"/>
      <c r="F112" s="15"/>
      <c r="G112" s="422"/>
      <c r="H112" s="17" t="str">
        <f t="shared" si="19"/>
        <v/>
      </c>
      <c r="I112" s="18"/>
      <c r="J112" s="61"/>
      <c r="K112" s="399"/>
      <c r="L112" s="420" t="str">
        <f t="shared" si="20"/>
        <v/>
      </c>
      <c r="M112" s="401" t="str">
        <f t="shared" si="21"/>
        <v/>
      </c>
    </row>
    <row r="113" spans="2:13" x14ac:dyDescent="0.25">
      <c r="B113" s="46"/>
      <c r="C113" s="14"/>
      <c r="D113" s="15"/>
      <c r="E113" s="15"/>
      <c r="F113" s="15"/>
      <c r="G113" s="422"/>
      <c r="H113" s="17" t="str">
        <f t="shared" si="19"/>
        <v/>
      </c>
      <c r="I113" s="18"/>
      <c r="J113" s="61"/>
      <c r="K113" s="399"/>
      <c r="L113" s="420" t="str">
        <f t="shared" si="20"/>
        <v/>
      </c>
      <c r="M113" s="401" t="str">
        <f t="shared" si="21"/>
        <v/>
      </c>
    </row>
    <row r="114" spans="2:13" x14ac:dyDescent="0.25">
      <c r="B114" s="46"/>
      <c r="C114" s="14"/>
      <c r="D114" s="15"/>
      <c r="E114" s="15"/>
      <c r="F114" s="15"/>
      <c r="G114" s="422"/>
      <c r="H114" s="17" t="str">
        <f t="shared" si="19"/>
        <v/>
      </c>
      <c r="I114" s="18"/>
      <c r="J114" s="61"/>
      <c r="K114" s="399"/>
      <c r="L114" s="420" t="str">
        <f t="shared" si="20"/>
        <v/>
      </c>
      <c r="M114" s="401" t="str">
        <f t="shared" si="21"/>
        <v/>
      </c>
    </row>
    <row r="115" spans="2:13" x14ac:dyDescent="0.25">
      <c r="B115" s="46"/>
      <c r="C115" s="14"/>
      <c r="D115" s="15"/>
      <c r="E115" s="15"/>
      <c r="F115" s="580"/>
      <c r="G115" s="422"/>
      <c r="H115" s="17" t="str">
        <f t="shared" ref="H115:H143" si="22">IF(D115="","",F115*G115)</f>
        <v/>
      </c>
      <c r="I115" s="18"/>
      <c r="J115" s="61"/>
      <c r="K115" s="399"/>
      <c r="L115" s="420" t="str">
        <f t="shared" si="20"/>
        <v/>
      </c>
      <c r="M115" s="401" t="str">
        <f t="shared" si="21"/>
        <v/>
      </c>
    </row>
    <row r="116" spans="2:13" x14ac:dyDescent="0.25">
      <c r="B116" s="46"/>
      <c r="C116" s="14"/>
      <c r="D116" s="15"/>
      <c r="E116" s="15"/>
      <c r="F116" s="15"/>
      <c r="G116" s="422"/>
      <c r="H116" s="17" t="str">
        <f t="shared" si="22"/>
        <v/>
      </c>
      <c r="I116" s="18"/>
      <c r="J116" s="61"/>
      <c r="K116" s="402"/>
      <c r="L116" s="420" t="str">
        <f t="shared" si="20"/>
        <v/>
      </c>
      <c r="M116" s="401" t="str">
        <f t="shared" si="21"/>
        <v/>
      </c>
    </row>
    <row r="117" spans="2:13" x14ac:dyDescent="0.25">
      <c r="B117" s="46"/>
      <c r="C117" s="14"/>
      <c r="D117" s="15"/>
      <c r="E117" s="15"/>
      <c r="F117" s="15"/>
      <c r="G117" s="422"/>
      <c r="H117" s="17" t="str">
        <f t="shared" si="22"/>
        <v/>
      </c>
      <c r="I117" s="18"/>
      <c r="J117" s="61"/>
      <c r="K117" s="399"/>
      <c r="L117" s="420" t="str">
        <f t="shared" si="20"/>
        <v/>
      </c>
      <c r="M117" s="401" t="str">
        <f t="shared" si="21"/>
        <v/>
      </c>
    </row>
    <row r="118" spans="2:13" x14ac:dyDescent="0.25">
      <c r="B118" s="46"/>
      <c r="C118" s="14"/>
      <c r="D118" s="15"/>
      <c r="E118" s="15"/>
      <c r="F118" s="15"/>
      <c r="G118" s="422"/>
      <c r="H118" s="17" t="str">
        <f t="shared" si="22"/>
        <v/>
      </c>
      <c r="I118" s="18"/>
      <c r="J118" s="61"/>
      <c r="K118" s="402"/>
      <c r="L118" s="420" t="str">
        <f t="shared" si="20"/>
        <v/>
      </c>
      <c r="M118" s="401" t="str">
        <f t="shared" si="21"/>
        <v/>
      </c>
    </row>
    <row r="119" spans="2:13" x14ac:dyDescent="0.25">
      <c r="B119" s="46"/>
      <c r="C119" s="238"/>
      <c r="D119" s="394"/>
      <c r="E119" s="394"/>
      <c r="F119" s="580"/>
      <c r="G119" s="422"/>
      <c r="H119" s="17" t="str">
        <f t="shared" si="22"/>
        <v/>
      </c>
      <c r="I119" s="18"/>
      <c r="J119" s="61"/>
      <c r="K119" s="402"/>
      <c r="L119" s="420" t="str">
        <f t="shared" si="20"/>
        <v/>
      </c>
      <c r="M119" s="401" t="str">
        <f t="shared" si="21"/>
        <v/>
      </c>
    </row>
    <row r="120" spans="2:13" x14ac:dyDescent="0.25">
      <c r="B120" s="46"/>
      <c r="C120" s="14"/>
      <c r="D120" s="15"/>
      <c r="E120" s="15"/>
      <c r="F120" s="15"/>
      <c r="G120" s="422"/>
      <c r="H120" s="17" t="str">
        <f t="shared" si="22"/>
        <v/>
      </c>
      <c r="I120" s="18"/>
      <c r="J120" s="61"/>
      <c r="K120" s="399"/>
      <c r="L120" s="420" t="str">
        <f t="shared" si="20"/>
        <v/>
      </c>
      <c r="M120" s="401" t="str">
        <f t="shared" si="21"/>
        <v/>
      </c>
    </row>
    <row r="121" spans="2:13" x14ac:dyDescent="0.25">
      <c r="B121" s="46"/>
      <c r="C121" s="14"/>
      <c r="D121" s="15"/>
      <c r="E121" s="15"/>
      <c r="F121" s="580"/>
      <c r="G121" s="422"/>
      <c r="H121" s="17" t="str">
        <f t="shared" si="22"/>
        <v/>
      </c>
      <c r="I121" s="18"/>
      <c r="J121" s="61"/>
      <c r="K121" s="399"/>
      <c r="L121" s="420" t="str">
        <f t="shared" si="20"/>
        <v/>
      </c>
      <c r="M121" s="401" t="str">
        <f t="shared" si="21"/>
        <v/>
      </c>
    </row>
    <row r="122" spans="2:13" x14ac:dyDescent="0.25">
      <c r="B122" s="46"/>
      <c r="C122" s="14"/>
      <c r="D122" s="15"/>
      <c r="E122" s="15"/>
      <c r="F122" s="15"/>
      <c r="G122" s="422"/>
      <c r="H122" s="17" t="str">
        <f t="shared" si="22"/>
        <v/>
      </c>
      <c r="I122" s="18"/>
      <c r="J122" s="61"/>
      <c r="K122" s="399"/>
      <c r="L122" s="420" t="str">
        <f t="shared" si="20"/>
        <v/>
      </c>
      <c r="M122" s="401" t="str">
        <f t="shared" si="21"/>
        <v/>
      </c>
    </row>
    <row r="123" spans="2:13" x14ac:dyDescent="0.25">
      <c r="B123" s="237"/>
      <c r="C123" s="387"/>
      <c r="D123" s="390"/>
      <c r="E123" s="390"/>
      <c r="F123" s="580"/>
      <c r="G123" s="422"/>
      <c r="H123" s="17" t="str">
        <f t="shared" si="22"/>
        <v/>
      </c>
      <c r="I123" s="18"/>
      <c r="J123" s="61"/>
      <c r="K123" s="399"/>
      <c r="L123" s="420" t="str">
        <f t="shared" si="20"/>
        <v/>
      </c>
      <c r="M123" s="401" t="str">
        <f t="shared" si="21"/>
        <v/>
      </c>
    </row>
    <row r="124" spans="2:13" x14ac:dyDescent="0.25">
      <c r="B124" s="46"/>
      <c r="C124" s="14"/>
      <c r="D124" s="15"/>
      <c r="E124" s="15"/>
      <c r="F124" s="15"/>
      <c r="G124" s="422"/>
      <c r="H124" s="17" t="str">
        <f t="shared" si="22"/>
        <v/>
      </c>
      <c r="I124" s="18"/>
      <c r="J124" s="62"/>
      <c r="K124" s="62"/>
      <c r="L124" s="420" t="str">
        <f t="shared" si="20"/>
        <v/>
      </c>
      <c r="M124" s="401" t="str">
        <f t="shared" si="21"/>
        <v/>
      </c>
    </row>
    <row r="125" spans="2:13" x14ac:dyDescent="0.25">
      <c r="B125" s="237"/>
      <c r="C125" s="558"/>
      <c r="D125" s="587"/>
      <c r="E125" s="587"/>
      <c r="F125" s="15"/>
      <c r="G125" s="422"/>
      <c r="H125" s="17" t="str">
        <f t="shared" si="22"/>
        <v/>
      </c>
      <c r="I125" s="18"/>
      <c r="J125" s="61"/>
      <c r="K125" s="62"/>
      <c r="L125" s="420" t="str">
        <f t="shared" si="20"/>
        <v/>
      </c>
      <c r="M125" s="401" t="str">
        <f t="shared" si="21"/>
        <v/>
      </c>
    </row>
    <row r="126" spans="2:13" x14ac:dyDescent="0.25">
      <c r="B126" s="46"/>
      <c r="C126" s="622"/>
      <c r="D126" s="587"/>
      <c r="E126" s="587"/>
      <c r="F126" s="15"/>
      <c r="G126" s="422"/>
      <c r="H126" s="17" t="str">
        <f t="shared" si="22"/>
        <v/>
      </c>
      <c r="I126" s="18"/>
      <c r="J126" s="61"/>
      <c r="K126" s="62"/>
      <c r="L126" s="420" t="str">
        <f t="shared" si="20"/>
        <v/>
      </c>
      <c r="M126" s="401" t="str">
        <f t="shared" si="21"/>
        <v/>
      </c>
    </row>
    <row r="127" spans="2:13" x14ac:dyDescent="0.25">
      <c r="B127" s="46"/>
      <c r="C127" s="560"/>
      <c r="D127" s="390"/>
      <c r="E127" s="390"/>
      <c r="F127" s="580"/>
      <c r="G127" s="422"/>
      <c r="H127" s="17" t="str">
        <f t="shared" si="22"/>
        <v/>
      </c>
      <c r="I127" s="18"/>
      <c r="J127" s="61"/>
      <c r="K127" s="62"/>
      <c r="L127" s="420" t="str">
        <f t="shared" si="20"/>
        <v/>
      </c>
      <c r="M127" s="401" t="str">
        <f t="shared" si="21"/>
        <v/>
      </c>
    </row>
    <row r="128" spans="2:13" x14ac:dyDescent="0.25">
      <c r="B128" s="46"/>
      <c r="C128" s="503"/>
      <c r="D128" s="390"/>
      <c r="E128" s="390"/>
      <c r="F128" s="15"/>
      <c r="G128" s="422"/>
      <c r="H128" s="17" t="str">
        <f t="shared" si="22"/>
        <v/>
      </c>
      <c r="I128" s="18"/>
      <c r="J128" s="62"/>
      <c r="K128" s="62"/>
      <c r="L128" s="420" t="str">
        <f t="shared" si="20"/>
        <v/>
      </c>
      <c r="M128" s="401" t="str">
        <f t="shared" si="21"/>
        <v/>
      </c>
    </row>
    <row r="129" spans="2:13" x14ac:dyDescent="0.25">
      <c r="B129" s="46"/>
      <c r="C129" s="560"/>
      <c r="D129" s="390"/>
      <c r="E129" s="390"/>
      <c r="F129" s="15"/>
      <c r="G129" s="422"/>
      <c r="H129" s="17" t="str">
        <f t="shared" si="22"/>
        <v/>
      </c>
      <c r="I129" s="18"/>
      <c r="J129" s="62"/>
      <c r="K129" s="62"/>
      <c r="L129" s="420" t="str">
        <f t="shared" si="20"/>
        <v/>
      </c>
      <c r="M129" s="401" t="str">
        <f t="shared" si="21"/>
        <v/>
      </c>
    </row>
    <row r="130" spans="2:13" x14ac:dyDescent="0.25">
      <c r="B130" s="46"/>
      <c r="C130" s="14"/>
      <c r="D130" s="15"/>
      <c r="E130" s="15"/>
      <c r="F130" s="15"/>
      <c r="G130" s="422"/>
      <c r="H130" s="17" t="str">
        <f t="shared" si="22"/>
        <v/>
      </c>
      <c r="I130" s="18"/>
      <c r="J130" s="62"/>
      <c r="K130" s="62"/>
      <c r="L130" s="420" t="str">
        <f t="shared" si="20"/>
        <v/>
      </c>
      <c r="M130" s="401" t="str">
        <f t="shared" si="21"/>
        <v/>
      </c>
    </row>
    <row r="131" spans="2:13" x14ac:dyDescent="0.25">
      <c r="B131" s="46"/>
      <c r="C131" s="14"/>
      <c r="D131" s="15"/>
      <c r="E131" s="15"/>
      <c r="F131" s="15"/>
      <c r="G131" s="422"/>
      <c r="H131" s="17" t="str">
        <f t="shared" si="22"/>
        <v/>
      </c>
      <c r="I131" s="18"/>
      <c r="J131" s="62"/>
      <c r="K131" s="62"/>
      <c r="L131" s="420" t="str">
        <f t="shared" si="20"/>
        <v/>
      </c>
      <c r="M131" s="401" t="str">
        <f t="shared" si="21"/>
        <v/>
      </c>
    </row>
    <row r="132" spans="2:13" x14ac:dyDescent="0.25">
      <c r="B132" s="46"/>
      <c r="C132" s="14"/>
      <c r="D132" s="15"/>
      <c r="E132" s="15"/>
      <c r="F132" s="15"/>
      <c r="G132" s="422"/>
      <c r="H132" s="17" t="str">
        <f t="shared" si="22"/>
        <v/>
      </c>
      <c r="I132" s="18"/>
      <c r="J132" s="62"/>
      <c r="K132" s="62"/>
      <c r="L132" s="420" t="str">
        <f t="shared" si="20"/>
        <v/>
      </c>
      <c r="M132" s="401" t="str">
        <f t="shared" si="21"/>
        <v/>
      </c>
    </row>
    <row r="133" spans="2:13" x14ac:dyDescent="0.25">
      <c r="B133" s="46"/>
      <c r="C133" s="14"/>
      <c r="D133" s="15"/>
      <c r="E133" s="15"/>
      <c r="F133" s="15"/>
      <c r="G133" s="422"/>
      <c r="H133" s="17" t="str">
        <f t="shared" si="22"/>
        <v/>
      </c>
      <c r="I133" s="18"/>
      <c r="J133" s="62"/>
      <c r="K133" s="62"/>
      <c r="L133" s="420" t="str">
        <f t="shared" si="20"/>
        <v/>
      </c>
      <c r="M133" s="401" t="str">
        <f t="shared" si="21"/>
        <v/>
      </c>
    </row>
    <row r="134" spans="2:13" x14ac:dyDescent="0.25">
      <c r="B134" s="46"/>
      <c r="C134" s="14"/>
      <c r="D134" s="15"/>
      <c r="E134" s="15"/>
      <c r="F134" s="15"/>
      <c r="G134" s="422"/>
      <c r="H134" s="17" t="str">
        <f t="shared" si="22"/>
        <v/>
      </c>
      <c r="I134" s="18"/>
      <c r="J134" s="62"/>
      <c r="K134" s="62"/>
      <c r="L134" s="420" t="str">
        <f t="shared" si="20"/>
        <v/>
      </c>
      <c r="M134" s="401" t="str">
        <f t="shared" si="21"/>
        <v/>
      </c>
    </row>
    <row r="135" spans="2:13" x14ac:dyDescent="0.25">
      <c r="B135" s="46"/>
      <c r="C135" s="14"/>
      <c r="D135" s="15"/>
      <c r="E135" s="15"/>
      <c r="F135" s="15"/>
      <c r="G135" s="422"/>
      <c r="H135" s="17" t="str">
        <f t="shared" si="22"/>
        <v/>
      </c>
      <c r="I135" s="18"/>
      <c r="J135" s="62"/>
      <c r="K135" s="62"/>
      <c r="L135" s="420" t="str">
        <f t="shared" si="20"/>
        <v/>
      </c>
      <c r="M135" s="401" t="str">
        <f t="shared" si="21"/>
        <v/>
      </c>
    </row>
    <row r="136" spans="2:13" x14ac:dyDescent="0.25">
      <c r="B136" s="46"/>
      <c r="C136" s="14"/>
      <c r="D136" s="15"/>
      <c r="E136" s="15"/>
      <c r="F136" s="15"/>
      <c r="G136" s="422"/>
      <c r="H136" s="17" t="str">
        <f t="shared" si="22"/>
        <v/>
      </c>
      <c r="I136" s="18"/>
      <c r="J136" s="62"/>
      <c r="K136" s="62"/>
      <c r="L136" s="420" t="str">
        <f t="shared" si="20"/>
        <v/>
      </c>
      <c r="M136" s="401" t="str">
        <f t="shared" si="21"/>
        <v/>
      </c>
    </row>
    <row r="137" spans="2:13" x14ac:dyDescent="0.25">
      <c r="B137" s="46"/>
      <c r="C137" s="14"/>
      <c r="D137" s="15"/>
      <c r="E137" s="15"/>
      <c r="F137" s="15"/>
      <c r="G137" s="422"/>
      <c r="H137" s="17" t="str">
        <f t="shared" si="22"/>
        <v/>
      </c>
      <c r="I137" s="18"/>
      <c r="J137" s="62"/>
      <c r="K137" s="62"/>
      <c r="L137" s="420" t="str">
        <f t="shared" si="20"/>
        <v/>
      </c>
      <c r="M137" s="401" t="str">
        <f t="shared" si="21"/>
        <v/>
      </c>
    </row>
    <row r="138" spans="2:13" x14ac:dyDescent="0.25">
      <c r="B138" s="46"/>
      <c r="C138" s="14"/>
      <c r="D138" s="15"/>
      <c r="E138" s="15"/>
      <c r="F138" s="15"/>
      <c r="G138" s="422"/>
      <c r="H138" s="17" t="str">
        <f t="shared" si="22"/>
        <v/>
      </c>
      <c r="I138" s="18"/>
      <c r="J138" s="62"/>
      <c r="K138" s="62"/>
      <c r="L138" s="420" t="str">
        <f t="shared" si="20"/>
        <v/>
      </c>
      <c r="M138" s="401" t="str">
        <f t="shared" si="21"/>
        <v/>
      </c>
    </row>
    <row r="139" spans="2:13" x14ac:dyDescent="0.25">
      <c r="B139" s="46"/>
      <c r="C139" s="14"/>
      <c r="D139" s="15"/>
      <c r="E139" s="15"/>
      <c r="F139" s="15"/>
      <c r="G139" s="422"/>
      <c r="H139" s="17" t="str">
        <f t="shared" si="22"/>
        <v/>
      </c>
      <c r="I139" s="18"/>
      <c r="J139" s="62"/>
      <c r="K139" s="62"/>
      <c r="L139" s="420" t="str">
        <f t="shared" si="20"/>
        <v/>
      </c>
      <c r="M139" s="401" t="str">
        <f t="shared" si="21"/>
        <v/>
      </c>
    </row>
    <row r="140" spans="2:13" x14ac:dyDescent="0.25">
      <c r="B140" s="46"/>
      <c r="C140" s="14"/>
      <c r="D140" s="15"/>
      <c r="E140" s="15"/>
      <c r="F140" s="15"/>
      <c r="G140" s="422"/>
      <c r="H140" s="17" t="str">
        <f t="shared" si="22"/>
        <v/>
      </c>
      <c r="I140" s="18"/>
      <c r="J140" s="62"/>
      <c r="K140" s="62"/>
      <c r="L140" s="420" t="str">
        <f t="shared" si="20"/>
        <v/>
      </c>
      <c r="M140" s="401" t="str">
        <f t="shared" si="21"/>
        <v/>
      </c>
    </row>
    <row r="141" spans="2:13" x14ac:dyDescent="0.25">
      <c r="B141" s="46"/>
      <c r="C141" s="14"/>
      <c r="D141" s="15"/>
      <c r="E141" s="15"/>
      <c r="F141" s="15"/>
      <c r="G141" s="422"/>
      <c r="H141" s="17" t="str">
        <f t="shared" si="22"/>
        <v/>
      </c>
      <c r="I141" s="18"/>
      <c r="J141" s="62"/>
      <c r="K141" s="62"/>
      <c r="L141" s="420" t="str">
        <f t="shared" si="20"/>
        <v/>
      </c>
      <c r="M141" s="401" t="str">
        <f t="shared" si="21"/>
        <v/>
      </c>
    </row>
    <row r="142" spans="2:13" x14ac:dyDescent="0.25">
      <c r="B142" s="46"/>
      <c r="C142" s="14"/>
      <c r="D142" s="15"/>
      <c r="E142" s="15"/>
      <c r="F142" s="15"/>
      <c r="G142" s="422"/>
      <c r="H142" s="17" t="str">
        <f t="shared" si="22"/>
        <v/>
      </c>
      <c r="I142" s="18"/>
      <c r="J142" s="61"/>
      <c r="K142" s="695"/>
      <c r="L142" s="420" t="str">
        <f t="shared" si="20"/>
        <v/>
      </c>
      <c r="M142" s="401" t="str">
        <f t="shared" si="21"/>
        <v/>
      </c>
    </row>
    <row r="143" spans="2:13" x14ac:dyDescent="0.25">
      <c r="B143" s="46"/>
      <c r="C143" s="14"/>
      <c r="D143" s="15"/>
      <c r="E143" s="15"/>
      <c r="F143" s="15"/>
      <c r="G143" s="422"/>
      <c r="H143" s="17" t="str">
        <f t="shared" si="22"/>
        <v/>
      </c>
      <c r="I143" s="18"/>
      <c r="J143" s="61"/>
      <c r="K143" s="696"/>
      <c r="L143" s="420" t="str">
        <f t="shared" si="20"/>
        <v/>
      </c>
      <c r="M143" s="401" t="str">
        <f t="shared" si="21"/>
        <v/>
      </c>
    </row>
    <row r="144" spans="2:13" s="28" customFormat="1" ht="25" customHeight="1" x14ac:dyDescent="0.25">
      <c r="B144" s="84" t="str">
        <f>$B$12</f>
        <v>C5.2</v>
      </c>
      <c r="C144" s="498" t="str">
        <f>"TOTAL CARRIED FORWARD"&amp;IF(H144=H$1," TO SUMMARY (Page C"&amp;Page_A&amp;")","")</f>
        <v>TOTAL CARRIED FORWARD TO SUMMARY (Page C48)</v>
      </c>
      <c r="D144" s="31"/>
      <c r="E144" s="31"/>
      <c r="F144" s="32"/>
      <c r="G144" s="31"/>
      <c r="H144" s="33">
        <f>SUM(H78:H143)</f>
        <v>0</v>
      </c>
      <c r="I144" s="34"/>
      <c r="J144" s="408"/>
      <c r="K144" s="406"/>
      <c r="L144" s="418">
        <f>SUM(L81:L143)</f>
        <v>7835</v>
      </c>
      <c r="M144" s="407" t="str">
        <f t="shared" si="21"/>
        <v/>
      </c>
    </row>
  </sheetData>
  <mergeCells count="11">
    <mergeCell ref="B76:G76"/>
    <mergeCell ref="H76:H79"/>
    <mergeCell ref="B77:G79"/>
    <mergeCell ref="F3:H3"/>
    <mergeCell ref="B7:G9"/>
    <mergeCell ref="H6:H9"/>
    <mergeCell ref="B6:G6"/>
    <mergeCell ref="B73:D73"/>
    <mergeCell ref="F73:H75"/>
    <mergeCell ref="B74:D74"/>
    <mergeCell ref="B75:D75"/>
  </mergeCells>
  <phoneticPr fontId="15" type="noConversion"/>
  <conditionalFormatting sqref="G11:H72 G81:H144">
    <cfRule type="expression" dxfId="73"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70C0"/>
  </sheetPr>
  <dimension ref="A1:N77"/>
  <sheetViews>
    <sheetView view="pageBreakPreview" zoomScale="90" zoomScaleNormal="125" zoomScaleSheetLayoutView="90" zoomScalePageLayoutView="125" workbookViewId="0">
      <selection activeCell="G16" sqref="G16"/>
    </sheetView>
  </sheetViews>
  <sheetFormatPr defaultColWidth="6.81640625" defaultRowHeight="12.5" x14ac:dyDescent="0.25"/>
  <cols>
    <col min="1" max="1" width="0.81640625" style="1" customWidth="1"/>
    <col min="2" max="2" width="11.7265625" style="35" customWidth="1"/>
    <col min="3" max="3" width="46.179687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1</v>
      </c>
      <c r="H1" s="247">
        <f>MAX(H2:H211)</f>
        <v>0</v>
      </c>
      <c r="I1" s="247">
        <f>MAX(I2:I211)</f>
        <v>0</v>
      </c>
      <c r="J1" s="248"/>
      <c r="K1" s="249"/>
      <c r="L1" s="247">
        <f>MAX(L2:L211)</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1" t="str">
        <f>"CHAPTER "&amp;B12</f>
        <v>CHAPTER C8.1</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14"/>
      <c r="D11" s="15"/>
      <c r="E11" s="15"/>
      <c r="F11" s="15"/>
      <c r="G11" s="411"/>
      <c r="H11" s="17" t="str">
        <f t="shared" ref="H11:H42" si="0">IF(D11="","",F11*G11)</f>
        <v/>
      </c>
      <c r="I11" s="18"/>
      <c r="J11" s="702"/>
      <c r="K11" s="619"/>
      <c r="L11" s="420" t="str">
        <f t="shared" ref="L11" si="1">IF(J11="","",F11*K11)</f>
        <v/>
      </c>
      <c r="M11" s="401" t="str">
        <f t="shared" ref="M11" si="2">IF(J11="","",IF(SUM(H11)=0,"",L11/H11))</f>
        <v/>
      </c>
    </row>
    <row r="12" spans="1:14" ht="13" x14ac:dyDescent="0.25">
      <c r="B12" s="146" t="s">
        <v>255</v>
      </c>
      <c r="C12" s="19" t="s">
        <v>256</v>
      </c>
      <c r="D12" s="15"/>
      <c r="E12" s="15"/>
      <c r="F12" s="15"/>
      <c r="G12" s="411"/>
      <c r="H12" s="17" t="str">
        <f t="shared" si="0"/>
        <v/>
      </c>
      <c r="I12" s="18"/>
      <c r="J12" s="61"/>
      <c r="K12" s="399"/>
      <c r="L12" s="420" t="str">
        <f t="shared" ref="L12:L75" si="3">IF(J12="","",F12*K12)</f>
        <v/>
      </c>
      <c r="M12" s="401" t="str">
        <f t="shared" ref="M12:M75" si="4">IF(J12="","",IF(SUM(H12)=0,"",L12/H12))</f>
        <v/>
      </c>
    </row>
    <row r="13" spans="1:14" x14ac:dyDescent="0.25">
      <c r="B13" s="58"/>
      <c r="C13" s="14"/>
      <c r="D13" s="15"/>
      <c r="E13" s="15"/>
      <c r="F13" s="15"/>
      <c r="G13" s="411"/>
      <c r="H13" s="17" t="str">
        <f t="shared" si="0"/>
        <v/>
      </c>
      <c r="I13" s="18"/>
      <c r="J13" s="61"/>
      <c r="K13" s="399"/>
      <c r="L13" s="420" t="str">
        <f t="shared" si="3"/>
        <v/>
      </c>
      <c r="M13" s="401" t="str">
        <f t="shared" si="4"/>
        <v/>
      </c>
    </row>
    <row r="14" spans="1:14" ht="13" x14ac:dyDescent="0.25">
      <c r="B14" s="146" t="s">
        <v>257</v>
      </c>
      <c r="C14" s="19" t="s">
        <v>258</v>
      </c>
      <c r="D14" s="15"/>
      <c r="E14" s="15"/>
      <c r="F14" s="15"/>
      <c r="G14" s="411"/>
      <c r="H14" s="17" t="str">
        <f t="shared" si="0"/>
        <v/>
      </c>
      <c r="I14" s="18"/>
      <c r="J14" s="61"/>
      <c r="K14" s="399"/>
      <c r="L14" s="420" t="str">
        <f t="shared" si="3"/>
        <v/>
      </c>
      <c r="M14" s="401" t="str">
        <f t="shared" si="4"/>
        <v/>
      </c>
    </row>
    <row r="15" spans="1:14" x14ac:dyDescent="0.25">
      <c r="B15" s="58"/>
      <c r="C15" s="14"/>
      <c r="D15" s="15"/>
      <c r="E15" s="15"/>
      <c r="F15" s="15"/>
      <c r="G15" s="411"/>
      <c r="H15" s="17" t="str">
        <f t="shared" si="0"/>
        <v/>
      </c>
      <c r="I15" s="18"/>
      <c r="J15" s="61"/>
      <c r="K15" s="399"/>
      <c r="L15" s="420" t="str">
        <f t="shared" si="3"/>
        <v/>
      </c>
      <c r="M15" s="401" t="str">
        <f t="shared" si="4"/>
        <v/>
      </c>
    </row>
    <row r="16" spans="1:14" x14ac:dyDescent="0.25">
      <c r="B16" s="58" t="s">
        <v>259</v>
      </c>
      <c r="C16" s="14" t="s">
        <v>260</v>
      </c>
      <c r="D16" s="15" t="s">
        <v>454</v>
      </c>
      <c r="E16" s="15"/>
      <c r="F16" s="24">
        <f>Quantities!$S$825</f>
        <v>15000</v>
      </c>
      <c r="G16" s="422"/>
      <c r="H16" s="17">
        <f t="shared" si="0"/>
        <v>0</v>
      </c>
      <c r="I16" s="57"/>
      <c r="J16" s="61"/>
      <c r="K16" s="400"/>
      <c r="L16" s="420" t="str">
        <f t="shared" si="3"/>
        <v/>
      </c>
      <c r="M16" s="401" t="str">
        <f t="shared" si="4"/>
        <v/>
      </c>
    </row>
    <row r="17" spans="2:13" x14ac:dyDescent="0.25">
      <c r="B17" s="58"/>
      <c r="C17" s="14"/>
      <c r="D17" s="15"/>
      <c r="E17" s="15"/>
      <c r="F17" s="24"/>
      <c r="G17" s="422"/>
      <c r="H17" s="17" t="str">
        <f t="shared" si="0"/>
        <v/>
      </c>
      <c r="I17" s="57"/>
      <c r="J17" s="61"/>
      <c r="K17" s="399"/>
      <c r="L17" s="420" t="str">
        <f t="shared" si="3"/>
        <v/>
      </c>
      <c r="M17" s="401" t="str">
        <f t="shared" si="4"/>
        <v/>
      </c>
    </row>
    <row r="18" spans="2:13" x14ac:dyDescent="0.25">
      <c r="B18" s="58" t="s">
        <v>1911</v>
      </c>
      <c r="C18" s="14" t="s">
        <v>1912</v>
      </c>
      <c r="D18" s="15" t="s">
        <v>454</v>
      </c>
      <c r="E18" s="15"/>
      <c r="F18" s="24">
        <v>5000</v>
      </c>
      <c r="G18" s="422"/>
      <c r="H18" s="17">
        <f t="shared" si="0"/>
        <v>0</v>
      </c>
      <c r="I18" s="57"/>
      <c r="J18" s="61"/>
      <c r="K18" s="399"/>
      <c r="L18" s="420" t="str">
        <f t="shared" si="3"/>
        <v/>
      </c>
      <c r="M18" s="401" t="str">
        <f t="shared" si="4"/>
        <v/>
      </c>
    </row>
    <row r="19" spans="2:13" x14ac:dyDescent="0.25">
      <c r="B19" s="58"/>
      <c r="C19" s="14"/>
      <c r="D19" s="15"/>
      <c r="E19" s="15"/>
      <c r="F19" s="24"/>
      <c r="G19" s="703"/>
      <c r="H19" s="17" t="str">
        <f t="shared" si="0"/>
        <v/>
      </c>
      <c r="I19" s="57"/>
      <c r="J19" s="61"/>
      <c r="K19" s="399"/>
      <c r="L19" s="420" t="str">
        <f t="shared" si="3"/>
        <v/>
      </c>
      <c r="M19" s="401" t="str">
        <f t="shared" si="4"/>
        <v/>
      </c>
    </row>
    <row r="20" spans="2:13" ht="13" x14ac:dyDescent="0.25">
      <c r="B20" s="146" t="s">
        <v>261</v>
      </c>
      <c r="C20" s="19" t="s">
        <v>262</v>
      </c>
      <c r="D20" s="15"/>
      <c r="E20" s="15"/>
      <c r="F20" s="24"/>
      <c r="G20" s="411"/>
      <c r="H20" s="17" t="str">
        <f t="shared" si="0"/>
        <v/>
      </c>
      <c r="I20" s="57"/>
      <c r="J20" s="61"/>
      <c r="K20" s="402"/>
      <c r="L20" s="420" t="str">
        <f t="shared" si="3"/>
        <v/>
      </c>
      <c r="M20" s="401" t="str">
        <f t="shared" si="4"/>
        <v/>
      </c>
    </row>
    <row r="21" spans="2:13" x14ac:dyDescent="0.25">
      <c r="B21" s="58"/>
      <c r="C21" s="14"/>
      <c r="D21" s="15"/>
      <c r="E21" s="15"/>
      <c r="F21" s="24"/>
      <c r="G21" s="421"/>
      <c r="H21" s="17" t="str">
        <f t="shared" si="0"/>
        <v/>
      </c>
      <c r="I21" s="57"/>
      <c r="J21" s="61"/>
      <c r="K21" s="402"/>
      <c r="L21" s="420" t="str">
        <f t="shared" si="3"/>
        <v/>
      </c>
      <c r="M21" s="401" t="str">
        <f t="shared" si="4"/>
        <v/>
      </c>
    </row>
    <row r="22" spans="2:13" x14ac:dyDescent="0.25">
      <c r="B22" s="58" t="s">
        <v>263</v>
      </c>
      <c r="C22" s="65" t="s">
        <v>264</v>
      </c>
      <c r="D22" s="15" t="s">
        <v>577</v>
      </c>
      <c r="E22" s="15"/>
      <c r="F22" s="24">
        <v>500</v>
      </c>
      <c r="G22" s="421"/>
      <c r="H22" s="17">
        <f t="shared" si="0"/>
        <v>0</v>
      </c>
      <c r="I22" s="57"/>
      <c r="J22" s="61"/>
      <c r="K22" s="402"/>
      <c r="L22" s="420" t="str">
        <f t="shared" si="3"/>
        <v/>
      </c>
      <c r="M22" s="401" t="str">
        <f t="shared" si="4"/>
        <v/>
      </c>
    </row>
    <row r="23" spans="2:13" x14ac:dyDescent="0.25">
      <c r="B23" s="58"/>
      <c r="C23" s="65"/>
      <c r="D23" s="15"/>
      <c r="E23" s="15"/>
      <c r="F23" s="24"/>
      <c r="G23" s="421"/>
      <c r="H23" s="17" t="str">
        <f t="shared" si="0"/>
        <v/>
      </c>
      <c r="I23" s="57"/>
      <c r="J23" s="61"/>
      <c r="K23" s="402"/>
      <c r="L23" s="420" t="str">
        <f t="shared" si="3"/>
        <v/>
      </c>
      <c r="M23" s="401" t="str">
        <f t="shared" si="4"/>
        <v/>
      </c>
    </row>
    <row r="24" spans="2:13" ht="26" x14ac:dyDescent="0.25">
      <c r="B24" s="146" t="s">
        <v>265</v>
      </c>
      <c r="C24" s="672" t="s">
        <v>266</v>
      </c>
      <c r="D24" s="15" t="s">
        <v>454</v>
      </c>
      <c r="E24" s="15"/>
      <c r="F24" s="24">
        <v>500</v>
      </c>
      <c r="G24" s="422"/>
      <c r="H24" s="17">
        <f t="shared" si="0"/>
        <v>0</v>
      </c>
      <c r="I24" s="18"/>
      <c r="J24" s="61" t="s">
        <v>1721</v>
      </c>
      <c r="K24" s="402">
        <f>ROUND(12%*G24,2)</f>
        <v>0</v>
      </c>
      <c r="L24" s="420">
        <f t="shared" si="3"/>
        <v>0</v>
      </c>
      <c r="M24" s="401" t="str">
        <f t="shared" si="4"/>
        <v/>
      </c>
    </row>
    <row r="25" spans="2:13" x14ac:dyDescent="0.25">
      <c r="B25" s="58"/>
      <c r="C25" s="14"/>
      <c r="D25" s="15"/>
      <c r="E25" s="15"/>
      <c r="F25" s="24"/>
      <c r="G25" s="421"/>
      <c r="H25" s="17" t="str">
        <f t="shared" si="0"/>
        <v/>
      </c>
      <c r="I25" s="18"/>
      <c r="J25" s="61"/>
      <c r="K25" s="402"/>
      <c r="L25" s="420" t="str">
        <f t="shared" si="3"/>
        <v/>
      </c>
      <c r="M25" s="401" t="str">
        <f t="shared" si="4"/>
        <v/>
      </c>
    </row>
    <row r="26" spans="2:13" ht="13" x14ac:dyDescent="0.25">
      <c r="B26" s="146"/>
      <c r="C26" s="19"/>
      <c r="D26" s="15"/>
      <c r="E26" s="15"/>
      <c r="F26" s="24"/>
      <c r="G26" s="423"/>
      <c r="H26" s="17" t="str">
        <f t="shared" si="0"/>
        <v/>
      </c>
      <c r="I26" s="60"/>
      <c r="J26" s="61"/>
      <c r="K26" s="402"/>
      <c r="L26" s="420" t="str">
        <f t="shared" si="3"/>
        <v/>
      </c>
      <c r="M26" s="401" t="str">
        <f t="shared" si="4"/>
        <v/>
      </c>
    </row>
    <row r="27" spans="2:13" x14ac:dyDescent="0.25">
      <c r="B27" s="58"/>
      <c r="C27" s="14"/>
      <c r="D27" s="15"/>
      <c r="E27" s="15"/>
      <c r="F27" s="24"/>
      <c r="G27" s="421"/>
      <c r="H27" s="17" t="str">
        <f t="shared" si="0"/>
        <v/>
      </c>
      <c r="I27" s="63"/>
      <c r="J27" s="61"/>
      <c r="K27" s="402"/>
      <c r="L27" s="420" t="str">
        <f t="shared" si="3"/>
        <v/>
      </c>
      <c r="M27" s="401" t="str">
        <f t="shared" si="4"/>
        <v/>
      </c>
    </row>
    <row r="28" spans="2:13" x14ac:dyDescent="0.25">
      <c r="B28" s="58"/>
      <c r="C28" s="14"/>
      <c r="D28" s="15"/>
      <c r="E28" s="15"/>
      <c r="F28" s="24"/>
      <c r="G28" s="421"/>
      <c r="H28" s="17" t="str">
        <f t="shared" si="0"/>
        <v/>
      </c>
      <c r="I28" s="63"/>
      <c r="J28" s="61"/>
      <c r="K28" s="400"/>
      <c r="L28" s="420" t="str">
        <f t="shared" si="3"/>
        <v/>
      </c>
      <c r="M28" s="401" t="str">
        <f t="shared" si="4"/>
        <v/>
      </c>
    </row>
    <row r="29" spans="2:13" x14ac:dyDescent="0.25">
      <c r="B29" s="58"/>
      <c r="C29" s="14"/>
      <c r="D29" s="15"/>
      <c r="E29" s="15"/>
      <c r="F29" s="24"/>
      <c r="G29" s="421"/>
      <c r="H29" s="17" t="str">
        <f t="shared" si="0"/>
        <v/>
      </c>
      <c r="I29" s="63"/>
      <c r="J29" s="61"/>
      <c r="K29" s="399"/>
      <c r="L29" s="420" t="str">
        <f t="shared" si="3"/>
        <v/>
      </c>
      <c r="M29" s="401" t="str">
        <f t="shared" si="4"/>
        <v/>
      </c>
    </row>
    <row r="30" spans="2:13" x14ac:dyDescent="0.25">
      <c r="B30" s="58"/>
      <c r="C30" s="14"/>
      <c r="D30" s="15"/>
      <c r="E30" s="15"/>
      <c r="F30" s="24"/>
      <c r="G30" s="422"/>
      <c r="H30" s="17" t="str">
        <f t="shared" si="0"/>
        <v/>
      </c>
      <c r="I30" s="63"/>
      <c r="J30" s="61"/>
      <c r="K30" s="399"/>
      <c r="L30" s="420" t="str">
        <f t="shared" si="3"/>
        <v/>
      </c>
      <c r="M30" s="401" t="str">
        <f t="shared" si="4"/>
        <v/>
      </c>
    </row>
    <row r="31" spans="2:13" x14ac:dyDescent="0.25">
      <c r="B31" s="58"/>
      <c r="C31" s="14"/>
      <c r="D31" s="15"/>
      <c r="E31" s="15"/>
      <c r="F31" s="24"/>
      <c r="G31" s="421"/>
      <c r="H31" s="17" t="str">
        <f t="shared" si="0"/>
        <v/>
      </c>
      <c r="I31" s="63"/>
      <c r="J31" s="61"/>
      <c r="K31" s="399"/>
      <c r="L31" s="420" t="str">
        <f t="shared" si="3"/>
        <v/>
      </c>
      <c r="M31" s="401" t="str">
        <f t="shared" si="4"/>
        <v/>
      </c>
    </row>
    <row r="32" spans="2:13" x14ac:dyDescent="0.25">
      <c r="B32" s="58"/>
      <c r="C32" s="14"/>
      <c r="D32" s="15"/>
      <c r="E32" s="15"/>
      <c r="F32" s="24"/>
      <c r="G32" s="423"/>
      <c r="H32" s="17" t="str">
        <f t="shared" si="0"/>
        <v/>
      </c>
      <c r="I32" s="63"/>
      <c r="J32" s="61"/>
      <c r="K32" s="399"/>
      <c r="L32" s="420" t="str">
        <f t="shared" si="3"/>
        <v/>
      </c>
      <c r="M32" s="401" t="str">
        <f t="shared" si="4"/>
        <v/>
      </c>
    </row>
    <row r="33" spans="2:13" x14ac:dyDescent="0.25">
      <c r="B33" s="58"/>
      <c r="C33" s="14"/>
      <c r="D33" s="15"/>
      <c r="E33" s="15"/>
      <c r="F33" s="24"/>
      <c r="G33" s="421"/>
      <c r="H33" s="17" t="str">
        <f t="shared" si="0"/>
        <v/>
      </c>
      <c r="I33" s="63"/>
      <c r="J33" s="61"/>
      <c r="K33" s="399"/>
      <c r="L33" s="420" t="str">
        <f t="shared" si="3"/>
        <v/>
      </c>
      <c r="M33" s="401" t="str">
        <f t="shared" si="4"/>
        <v/>
      </c>
    </row>
    <row r="34" spans="2:13" x14ac:dyDescent="0.25">
      <c r="B34" s="58"/>
      <c r="C34" s="14"/>
      <c r="D34" s="15"/>
      <c r="E34" s="15"/>
      <c r="F34" s="24"/>
      <c r="G34" s="411"/>
      <c r="H34" s="17" t="str">
        <f t="shared" si="0"/>
        <v/>
      </c>
      <c r="I34" s="18"/>
      <c r="J34" s="61"/>
      <c r="K34" s="400"/>
      <c r="L34" s="420" t="str">
        <f t="shared" si="3"/>
        <v/>
      </c>
      <c r="M34" s="401" t="str">
        <f t="shared" si="4"/>
        <v/>
      </c>
    </row>
    <row r="35" spans="2:13" x14ac:dyDescent="0.25">
      <c r="B35" s="58"/>
      <c r="C35" s="14"/>
      <c r="D35" s="15"/>
      <c r="E35" s="15"/>
      <c r="F35" s="24"/>
      <c r="G35" s="411"/>
      <c r="H35" s="17" t="str">
        <f t="shared" si="0"/>
        <v/>
      </c>
      <c r="I35" s="18"/>
      <c r="J35" s="61"/>
      <c r="K35" s="399"/>
      <c r="L35" s="420" t="str">
        <f t="shared" si="3"/>
        <v/>
      </c>
      <c r="M35" s="401" t="str">
        <f t="shared" si="4"/>
        <v/>
      </c>
    </row>
    <row r="36" spans="2:13" x14ac:dyDescent="0.25">
      <c r="B36" s="58"/>
      <c r="C36" s="14"/>
      <c r="D36" s="15"/>
      <c r="E36" s="15"/>
      <c r="F36" s="24"/>
      <c r="G36" s="422"/>
      <c r="H36" s="17" t="str">
        <f t="shared" si="0"/>
        <v/>
      </c>
      <c r="I36" s="57"/>
      <c r="J36" s="61"/>
      <c r="K36" s="399"/>
      <c r="L36" s="420" t="str">
        <f t="shared" si="3"/>
        <v/>
      </c>
      <c r="M36" s="401" t="str">
        <f t="shared" si="4"/>
        <v/>
      </c>
    </row>
    <row r="37" spans="2:13" x14ac:dyDescent="0.25">
      <c r="B37" s="58"/>
      <c r="C37" s="14"/>
      <c r="D37" s="15"/>
      <c r="E37" s="15"/>
      <c r="F37" s="24"/>
      <c r="G37" s="411"/>
      <c r="H37" s="17" t="str">
        <f t="shared" si="0"/>
        <v/>
      </c>
      <c r="I37" s="18"/>
      <c r="J37" s="61"/>
      <c r="K37" s="399"/>
      <c r="L37" s="420" t="str">
        <f t="shared" si="3"/>
        <v/>
      </c>
      <c r="M37" s="401" t="str">
        <f t="shared" si="4"/>
        <v/>
      </c>
    </row>
    <row r="38" spans="2:13" s="36" customFormat="1" x14ac:dyDescent="0.25">
      <c r="B38" s="56"/>
      <c r="C38" s="14"/>
      <c r="D38" s="15"/>
      <c r="E38" s="15"/>
      <c r="F38" s="24"/>
      <c r="G38" s="411"/>
      <c r="H38" s="17" t="str">
        <f t="shared" si="0"/>
        <v/>
      </c>
      <c r="I38" s="18"/>
      <c r="J38" s="61"/>
      <c r="K38" s="399"/>
      <c r="L38" s="420" t="str">
        <f t="shared" si="3"/>
        <v/>
      </c>
      <c r="M38" s="401" t="str">
        <f t="shared" si="4"/>
        <v/>
      </c>
    </row>
    <row r="39" spans="2:13" x14ac:dyDescent="0.25">
      <c r="B39" s="56"/>
      <c r="C39" s="14"/>
      <c r="D39" s="15"/>
      <c r="E39" s="15"/>
      <c r="F39" s="24"/>
      <c r="G39" s="422"/>
      <c r="H39" s="17" t="str">
        <f t="shared" si="0"/>
        <v/>
      </c>
      <c r="I39" s="57"/>
      <c r="J39" s="61"/>
      <c r="K39" s="399"/>
      <c r="L39" s="420" t="str">
        <f t="shared" si="3"/>
        <v/>
      </c>
      <c r="M39" s="401" t="str">
        <f t="shared" si="4"/>
        <v/>
      </c>
    </row>
    <row r="40" spans="2:13" x14ac:dyDescent="0.25">
      <c r="B40" s="56"/>
      <c r="C40" s="14"/>
      <c r="D40" s="15"/>
      <c r="E40" s="15"/>
      <c r="F40" s="24"/>
      <c r="G40" s="422"/>
      <c r="H40" s="17" t="str">
        <f t="shared" si="0"/>
        <v/>
      </c>
      <c r="I40" s="57"/>
      <c r="J40" s="61"/>
      <c r="K40" s="399"/>
      <c r="L40" s="420" t="str">
        <f t="shared" si="3"/>
        <v/>
      </c>
      <c r="M40" s="401" t="str">
        <f t="shared" si="4"/>
        <v/>
      </c>
    </row>
    <row r="41" spans="2:13" x14ac:dyDescent="0.25">
      <c r="B41" s="56"/>
      <c r="C41" s="14"/>
      <c r="D41" s="15"/>
      <c r="E41" s="15"/>
      <c r="F41" s="24"/>
      <c r="G41" s="411"/>
      <c r="H41" s="17" t="str">
        <f t="shared" si="0"/>
        <v/>
      </c>
      <c r="I41" s="18"/>
      <c r="J41" s="61"/>
      <c r="K41" s="399"/>
      <c r="L41" s="420" t="str">
        <f t="shared" si="3"/>
        <v/>
      </c>
      <c r="M41" s="401" t="str">
        <f t="shared" si="4"/>
        <v/>
      </c>
    </row>
    <row r="42" spans="2:13" x14ac:dyDescent="0.25">
      <c r="B42" s="56"/>
      <c r="C42" s="14"/>
      <c r="D42" s="15"/>
      <c r="E42" s="15"/>
      <c r="F42" s="24"/>
      <c r="G42" s="411"/>
      <c r="H42" s="17" t="str">
        <f t="shared" si="0"/>
        <v/>
      </c>
      <c r="I42" s="18"/>
      <c r="J42" s="61"/>
      <c r="K42" s="399"/>
      <c r="L42" s="420" t="str">
        <f t="shared" si="3"/>
        <v/>
      </c>
      <c r="M42" s="401" t="str">
        <f t="shared" si="4"/>
        <v/>
      </c>
    </row>
    <row r="43" spans="2:13" x14ac:dyDescent="0.25">
      <c r="B43" s="56"/>
      <c r="C43" s="14"/>
      <c r="D43" s="15"/>
      <c r="E43" s="15"/>
      <c r="F43" s="24"/>
      <c r="G43" s="423"/>
      <c r="H43" s="17" t="str">
        <f t="shared" ref="H43:H74" si="5">IF(D43="","",F43*G43)</f>
        <v/>
      </c>
      <c r="I43" s="18"/>
      <c r="J43" s="61"/>
      <c r="K43" s="399"/>
      <c r="L43" s="420" t="str">
        <f t="shared" si="3"/>
        <v/>
      </c>
      <c r="M43" s="401" t="str">
        <f t="shared" si="4"/>
        <v/>
      </c>
    </row>
    <row r="44" spans="2:13" x14ac:dyDescent="0.25">
      <c r="B44" s="56"/>
      <c r="C44" s="14"/>
      <c r="D44" s="15"/>
      <c r="E44" s="15"/>
      <c r="F44" s="24"/>
      <c r="G44" s="423"/>
      <c r="H44" s="17" t="str">
        <f t="shared" si="5"/>
        <v/>
      </c>
      <c r="I44" s="18"/>
      <c r="J44" s="61"/>
      <c r="K44" s="399"/>
      <c r="L44" s="420" t="str">
        <f t="shared" si="3"/>
        <v/>
      </c>
      <c r="M44" s="401" t="str">
        <f t="shared" si="4"/>
        <v/>
      </c>
    </row>
    <row r="45" spans="2:13" x14ac:dyDescent="0.25">
      <c r="B45" s="56"/>
      <c r="C45" s="14"/>
      <c r="D45" s="15"/>
      <c r="E45" s="15"/>
      <c r="F45" s="15"/>
      <c r="G45" s="411"/>
      <c r="H45" s="17" t="str">
        <f t="shared" si="5"/>
        <v/>
      </c>
      <c r="I45" s="18"/>
      <c r="J45" s="61"/>
      <c r="K45" s="399"/>
      <c r="L45" s="420" t="str">
        <f t="shared" si="3"/>
        <v/>
      </c>
      <c r="M45" s="401" t="str">
        <f t="shared" si="4"/>
        <v/>
      </c>
    </row>
    <row r="46" spans="2:13" x14ac:dyDescent="0.25">
      <c r="B46" s="56"/>
      <c r="C46" s="14"/>
      <c r="D46" s="15"/>
      <c r="E46" s="15"/>
      <c r="F46" s="15"/>
      <c r="G46" s="411"/>
      <c r="H46" s="17" t="str">
        <f t="shared" si="5"/>
        <v/>
      </c>
      <c r="I46" s="18"/>
      <c r="J46" s="61"/>
      <c r="K46" s="402"/>
      <c r="L46" s="420" t="str">
        <f t="shared" si="3"/>
        <v/>
      </c>
      <c r="M46" s="401" t="str">
        <f t="shared" si="4"/>
        <v/>
      </c>
    </row>
    <row r="47" spans="2:13" x14ac:dyDescent="0.25">
      <c r="B47" s="56"/>
      <c r="C47" s="14"/>
      <c r="D47" s="15"/>
      <c r="E47" s="15"/>
      <c r="F47" s="15"/>
      <c r="G47" s="422"/>
      <c r="H47" s="17" t="str">
        <f t="shared" si="5"/>
        <v/>
      </c>
      <c r="I47" s="18"/>
      <c r="J47" s="61"/>
      <c r="K47" s="399"/>
      <c r="L47" s="420" t="str">
        <f t="shared" si="3"/>
        <v/>
      </c>
      <c r="M47" s="401" t="str">
        <f t="shared" si="4"/>
        <v/>
      </c>
    </row>
    <row r="48" spans="2:13" x14ac:dyDescent="0.25">
      <c r="B48" s="56"/>
      <c r="C48" s="14"/>
      <c r="D48" s="15"/>
      <c r="E48" s="15"/>
      <c r="F48" s="15"/>
      <c r="G48" s="422"/>
      <c r="H48" s="17" t="str">
        <f t="shared" si="5"/>
        <v/>
      </c>
      <c r="I48" s="18"/>
      <c r="J48" s="61"/>
      <c r="K48" s="402"/>
      <c r="L48" s="420" t="str">
        <f t="shared" si="3"/>
        <v/>
      </c>
      <c r="M48" s="401" t="str">
        <f t="shared" si="4"/>
        <v/>
      </c>
    </row>
    <row r="49" spans="2:13" x14ac:dyDescent="0.25">
      <c r="B49" s="56"/>
      <c r="C49" s="14"/>
      <c r="D49" s="15"/>
      <c r="E49" s="15"/>
      <c r="F49" s="15"/>
      <c r="G49" s="422"/>
      <c r="H49" s="17" t="str">
        <f t="shared" si="5"/>
        <v/>
      </c>
      <c r="I49" s="18"/>
      <c r="J49" s="61"/>
      <c r="K49" s="402"/>
      <c r="L49" s="420" t="str">
        <f t="shared" si="3"/>
        <v/>
      </c>
      <c r="M49" s="401" t="str">
        <f t="shared" si="4"/>
        <v/>
      </c>
    </row>
    <row r="50" spans="2:13" x14ac:dyDescent="0.25">
      <c r="B50" s="56"/>
      <c r="C50" s="14"/>
      <c r="D50" s="15"/>
      <c r="E50" s="15"/>
      <c r="F50" s="15"/>
      <c r="G50" s="422"/>
      <c r="H50" s="17" t="str">
        <f t="shared" si="5"/>
        <v/>
      </c>
      <c r="I50" s="18"/>
      <c r="J50" s="61"/>
      <c r="K50" s="399"/>
      <c r="L50" s="420" t="str">
        <f t="shared" si="3"/>
        <v/>
      </c>
      <c r="M50" s="401" t="str">
        <f t="shared" si="4"/>
        <v/>
      </c>
    </row>
    <row r="51" spans="2:13" x14ac:dyDescent="0.25">
      <c r="B51" s="56"/>
      <c r="C51" s="14"/>
      <c r="D51" s="15"/>
      <c r="E51" s="15"/>
      <c r="F51" s="15"/>
      <c r="G51" s="422"/>
      <c r="H51" s="17" t="str">
        <f t="shared" si="5"/>
        <v/>
      </c>
      <c r="I51" s="18"/>
      <c r="J51" s="61"/>
      <c r="K51" s="399"/>
      <c r="L51" s="420" t="str">
        <f t="shared" si="3"/>
        <v/>
      </c>
      <c r="M51" s="401" t="str">
        <f t="shared" si="4"/>
        <v/>
      </c>
    </row>
    <row r="52" spans="2:13" x14ac:dyDescent="0.25">
      <c r="B52" s="56"/>
      <c r="C52" s="14"/>
      <c r="D52" s="15"/>
      <c r="E52" s="15"/>
      <c r="F52" s="15"/>
      <c r="G52" s="422"/>
      <c r="H52" s="17" t="str">
        <f t="shared" si="5"/>
        <v/>
      </c>
      <c r="I52" s="18"/>
      <c r="J52" s="61"/>
      <c r="K52" s="399"/>
      <c r="L52" s="420" t="str">
        <f t="shared" si="3"/>
        <v/>
      </c>
      <c r="M52" s="401" t="str">
        <f t="shared" si="4"/>
        <v/>
      </c>
    </row>
    <row r="53" spans="2:13" x14ac:dyDescent="0.25">
      <c r="B53" s="56"/>
      <c r="C53" s="14"/>
      <c r="D53" s="15"/>
      <c r="E53" s="15"/>
      <c r="F53" s="15"/>
      <c r="G53" s="422"/>
      <c r="H53" s="17" t="str">
        <f t="shared" si="5"/>
        <v/>
      </c>
      <c r="I53" s="18"/>
      <c r="J53" s="61"/>
      <c r="K53" s="399"/>
      <c r="L53" s="420" t="str">
        <f t="shared" si="3"/>
        <v/>
      </c>
      <c r="M53" s="401" t="str">
        <f t="shared" si="4"/>
        <v/>
      </c>
    </row>
    <row r="54" spans="2:13" x14ac:dyDescent="0.25">
      <c r="B54" s="56"/>
      <c r="C54" s="14"/>
      <c r="D54" s="15"/>
      <c r="E54" s="15"/>
      <c r="F54" s="15"/>
      <c r="G54" s="422"/>
      <c r="H54" s="17" t="str">
        <f t="shared" si="5"/>
        <v/>
      </c>
      <c r="I54" s="18"/>
      <c r="J54" s="62"/>
      <c r="K54" s="62"/>
      <c r="L54" s="420" t="str">
        <f t="shared" si="3"/>
        <v/>
      </c>
      <c r="M54" s="401" t="str">
        <f t="shared" si="4"/>
        <v/>
      </c>
    </row>
    <row r="55" spans="2:13" x14ac:dyDescent="0.25">
      <c r="B55" s="56"/>
      <c r="C55" s="14"/>
      <c r="D55" s="15"/>
      <c r="E55" s="15"/>
      <c r="F55" s="15"/>
      <c r="G55" s="424"/>
      <c r="H55" s="17" t="str">
        <f t="shared" si="5"/>
        <v/>
      </c>
      <c r="I55" s="18"/>
      <c r="J55" s="61"/>
      <c r="K55" s="62"/>
      <c r="L55" s="420" t="str">
        <f t="shared" si="3"/>
        <v/>
      </c>
      <c r="M55" s="401" t="str">
        <f t="shared" si="4"/>
        <v/>
      </c>
    </row>
    <row r="56" spans="2:13" x14ac:dyDescent="0.25">
      <c r="B56" s="65"/>
      <c r="C56" s="14"/>
      <c r="D56" s="15"/>
      <c r="E56" s="15"/>
      <c r="F56" s="15"/>
      <c r="G56" s="424"/>
      <c r="H56" s="17" t="str">
        <f t="shared" si="5"/>
        <v/>
      </c>
      <c r="I56" s="18"/>
      <c r="J56" s="61"/>
      <c r="K56" s="62"/>
      <c r="L56" s="420" t="str">
        <f t="shared" si="3"/>
        <v/>
      </c>
      <c r="M56" s="401" t="str">
        <f t="shared" si="4"/>
        <v/>
      </c>
    </row>
    <row r="57" spans="2:13" x14ac:dyDescent="0.25">
      <c r="B57" s="785"/>
      <c r="C57" s="14"/>
      <c r="D57" s="15"/>
      <c r="E57" s="15"/>
      <c r="F57" s="15"/>
      <c r="G57" s="422"/>
      <c r="H57" s="17" t="str">
        <f t="shared" si="5"/>
        <v/>
      </c>
      <c r="I57" s="18"/>
      <c r="J57" s="62"/>
      <c r="K57" s="62"/>
      <c r="L57" s="420" t="str">
        <f t="shared" si="3"/>
        <v/>
      </c>
      <c r="M57" s="401" t="str">
        <f t="shared" si="4"/>
        <v/>
      </c>
    </row>
    <row r="58" spans="2:13" x14ac:dyDescent="0.25">
      <c r="B58" s="785"/>
      <c r="C58" s="14"/>
      <c r="D58" s="15"/>
      <c r="E58" s="15"/>
      <c r="F58" s="15"/>
      <c r="G58" s="422"/>
      <c r="H58" s="17" t="str">
        <f t="shared" si="5"/>
        <v/>
      </c>
      <c r="I58" s="18"/>
      <c r="J58" s="62"/>
      <c r="K58" s="62"/>
      <c r="L58" s="420" t="str">
        <f t="shared" si="3"/>
        <v/>
      </c>
      <c r="M58" s="401" t="str">
        <f t="shared" si="4"/>
        <v/>
      </c>
    </row>
    <row r="59" spans="2:13" x14ac:dyDescent="0.25">
      <c r="B59" s="56"/>
      <c r="C59" s="14"/>
      <c r="D59" s="15"/>
      <c r="E59" s="15"/>
      <c r="F59" s="15"/>
      <c r="G59" s="422"/>
      <c r="H59" s="17" t="str">
        <f t="shared" si="5"/>
        <v/>
      </c>
      <c r="I59" s="18"/>
      <c r="J59" s="62"/>
      <c r="K59" s="62"/>
      <c r="L59" s="420" t="str">
        <f t="shared" si="3"/>
        <v/>
      </c>
      <c r="M59" s="401" t="str">
        <f t="shared" si="4"/>
        <v/>
      </c>
    </row>
    <row r="60" spans="2:13" x14ac:dyDescent="0.25">
      <c r="B60" s="56"/>
      <c r="C60" s="14"/>
      <c r="D60" s="15"/>
      <c r="E60" s="15"/>
      <c r="F60" s="15"/>
      <c r="G60" s="422"/>
      <c r="H60" s="17" t="str">
        <f t="shared" si="5"/>
        <v/>
      </c>
      <c r="I60" s="18"/>
      <c r="J60" s="62"/>
      <c r="K60" s="62"/>
      <c r="L60" s="420" t="str">
        <f t="shared" si="3"/>
        <v/>
      </c>
      <c r="M60" s="401" t="str">
        <f t="shared" si="4"/>
        <v/>
      </c>
    </row>
    <row r="61" spans="2:13" x14ac:dyDescent="0.25">
      <c r="B61" s="56"/>
      <c r="C61" s="14"/>
      <c r="D61" s="15"/>
      <c r="E61" s="15"/>
      <c r="F61" s="15"/>
      <c r="G61" s="422"/>
      <c r="H61" s="17" t="str">
        <f t="shared" si="5"/>
        <v/>
      </c>
      <c r="I61" s="18"/>
      <c r="J61" s="62"/>
      <c r="K61" s="62"/>
      <c r="L61" s="420" t="str">
        <f t="shared" si="3"/>
        <v/>
      </c>
      <c r="M61" s="401" t="str">
        <f t="shared" si="4"/>
        <v/>
      </c>
    </row>
    <row r="62" spans="2:13" x14ac:dyDescent="0.25">
      <c r="B62" s="56"/>
      <c r="C62" s="14"/>
      <c r="D62" s="15"/>
      <c r="E62" s="15"/>
      <c r="F62" s="15"/>
      <c r="G62" s="422"/>
      <c r="H62" s="17" t="str">
        <f t="shared" si="5"/>
        <v/>
      </c>
      <c r="I62" s="18"/>
      <c r="J62" s="62"/>
      <c r="K62" s="62"/>
      <c r="L62" s="420" t="str">
        <f t="shared" si="3"/>
        <v/>
      </c>
      <c r="M62" s="401" t="str">
        <f t="shared" si="4"/>
        <v/>
      </c>
    </row>
    <row r="63" spans="2:13" x14ac:dyDescent="0.25">
      <c r="B63" s="56"/>
      <c r="C63" s="14"/>
      <c r="D63" s="61"/>
      <c r="E63" s="61"/>
      <c r="F63" s="61"/>
      <c r="G63" s="422"/>
      <c r="H63" s="17" t="str">
        <f t="shared" si="5"/>
        <v/>
      </c>
      <c r="I63" s="63"/>
      <c r="J63" s="62"/>
      <c r="K63" s="62"/>
      <c r="L63" s="420" t="str">
        <f t="shared" si="3"/>
        <v/>
      </c>
      <c r="M63" s="401" t="str">
        <f t="shared" si="4"/>
        <v/>
      </c>
    </row>
    <row r="64" spans="2:13" x14ac:dyDescent="0.25">
      <c r="B64" s="56"/>
      <c r="C64" s="14"/>
      <c r="D64" s="15"/>
      <c r="E64" s="15"/>
      <c r="F64" s="15"/>
      <c r="G64" s="422"/>
      <c r="H64" s="17" t="str">
        <f t="shared" si="5"/>
        <v/>
      </c>
      <c r="I64" s="18"/>
      <c r="J64" s="62"/>
      <c r="K64" s="62"/>
      <c r="L64" s="420" t="str">
        <f t="shared" si="3"/>
        <v/>
      </c>
      <c r="M64" s="401" t="str">
        <f t="shared" si="4"/>
        <v/>
      </c>
    </row>
    <row r="65" spans="2:13" x14ac:dyDescent="0.25">
      <c r="B65" s="56"/>
      <c r="C65" s="26"/>
      <c r="D65" s="61"/>
      <c r="E65" s="61"/>
      <c r="F65" s="61"/>
      <c r="G65" s="422"/>
      <c r="H65" s="17" t="str">
        <f t="shared" si="5"/>
        <v/>
      </c>
      <c r="I65" s="69"/>
      <c r="J65" s="62"/>
      <c r="K65" s="62"/>
      <c r="L65" s="420" t="str">
        <f t="shared" si="3"/>
        <v/>
      </c>
      <c r="M65" s="401" t="str">
        <f t="shared" si="4"/>
        <v/>
      </c>
    </row>
    <row r="66" spans="2:13" x14ac:dyDescent="0.25">
      <c r="B66" s="56"/>
      <c r="C66" s="26"/>
      <c r="D66" s="61"/>
      <c r="E66" s="61"/>
      <c r="F66" s="61"/>
      <c r="G66" s="422"/>
      <c r="H66" s="17" t="str">
        <f t="shared" si="5"/>
        <v/>
      </c>
      <c r="I66" s="63"/>
      <c r="J66" s="62"/>
      <c r="K66" s="62"/>
      <c r="L66" s="420" t="str">
        <f t="shared" si="3"/>
        <v/>
      </c>
      <c r="M66" s="401" t="str">
        <f t="shared" si="4"/>
        <v/>
      </c>
    </row>
    <row r="67" spans="2:13" x14ac:dyDescent="0.25">
      <c r="B67" s="56"/>
      <c r="C67" s="26"/>
      <c r="D67" s="15"/>
      <c r="E67" s="15"/>
      <c r="F67" s="15"/>
      <c r="G67" s="422"/>
      <c r="H67" s="17" t="str">
        <f t="shared" si="5"/>
        <v/>
      </c>
      <c r="I67" s="18"/>
      <c r="J67" s="62"/>
      <c r="K67" s="62"/>
      <c r="L67" s="420" t="str">
        <f t="shared" si="3"/>
        <v/>
      </c>
      <c r="M67" s="401" t="str">
        <f t="shared" si="4"/>
        <v/>
      </c>
    </row>
    <row r="68" spans="2:13" x14ac:dyDescent="0.25">
      <c r="B68" s="56"/>
      <c r="C68" s="14"/>
      <c r="D68" s="15"/>
      <c r="E68" s="15"/>
      <c r="F68" s="15"/>
      <c r="G68" s="422"/>
      <c r="H68" s="17" t="str">
        <f t="shared" si="5"/>
        <v/>
      </c>
      <c r="I68" s="18"/>
      <c r="J68" s="62"/>
      <c r="K68" s="62"/>
      <c r="L68" s="420" t="str">
        <f t="shared" si="3"/>
        <v/>
      </c>
      <c r="M68" s="401" t="str">
        <f t="shared" si="4"/>
        <v/>
      </c>
    </row>
    <row r="69" spans="2:13" x14ac:dyDescent="0.25">
      <c r="B69" s="56"/>
      <c r="C69" s="14"/>
      <c r="D69" s="15"/>
      <c r="E69" s="15"/>
      <c r="F69" s="15"/>
      <c r="G69" s="422"/>
      <c r="H69" s="17" t="str">
        <f t="shared" si="5"/>
        <v/>
      </c>
      <c r="I69" s="18"/>
      <c r="J69" s="62"/>
      <c r="K69" s="62"/>
      <c r="L69" s="420" t="str">
        <f t="shared" si="3"/>
        <v/>
      </c>
      <c r="M69" s="401" t="str">
        <f t="shared" si="4"/>
        <v/>
      </c>
    </row>
    <row r="70" spans="2:13" x14ac:dyDescent="0.25">
      <c r="B70" s="56"/>
      <c r="C70" s="14"/>
      <c r="D70" s="15"/>
      <c r="E70" s="15"/>
      <c r="F70" s="15"/>
      <c r="G70" s="422"/>
      <c r="H70" s="17" t="str">
        <f t="shared" si="5"/>
        <v/>
      </c>
      <c r="I70" s="18"/>
      <c r="J70" s="62"/>
      <c r="K70" s="62"/>
      <c r="L70" s="420" t="str">
        <f t="shared" si="3"/>
        <v/>
      </c>
      <c r="M70" s="401" t="str">
        <f t="shared" si="4"/>
        <v/>
      </c>
    </row>
    <row r="71" spans="2:13" x14ac:dyDescent="0.25">
      <c r="B71" s="56"/>
      <c r="C71" s="14"/>
      <c r="D71" s="15"/>
      <c r="E71" s="15"/>
      <c r="F71" s="15"/>
      <c r="G71" s="422"/>
      <c r="H71" s="17" t="str">
        <f t="shared" si="5"/>
        <v/>
      </c>
      <c r="I71" s="18"/>
      <c r="J71" s="62"/>
      <c r="K71" s="62"/>
      <c r="L71" s="420" t="str">
        <f t="shared" si="3"/>
        <v/>
      </c>
      <c r="M71" s="401" t="str">
        <f t="shared" si="4"/>
        <v/>
      </c>
    </row>
    <row r="72" spans="2:13" x14ac:dyDescent="0.25">
      <c r="B72" s="56"/>
      <c r="C72" s="14"/>
      <c r="D72" s="15"/>
      <c r="E72" s="15"/>
      <c r="F72" s="15"/>
      <c r="G72" s="422"/>
      <c r="H72" s="17" t="str">
        <f t="shared" si="5"/>
        <v/>
      </c>
      <c r="I72" s="18"/>
      <c r="J72" s="62"/>
      <c r="K72" s="62"/>
      <c r="L72" s="420" t="str">
        <f t="shared" si="3"/>
        <v/>
      </c>
      <c r="M72" s="401" t="str">
        <f t="shared" si="4"/>
        <v/>
      </c>
    </row>
    <row r="73" spans="2:13" x14ac:dyDescent="0.25">
      <c r="B73" s="56"/>
      <c r="C73" s="25"/>
      <c r="D73" s="15"/>
      <c r="E73" s="15"/>
      <c r="F73" s="15"/>
      <c r="G73" s="422"/>
      <c r="H73" s="17" t="str">
        <f t="shared" si="5"/>
        <v/>
      </c>
      <c r="I73" s="18"/>
      <c r="J73" s="62"/>
      <c r="K73" s="62"/>
      <c r="L73" s="420" t="str">
        <f t="shared" si="3"/>
        <v/>
      </c>
      <c r="M73" s="401" t="str">
        <f t="shared" si="4"/>
        <v/>
      </c>
    </row>
    <row r="74" spans="2:13" x14ac:dyDescent="0.25">
      <c r="B74" s="56"/>
      <c r="C74" s="25"/>
      <c r="D74" s="15"/>
      <c r="E74" s="15"/>
      <c r="F74" s="15"/>
      <c r="G74" s="422"/>
      <c r="H74" s="17" t="str">
        <f t="shared" si="5"/>
        <v/>
      </c>
      <c r="I74" s="18"/>
      <c r="J74" s="62"/>
      <c r="K74" s="62"/>
      <c r="L74" s="420" t="str">
        <f t="shared" si="3"/>
        <v/>
      </c>
      <c r="M74" s="401" t="str">
        <f t="shared" si="4"/>
        <v/>
      </c>
    </row>
    <row r="75" spans="2:13" x14ac:dyDescent="0.25">
      <c r="B75" s="56"/>
      <c r="C75" s="25"/>
      <c r="D75" s="15"/>
      <c r="E75" s="15"/>
      <c r="F75" s="15"/>
      <c r="G75" s="422"/>
      <c r="H75" s="17" t="str">
        <f t="shared" ref="H75:H76" si="6">IF(D75="","",F75*G75)</f>
        <v/>
      </c>
      <c r="I75" s="18"/>
      <c r="J75" s="62"/>
      <c r="K75" s="62"/>
      <c r="L75" s="420" t="str">
        <f t="shared" si="3"/>
        <v/>
      </c>
      <c r="M75" s="401" t="str">
        <f t="shared" si="4"/>
        <v/>
      </c>
    </row>
    <row r="76" spans="2:13" x14ac:dyDescent="0.25">
      <c r="B76" s="56"/>
      <c r="C76" s="14"/>
      <c r="D76" s="15"/>
      <c r="E76" s="15"/>
      <c r="F76" s="15"/>
      <c r="G76" s="422"/>
      <c r="H76" s="17" t="str">
        <f t="shared" si="6"/>
        <v/>
      </c>
      <c r="I76" s="18"/>
      <c r="J76" s="61"/>
      <c r="K76" s="696"/>
      <c r="L76" s="420" t="str">
        <f t="shared" ref="L76" si="7">IF(J76="","",F76*K76)</f>
        <v/>
      </c>
      <c r="M76" s="401" t="str">
        <f t="shared" ref="M76:M77" si="8">IF(J76="","",IF(SUM(H76)=0,"",L76/H76))</f>
        <v/>
      </c>
    </row>
    <row r="77" spans="2:13" s="28" customFormat="1" ht="25" customHeight="1" x14ac:dyDescent="0.25">
      <c r="B77" s="84" t="str">
        <f>$B$12</f>
        <v>C8.1</v>
      </c>
      <c r="C77" s="498" t="str">
        <f>"TOTAL CARRIED FORWARD"&amp;IF(H77=H$1," TO SUMMARY (Page C"&amp;Page_A&amp;")","")</f>
        <v>TOTAL CARRIED FORWARD TO SUMMARY (Page C48)</v>
      </c>
      <c r="D77" s="31"/>
      <c r="E77" s="31"/>
      <c r="F77" s="32"/>
      <c r="G77" s="31"/>
      <c r="H77" s="33">
        <f>SUM(H11:H76)</f>
        <v>0</v>
      </c>
      <c r="I77" s="34"/>
      <c r="J77" s="408"/>
      <c r="K77" s="406"/>
      <c r="L77" s="418">
        <f>SUM(L11:L76)</f>
        <v>0</v>
      </c>
      <c r="M77" s="407" t="str">
        <f t="shared" si="8"/>
        <v/>
      </c>
    </row>
  </sheetData>
  <mergeCells count="4">
    <mergeCell ref="F3:H3"/>
    <mergeCell ref="B7:G9"/>
    <mergeCell ref="H6:H9"/>
    <mergeCell ref="B6:G6"/>
  </mergeCells>
  <phoneticPr fontId="15" type="noConversion"/>
  <conditionalFormatting sqref="G11:H77">
    <cfRule type="expression" dxfId="72"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0">
    <tabColor rgb="FF0070C0"/>
  </sheetPr>
  <dimension ref="A1:X394"/>
  <sheetViews>
    <sheetView view="pageBreakPreview" zoomScale="90" zoomScaleNormal="125" zoomScaleSheetLayoutView="90" zoomScalePageLayoutView="125" workbookViewId="0">
      <pane xSplit="4" ySplit="3" topLeftCell="E4" activePane="bottomRight" state="frozen"/>
      <selection activeCell="G24" sqref="G24"/>
      <selection pane="topRight" activeCell="G24" sqref="G24"/>
      <selection pane="bottomLeft" activeCell="G24" sqref="G24"/>
      <selection pane="bottomRight" activeCell="G16" sqref="G16"/>
    </sheetView>
  </sheetViews>
  <sheetFormatPr defaultColWidth="8.81640625" defaultRowHeight="12.5" x14ac:dyDescent="0.25"/>
  <cols>
    <col min="1" max="1" width="0.81640625" style="1" customWidth="1"/>
    <col min="2" max="2" width="11.7265625" style="148" customWidth="1"/>
    <col min="3" max="3" width="46.269531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5" width="6.54296875" style="1" bestFit="1" customWidth="1"/>
    <col min="16" max="17" width="8.81640625" style="1"/>
    <col min="18" max="18" width="11.453125" style="1" bestFit="1" customWidth="1"/>
    <col min="19" max="19" width="10.81640625" style="1" bestFit="1" customWidth="1"/>
    <col min="20" max="16384" width="8.81640625" style="1"/>
  </cols>
  <sheetData>
    <row r="1" spans="1:18" s="250" customFormat="1" ht="11.5" x14ac:dyDescent="0.25">
      <c r="A1" s="242"/>
      <c r="B1" s="243"/>
      <c r="C1" s="244" t="s">
        <v>993</v>
      </c>
      <c r="D1" s="245"/>
      <c r="E1" s="245"/>
      <c r="F1" s="246" t="s">
        <v>994</v>
      </c>
      <c r="G1" s="244">
        <v>1</v>
      </c>
      <c r="H1" s="247">
        <f>MAX(H2:H394)</f>
        <v>0</v>
      </c>
      <c r="I1" s="247">
        <f>MAX(I2:I217)</f>
        <v>0</v>
      </c>
      <c r="J1" s="248"/>
      <c r="K1" s="249"/>
      <c r="L1" s="247">
        <f>MAX(L2:L394)</f>
        <v>0</v>
      </c>
      <c r="M1" s="249"/>
    </row>
    <row r="2" spans="1:18"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8" ht="13" x14ac:dyDescent="0.25">
      <c r="B3" s="28" t="str">
        <f>Client1</f>
        <v>Province of KwaZulu-Natal</v>
      </c>
      <c r="F3" s="1124" t="str">
        <f>"Contract No. "&amp;ContractNo</f>
        <v>Contract No. ZNB 00399/00000/HOD/INF/21/T</v>
      </c>
      <c r="G3" s="1124"/>
      <c r="H3" s="1124"/>
    </row>
    <row r="4" spans="1:18" ht="13" x14ac:dyDescent="0.25">
      <c r="B4" s="88" t="str">
        <f>Client2</f>
        <v>Department of Transport</v>
      </c>
    </row>
    <row r="5" spans="1:18" x14ac:dyDescent="0.25">
      <c r="B5" s="4"/>
    </row>
    <row r="6" spans="1:18" ht="12.75" customHeight="1" x14ac:dyDescent="0.25">
      <c r="B6" s="1112" t="s">
        <v>8</v>
      </c>
      <c r="C6" s="1113"/>
      <c r="D6" s="1113"/>
      <c r="E6" s="1113"/>
      <c r="F6" s="1113"/>
      <c r="G6" s="1113"/>
      <c r="H6" s="1121" t="str">
        <f>"CHAPTER "&amp;B12</f>
        <v>CHAPTER C10.1</v>
      </c>
      <c r="I6" s="6"/>
    </row>
    <row r="7" spans="1:18"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8" ht="12.75" customHeight="1" x14ac:dyDescent="0.25">
      <c r="B8" s="1117"/>
      <c r="C8" s="1118"/>
      <c r="D8" s="1118"/>
      <c r="E8" s="1118"/>
      <c r="F8" s="1118"/>
      <c r="G8" s="1118"/>
      <c r="H8" s="1122"/>
      <c r="I8" s="8"/>
    </row>
    <row r="9" spans="1:18" s="9" customFormat="1" ht="7.5" customHeight="1" x14ac:dyDescent="0.25">
      <c r="B9" s="1119"/>
      <c r="C9" s="1120"/>
      <c r="D9" s="1120"/>
      <c r="E9" s="1120"/>
      <c r="F9" s="1120"/>
      <c r="G9" s="1120"/>
      <c r="H9" s="1123"/>
      <c r="I9" s="12"/>
    </row>
    <row r="10" spans="1:18"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c r="O10" s="427"/>
      <c r="P10" s="427"/>
      <c r="Q10" s="427"/>
      <c r="R10" s="427"/>
    </row>
    <row r="11" spans="1:18" x14ac:dyDescent="0.25">
      <c r="B11" s="58"/>
      <c r="C11" s="65"/>
      <c r="D11" s="15"/>
      <c r="E11" s="15"/>
      <c r="F11" s="580"/>
      <c r="G11" s="411"/>
      <c r="H11" s="17" t="str">
        <f t="shared" ref="H11:H64" si="0">IF(D11="","",F11*G11)</f>
        <v/>
      </c>
      <c r="I11" s="18"/>
      <c r="J11" s="61"/>
      <c r="K11" s="399"/>
      <c r="L11" s="420" t="str">
        <f>IF(J11="","",F11*K11)</f>
        <v/>
      </c>
      <c r="M11" s="401" t="str">
        <f t="shared" ref="M11" si="1">IF(J11="","",IF(SUM(H11)=0,"",L11/H11))</f>
        <v/>
      </c>
    </row>
    <row r="12" spans="1:18" ht="26" x14ac:dyDescent="0.25">
      <c r="B12" s="146" t="s">
        <v>780</v>
      </c>
      <c r="C12" s="672" t="s">
        <v>779</v>
      </c>
      <c r="D12" s="15"/>
      <c r="E12" s="15"/>
      <c r="F12" s="580"/>
      <c r="G12" s="411"/>
      <c r="H12" s="17" t="str">
        <f t="shared" si="0"/>
        <v/>
      </c>
      <c r="I12" s="18"/>
      <c r="J12" s="61"/>
      <c r="K12" s="399"/>
      <c r="L12" s="420" t="str">
        <f t="shared" ref="L12:L64" si="2">IF(J12="","",F12*K12)</f>
        <v/>
      </c>
      <c r="M12" s="401" t="str">
        <f t="shared" ref="M12:M64" si="3">IF(J12="","",IF(SUM(H12)=0,"",L12/H12))</f>
        <v/>
      </c>
    </row>
    <row r="13" spans="1:18" x14ac:dyDescent="0.25">
      <c r="B13" s="58"/>
      <c r="C13" s="65"/>
      <c r="D13" s="15"/>
      <c r="E13" s="15"/>
      <c r="F13" s="580"/>
      <c r="G13" s="411"/>
      <c r="H13" s="17" t="str">
        <f t="shared" si="0"/>
        <v/>
      </c>
      <c r="I13" s="18"/>
      <c r="J13" s="61"/>
      <c r="K13" s="399"/>
      <c r="L13" s="420" t="str">
        <f t="shared" si="2"/>
        <v/>
      </c>
      <c r="M13" s="401" t="str">
        <f t="shared" si="3"/>
        <v/>
      </c>
    </row>
    <row r="14" spans="1:18" ht="26" x14ac:dyDescent="0.25">
      <c r="B14" s="146" t="s">
        <v>1880</v>
      </c>
      <c r="C14" s="672" t="s">
        <v>778</v>
      </c>
      <c r="D14" s="15"/>
      <c r="E14" s="15"/>
      <c r="F14" s="580"/>
      <c r="G14" s="422"/>
      <c r="H14" s="17" t="str">
        <f t="shared" si="0"/>
        <v/>
      </c>
      <c r="I14" s="18"/>
      <c r="J14" s="61"/>
      <c r="K14" s="399"/>
      <c r="L14" s="420" t="str">
        <f t="shared" si="2"/>
        <v/>
      </c>
      <c r="M14" s="401" t="str">
        <f t="shared" si="3"/>
        <v/>
      </c>
    </row>
    <row r="15" spans="1:18" x14ac:dyDescent="0.25">
      <c r="B15" s="58"/>
      <c r="C15" s="65"/>
      <c r="D15" s="15"/>
      <c r="E15" s="15"/>
      <c r="F15" s="580"/>
      <c r="G15" s="422"/>
      <c r="H15" s="17" t="str">
        <f t="shared" si="0"/>
        <v/>
      </c>
      <c r="I15" s="18"/>
      <c r="J15" s="61"/>
      <c r="K15" s="399"/>
      <c r="L15" s="420" t="str">
        <f t="shared" si="2"/>
        <v/>
      </c>
      <c r="M15" s="401" t="str">
        <f t="shared" si="3"/>
        <v/>
      </c>
    </row>
    <row r="16" spans="1:18" ht="37.5" x14ac:dyDescent="0.3">
      <c r="B16" s="58" t="s">
        <v>777</v>
      </c>
      <c r="C16" s="65" t="s">
        <v>2137</v>
      </c>
      <c r="D16" s="15" t="s">
        <v>511</v>
      </c>
      <c r="E16" s="15"/>
      <c r="F16" s="580">
        <f>Quantities!$S$847</f>
        <v>21500</v>
      </c>
      <c r="G16" s="422"/>
      <c r="H16" s="17">
        <f t="shared" si="0"/>
        <v>0</v>
      </c>
      <c r="I16" s="57"/>
      <c r="J16" s="61"/>
      <c r="K16" s="400"/>
      <c r="L16" s="420" t="str">
        <f t="shared" si="2"/>
        <v/>
      </c>
      <c r="M16" s="401" t="str">
        <f t="shared" si="3"/>
        <v/>
      </c>
    </row>
    <row r="17" spans="2:13" x14ac:dyDescent="0.25">
      <c r="B17" s="58"/>
      <c r="C17" s="65"/>
      <c r="D17" s="15"/>
      <c r="E17" s="15"/>
      <c r="F17" s="24"/>
      <c r="G17" s="411"/>
      <c r="H17" s="17" t="str">
        <f t="shared" si="0"/>
        <v/>
      </c>
      <c r="I17" s="18"/>
      <c r="J17" s="61"/>
      <c r="K17" s="399"/>
      <c r="L17" s="420" t="str">
        <f t="shared" si="2"/>
        <v/>
      </c>
      <c r="M17" s="401" t="str">
        <f t="shared" si="3"/>
        <v/>
      </c>
    </row>
    <row r="18" spans="2:13" ht="13" x14ac:dyDescent="0.25">
      <c r="B18" s="146" t="s">
        <v>1881</v>
      </c>
      <c r="C18" s="672" t="s">
        <v>776</v>
      </c>
      <c r="D18" s="15"/>
      <c r="E18" s="15"/>
      <c r="F18" s="580"/>
      <c r="G18" s="411"/>
      <c r="H18" s="17" t="str">
        <f t="shared" si="0"/>
        <v/>
      </c>
      <c r="I18" s="18"/>
      <c r="J18" s="61"/>
      <c r="K18" s="399"/>
      <c r="L18" s="420" t="str">
        <f t="shared" si="2"/>
        <v/>
      </c>
      <c r="M18" s="401" t="str">
        <f t="shared" si="3"/>
        <v/>
      </c>
    </row>
    <row r="19" spans="2:13" x14ac:dyDescent="0.25">
      <c r="B19" s="58"/>
      <c r="C19" s="65"/>
      <c r="D19" s="15"/>
      <c r="E19" s="15"/>
      <c r="F19" s="580"/>
      <c r="G19" s="411"/>
      <c r="H19" s="17" t="str">
        <f t="shared" si="0"/>
        <v/>
      </c>
      <c r="I19" s="60"/>
      <c r="J19" s="61"/>
      <c r="K19" s="399"/>
      <c r="L19" s="420" t="str">
        <f t="shared" si="2"/>
        <v/>
      </c>
      <c r="M19" s="401" t="str">
        <f t="shared" si="3"/>
        <v/>
      </c>
    </row>
    <row r="20" spans="2:13" x14ac:dyDescent="0.25">
      <c r="B20" s="58" t="s">
        <v>775</v>
      </c>
      <c r="C20" s="65" t="s">
        <v>2127</v>
      </c>
      <c r="D20" s="15" t="s">
        <v>454</v>
      </c>
      <c r="E20" s="15"/>
      <c r="F20" s="24">
        <v>200</v>
      </c>
      <c r="G20" s="422"/>
      <c r="H20" s="17">
        <f t="shared" si="0"/>
        <v>0</v>
      </c>
      <c r="I20" s="63"/>
      <c r="J20" s="61"/>
      <c r="K20" s="402"/>
      <c r="L20" s="420" t="str">
        <f t="shared" si="2"/>
        <v/>
      </c>
      <c r="M20" s="401" t="str">
        <f t="shared" si="3"/>
        <v/>
      </c>
    </row>
    <row r="21" spans="2:13" x14ac:dyDescent="0.25">
      <c r="B21" s="58"/>
      <c r="C21" s="65"/>
      <c r="D21" s="15"/>
      <c r="E21" s="15"/>
      <c r="F21" s="24"/>
      <c r="G21" s="411"/>
      <c r="H21" s="17" t="str">
        <f t="shared" si="0"/>
        <v/>
      </c>
      <c r="I21" s="63"/>
      <c r="J21" s="61"/>
      <c r="K21" s="402"/>
      <c r="L21" s="420" t="str">
        <f t="shared" si="2"/>
        <v/>
      </c>
      <c r="M21" s="401" t="str">
        <f t="shared" si="3"/>
        <v/>
      </c>
    </row>
    <row r="22" spans="2:13" x14ac:dyDescent="0.25">
      <c r="B22" s="58" t="s">
        <v>774</v>
      </c>
      <c r="C22" s="65" t="s">
        <v>2128</v>
      </c>
      <c r="D22" s="15" t="s">
        <v>454</v>
      </c>
      <c r="E22" s="15"/>
      <c r="F22" s="24">
        <v>200</v>
      </c>
      <c r="G22" s="422"/>
      <c r="H22" s="17">
        <f t="shared" si="0"/>
        <v>0</v>
      </c>
      <c r="I22" s="63"/>
      <c r="J22" s="61"/>
      <c r="K22" s="402"/>
      <c r="L22" s="420" t="str">
        <f t="shared" si="2"/>
        <v/>
      </c>
      <c r="M22" s="401" t="str">
        <f t="shared" si="3"/>
        <v/>
      </c>
    </row>
    <row r="23" spans="2:13" x14ac:dyDescent="0.25">
      <c r="B23" s="58"/>
      <c r="C23" s="65"/>
      <c r="D23" s="15"/>
      <c r="E23" s="15"/>
      <c r="F23" s="24"/>
      <c r="G23" s="422"/>
      <c r="H23" s="17" t="str">
        <f t="shared" si="0"/>
        <v/>
      </c>
      <c r="I23" s="63"/>
      <c r="J23" s="61"/>
      <c r="K23" s="402"/>
      <c r="L23" s="420" t="str">
        <f t="shared" si="2"/>
        <v/>
      </c>
      <c r="M23" s="401" t="str">
        <f t="shared" si="3"/>
        <v/>
      </c>
    </row>
    <row r="24" spans="2:13" ht="25" x14ac:dyDescent="0.25">
      <c r="B24" s="58" t="s">
        <v>1926</v>
      </c>
      <c r="C24" s="65" t="s">
        <v>2129</v>
      </c>
      <c r="D24" s="15" t="s">
        <v>454</v>
      </c>
      <c r="E24" s="15"/>
      <c r="F24" s="647">
        <v>200</v>
      </c>
      <c r="G24" s="424"/>
      <c r="H24" s="743">
        <f t="shared" ref="H24" si="4">IF(D24="","",F24*G24)</f>
        <v>0</v>
      </c>
      <c r="I24" s="63"/>
      <c r="J24" s="61"/>
      <c r="K24" s="402"/>
      <c r="L24" s="420"/>
      <c r="M24" s="401"/>
    </row>
    <row r="25" spans="2:13" x14ac:dyDescent="0.25">
      <c r="B25" s="58"/>
      <c r="C25" s="65"/>
      <c r="D25" s="15"/>
      <c r="E25" s="15"/>
      <c r="F25" s="647"/>
      <c r="G25" s="424"/>
      <c r="H25" s="743"/>
      <c r="I25" s="63"/>
      <c r="J25" s="61"/>
      <c r="K25" s="402"/>
      <c r="L25" s="420"/>
      <c r="M25" s="401"/>
    </row>
    <row r="26" spans="2:13" ht="13" x14ac:dyDescent="0.25">
      <c r="B26" s="146" t="s">
        <v>773</v>
      </c>
      <c r="C26" s="672" t="s">
        <v>772</v>
      </c>
      <c r="D26" s="15"/>
      <c r="E26" s="15"/>
      <c r="F26" s="647"/>
      <c r="G26" s="753"/>
      <c r="H26" s="743" t="str">
        <f t="shared" ref="H26:H28" si="5">IF(D26="","",F26*G26)</f>
        <v/>
      </c>
      <c r="I26" s="18"/>
      <c r="J26" s="61"/>
      <c r="K26" s="399"/>
      <c r="L26" s="420" t="str">
        <f t="shared" si="2"/>
        <v/>
      </c>
      <c r="M26" s="401" t="str">
        <f t="shared" si="3"/>
        <v/>
      </c>
    </row>
    <row r="27" spans="2:13" x14ac:dyDescent="0.25">
      <c r="B27" s="58"/>
      <c r="C27" s="65"/>
      <c r="D27" s="15"/>
      <c r="E27" s="15"/>
      <c r="F27" s="647"/>
      <c r="G27" s="421"/>
      <c r="H27" s="743" t="str">
        <f t="shared" si="5"/>
        <v/>
      </c>
      <c r="I27" s="18"/>
      <c r="J27" s="61"/>
      <c r="K27" s="399"/>
      <c r="L27" s="420" t="str">
        <f t="shared" si="2"/>
        <v/>
      </c>
      <c r="M27" s="401" t="str">
        <f t="shared" si="3"/>
        <v/>
      </c>
    </row>
    <row r="28" spans="2:13" ht="25" x14ac:dyDescent="0.25">
      <c r="B28" s="58" t="s">
        <v>1918</v>
      </c>
      <c r="C28" s="65" t="s">
        <v>1919</v>
      </c>
      <c r="D28" s="15" t="s">
        <v>454</v>
      </c>
      <c r="E28" s="15"/>
      <c r="F28" s="647">
        <f>Quantities!$S$853</f>
        <v>6500</v>
      </c>
      <c r="G28" s="411"/>
      <c r="H28" s="743">
        <f t="shared" si="5"/>
        <v>0</v>
      </c>
      <c r="I28" s="57"/>
      <c r="J28" s="61"/>
      <c r="K28" s="400"/>
      <c r="L28" s="420" t="str">
        <f t="shared" si="2"/>
        <v/>
      </c>
      <c r="M28" s="401" t="str">
        <f t="shared" si="3"/>
        <v/>
      </c>
    </row>
    <row r="29" spans="2:13" x14ac:dyDescent="0.25">
      <c r="B29" s="58"/>
      <c r="C29" s="65"/>
      <c r="D29" s="15"/>
      <c r="E29" s="15"/>
      <c r="F29" s="580"/>
      <c r="G29" s="411"/>
      <c r="H29" s="743" t="str">
        <f t="shared" si="0"/>
        <v/>
      </c>
      <c r="I29" s="18"/>
      <c r="J29" s="61"/>
      <c r="K29" s="399"/>
      <c r="L29" s="420" t="str">
        <f t="shared" si="2"/>
        <v/>
      </c>
      <c r="M29" s="401" t="str">
        <f t="shared" si="3"/>
        <v/>
      </c>
    </row>
    <row r="30" spans="2:13" ht="13" x14ac:dyDescent="0.25">
      <c r="B30" s="146" t="s">
        <v>1920</v>
      </c>
      <c r="C30" s="790" t="s">
        <v>1921</v>
      </c>
      <c r="D30" s="15"/>
      <c r="E30" s="15"/>
      <c r="F30" s="580"/>
      <c r="G30" s="424"/>
      <c r="H30" s="743" t="str">
        <f t="shared" ref="H30:H36" si="6">IF(D30="","",F30*G30)</f>
        <v/>
      </c>
      <c r="I30" s="18"/>
      <c r="J30" s="61"/>
      <c r="K30" s="399"/>
      <c r="L30" s="420" t="str">
        <f t="shared" si="2"/>
        <v/>
      </c>
      <c r="M30" s="401" t="str">
        <f t="shared" si="3"/>
        <v/>
      </c>
    </row>
    <row r="31" spans="2:13" x14ac:dyDescent="0.25">
      <c r="B31" s="58"/>
      <c r="C31" s="65"/>
      <c r="D31" s="15"/>
      <c r="E31" s="15"/>
      <c r="F31" s="580"/>
      <c r="G31" s="424"/>
      <c r="H31" s="743" t="str">
        <f t="shared" si="6"/>
        <v/>
      </c>
      <c r="I31" s="18"/>
      <c r="J31" s="61"/>
      <c r="K31" s="399"/>
      <c r="L31" s="420" t="str">
        <f t="shared" si="2"/>
        <v/>
      </c>
      <c r="M31" s="401" t="str">
        <f t="shared" si="3"/>
        <v/>
      </c>
    </row>
    <row r="32" spans="2:13" ht="25" x14ac:dyDescent="0.25">
      <c r="B32" s="58" t="s">
        <v>1922</v>
      </c>
      <c r="C32" s="65" t="s">
        <v>2130</v>
      </c>
      <c r="D32" s="15" t="s">
        <v>454</v>
      </c>
      <c r="E32" s="15"/>
      <c r="F32" s="580">
        <f>(($F$16*0.02*12)+($F$16*0.01*16))*0.8</f>
        <v>6880</v>
      </c>
      <c r="G32" s="411"/>
      <c r="H32" s="743">
        <f t="shared" si="6"/>
        <v>0</v>
      </c>
      <c r="I32" s="18"/>
      <c r="J32" s="61"/>
      <c r="K32" s="399"/>
      <c r="L32" s="420" t="str">
        <f t="shared" si="2"/>
        <v/>
      </c>
      <c r="M32" s="401" t="str">
        <f t="shared" si="3"/>
        <v/>
      </c>
    </row>
    <row r="33" spans="2:18" x14ac:dyDescent="0.25">
      <c r="B33" s="58"/>
      <c r="C33" s="65"/>
      <c r="D33" s="15"/>
      <c r="E33" s="15"/>
      <c r="F33" s="580"/>
      <c r="G33" s="424"/>
      <c r="H33" s="743" t="str">
        <f t="shared" si="6"/>
        <v/>
      </c>
      <c r="I33" s="18"/>
      <c r="J33" s="61"/>
      <c r="K33" s="399"/>
      <c r="L33" s="420" t="str">
        <f t="shared" si="2"/>
        <v/>
      </c>
      <c r="M33" s="401" t="str">
        <f t="shared" si="3"/>
        <v/>
      </c>
    </row>
    <row r="34" spans="2:18" ht="13" x14ac:dyDescent="0.25">
      <c r="B34" s="146" t="s">
        <v>1923</v>
      </c>
      <c r="C34" s="672" t="s">
        <v>1924</v>
      </c>
      <c r="D34" s="15"/>
      <c r="E34" s="15"/>
      <c r="F34" s="580"/>
      <c r="G34" s="411"/>
      <c r="H34" s="743" t="str">
        <f t="shared" si="6"/>
        <v/>
      </c>
      <c r="I34" s="57"/>
      <c r="J34" s="61"/>
      <c r="K34" s="400"/>
      <c r="L34" s="420" t="str">
        <f t="shared" si="2"/>
        <v/>
      </c>
      <c r="M34" s="401" t="str">
        <f t="shared" si="3"/>
        <v/>
      </c>
    </row>
    <row r="35" spans="2:18" x14ac:dyDescent="0.25">
      <c r="B35" s="58"/>
      <c r="C35" s="65"/>
      <c r="D35" s="15"/>
      <c r="E35" s="15"/>
      <c r="F35" s="580"/>
      <c r="G35" s="411"/>
      <c r="H35" s="743" t="str">
        <f t="shared" si="6"/>
        <v/>
      </c>
      <c r="I35" s="18"/>
      <c r="J35" s="61"/>
      <c r="K35" s="399"/>
      <c r="L35" s="420" t="str">
        <f t="shared" si="2"/>
        <v/>
      </c>
      <c r="M35" s="401" t="str">
        <f t="shared" si="3"/>
        <v/>
      </c>
    </row>
    <row r="36" spans="2:18" ht="25" x14ac:dyDescent="0.25">
      <c r="B36" s="58" t="s">
        <v>1925</v>
      </c>
      <c r="C36" s="65" t="s">
        <v>2130</v>
      </c>
      <c r="D36" s="15" t="s">
        <v>454</v>
      </c>
      <c r="E36" s="15" t="s">
        <v>996</v>
      </c>
      <c r="F36" s="580">
        <f>(($F$16*0.02*12)+($F$16*0.01*16))*0.2</f>
        <v>1720</v>
      </c>
      <c r="G36" s="424"/>
      <c r="H36" s="743">
        <f t="shared" si="6"/>
        <v>0</v>
      </c>
      <c r="I36" s="18"/>
      <c r="J36" s="61" t="s">
        <v>1721</v>
      </c>
      <c r="K36" s="402">
        <f>ROUND(Labour_perc_roads*G36,4)</f>
        <v>0</v>
      </c>
      <c r="L36" s="420">
        <f t="shared" si="2"/>
        <v>0</v>
      </c>
      <c r="M36" s="401" t="str">
        <f t="shared" si="3"/>
        <v/>
      </c>
    </row>
    <row r="37" spans="2:18" x14ac:dyDescent="0.25">
      <c r="B37" s="58"/>
      <c r="C37" s="65"/>
      <c r="D37" s="15"/>
      <c r="E37" s="15"/>
      <c r="F37" s="580"/>
      <c r="G37" s="424"/>
      <c r="H37" s="743" t="str">
        <f t="shared" si="0"/>
        <v/>
      </c>
      <c r="I37" s="18"/>
      <c r="J37" s="61"/>
      <c r="K37" s="399"/>
      <c r="L37" s="420" t="str">
        <f t="shared" si="2"/>
        <v/>
      </c>
      <c r="M37" s="401" t="str">
        <f t="shared" si="3"/>
        <v/>
      </c>
    </row>
    <row r="38" spans="2:18" x14ac:dyDescent="0.25">
      <c r="B38" s="58"/>
      <c r="C38" s="65"/>
      <c r="D38" s="15"/>
      <c r="E38" s="15"/>
      <c r="F38" s="697"/>
      <c r="G38" s="424"/>
      <c r="H38" s="743" t="str">
        <f t="shared" si="0"/>
        <v/>
      </c>
      <c r="I38" s="18"/>
      <c r="J38" s="61"/>
      <c r="K38" s="400"/>
      <c r="L38" s="420" t="str">
        <f t="shared" si="2"/>
        <v/>
      </c>
      <c r="M38" s="401" t="str">
        <f t="shared" si="3"/>
        <v/>
      </c>
      <c r="O38" s="428"/>
      <c r="P38" s="428"/>
      <c r="Q38" s="428"/>
      <c r="R38" s="429"/>
    </row>
    <row r="39" spans="2:18" x14ac:dyDescent="0.25">
      <c r="B39" s="58"/>
      <c r="C39" s="65"/>
      <c r="D39" s="15"/>
      <c r="E39" s="15"/>
      <c r="F39" s="580"/>
      <c r="G39" s="424"/>
      <c r="H39" s="743" t="str">
        <f t="shared" si="0"/>
        <v/>
      </c>
      <c r="I39" s="18"/>
      <c r="J39" s="61"/>
      <c r="K39" s="399"/>
      <c r="L39" s="420" t="str">
        <f t="shared" si="2"/>
        <v/>
      </c>
      <c r="M39" s="401" t="str">
        <f t="shared" si="3"/>
        <v/>
      </c>
    </row>
    <row r="40" spans="2:18" x14ac:dyDescent="0.25">
      <c r="B40" s="58"/>
      <c r="C40" s="65"/>
      <c r="D40" s="15"/>
      <c r="E40" s="15"/>
      <c r="F40" s="580"/>
      <c r="G40" s="424"/>
      <c r="H40" s="743" t="str">
        <f t="shared" si="0"/>
        <v/>
      </c>
      <c r="I40" s="18"/>
      <c r="J40" s="61"/>
      <c r="K40" s="399"/>
      <c r="L40" s="420" t="str">
        <f t="shared" si="2"/>
        <v/>
      </c>
      <c r="M40" s="401" t="str">
        <f t="shared" si="3"/>
        <v/>
      </c>
    </row>
    <row r="41" spans="2:18" x14ac:dyDescent="0.25">
      <c r="B41" s="58"/>
      <c r="C41" s="65"/>
      <c r="D41" s="15"/>
      <c r="E41" s="15"/>
      <c r="F41" s="697"/>
      <c r="G41" s="424"/>
      <c r="H41" s="743" t="str">
        <f t="shared" si="0"/>
        <v/>
      </c>
      <c r="I41" s="18"/>
      <c r="J41" s="61"/>
      <c r="K41" s="399"/>
      <c r="L41" s="420" t="str">
        <f t="shared" si="2"/>
        <v/>
      </c>
      <c r="M41" s="401" t="str">
        <f t="shared" si="3"/>
        <v/>
      </c>
    </row>
    <row r="42" spans="2:18" x14ac:dyDescent="0.25">
      <c r="B42" s="58"/>
      <c r="C42" s="786"/>
      <c r="D42" s="15"/>
      <c r="E42" s="15"/>
      <c r="F42" s="580"/>
      <c r="G42" s="424"/>
      <c r="H42" s="743" t="str">
        <f t="shared" si="0"/>
        <v/>
      </c>
      <c r="I42" s="18"/>
      <c r="J42" s="61"/>
      <c r="K42" s="399"/>
      <c r="L42" s="420" t="str">
        <f t="shared" si="2"/>
        <v/>
      </c>
      <c r="M42" s="401" t="str">
        <f t="shared" si="3"/>
        <v/>
      </c>
    </row>
    <row r="43" spans="2:18" x14ac:dyDescent="0.25">
      <c r="B43" s="58"/>
      <c r="C43" s="65"/>
      <c r="D43" s="15"/>
      <c r="E43" s="15"/>
      <c r="F43" s="580"/>
      <c r="G43" s="424"/>
      <c r="H43" s="743" t="str">
        <f t="shared" si="0"/>
        <v/>
      </c>
      <c r="I43" s="18"/>
      <c r="J43" s="61"/>
      <c r="K43" s="399"/>
      <c r="L43" s="420" t="str">
        <f t="shared" si="2"/>
        <v/>
      </c>
      <c r="M43" s="401" t="str">
        <f t="shared" si="3"/>
        <v/>
      </c>
    </row>
    <row r="44" spans="2:18" x14ac:dyDescent="0.25">
      <c r="B44" s="58"/>
      <c r="C44" s="65"/>
      <c r="D44" s="15"/>
      <c r="E44" s="15"/>
      <c r="F44" s="580"/>
      <c r="G44" s="411"/>
      <c r="H44" s="743" t="str">
        <f t="shared" si="0"/>
        <v/>
      </c>
      <c r="I44" s="63"/>
      <c r="J44" s="61"/>
      <c r="K44" s="402"/>
      <c r="L44" s="420" t="str">
        <f t="shared" si="2"/>
        <v/>
      </c>
      <c r="M44" s="401" t="str">
        <f t="shared" si="3"/>
        <v/>
      </c>
    </row>
    <row r="45" spans="2:18" x14ac:dyDescent="0.25">
      <c r="B45" s="58"/>
      <c r="C45" s="65"/>
      <c r="D45" s="15"/>
      <c r="E45" s="15"/>
      <c r="F45" s="580"/>
      <c r="G45" s="424"/>
      <c r="H45" s="743" t="str">
        <f t="shared" si="0"/>
        <v/>
      </c>
      <c r="I45" s="18"/>
      <c r="J45" s="61"/>
      <c r="K45" s="399"/>
      <c r="L45" s="420" t="str">
        <f t="shared" si="2"/>
        <v/>
      </c>
      <c r="M45" s="401" t="str">
        <f t="shared" si="3"/>
        <v/>
      </c>
    </row>
    <row r="46" spans="2:18" x14ac:dyDescent="0.25">
      <c r="B46" s="58"/>
      <c r="C46" s="65"/>
      <c r="D46" s="15"/>
      <c r="E46" s="15"/>
      <c r="F46" s="580"/>
      <c r="G46" s="411"/>
      <c r="H46" s="743" t="str">
        <f t="shared" si="0"/>
        <v/>
      </c>
      <c r="I46" s="69"/>
      <c r="J46" s="61"/>
      <c r="K46" s="402"/>
      <c r="L46" s="420" t="str">
        <f t="shared" si="2"/>
        <v/>
      </c>
      <c r="M46" s="401" t="str">
        <f t="shared" si="3"/>
        <v/>
      </c>
    </row>
    <row r="47" spans="2:18" x14ac:dyDescent="0.25">
      <c r="B47" s="58"/>
      <c r="C47" s="65"/>
      <c r="D47" s="15"/>
      <c r="E47" s="15"/>
      <c r="F47" s="580"/>
      <c r="G47" s="411"/>
      <c r="H47" s="743" t="str">
        <f t="shared" si="0"/>
        <v/>
      </c>
      <c r="I47" s="63"/>
      <c r="J47" s="61"/>
      <c r="K47" s="402"/>
      <c r="L47" s="420" t="str">
        <f t="shared" si="2"/>
        <v/>
      </c>
      <c r="M47" s="401" t="str">
        <f t="shared" si="3"/>
        <v/>
      </c>
    </row>
    <row r="48" spans="2:18" x14ac:dyDescent="0.25">
      <c r="B48" s="58"/>
      <c r="C48" s="65"/>
      <c r="D48" s="15"/>
      <c r="E48" s="15"/>
      <c r="F48" s="580"/>
      <c r="G48" s="411"/>
      <c r="H48" s="743" t="str">
        <f t="shared" si="0"/>
        <v/>
      </c>
      <c r="I48" s="18"/>
      <c r="J48" s="61"/>
      <c r="K48" s="399"/>
      <c r="L48" s="420" t="str">
        <f t="shared" si="2"/>
        <v/>
      </c>
      <c r="M48" s="401" t="str">
        <f t="shared" si="3"/>
        <v/>
      </c>
    </row>
    <row r="49" spans="2:13" x14ac:dyDescent="0.25">
      <c r="B49" s="58"/>
      <c r="C49" s="65"/>
      <c r="D49" s="15"/>
      <c r="E49" s="15"/>
      <c r="F49" s="580"/>
      <c r="G49" s="411"/>
      <c r="H49" s="743" t="str">
        <f t="shared" si="0"/>
        <v/>
      </c>
      <c r="I49" s="18"/>
      <c r="J49" s="61"/>
      <c r="K49" s="399"/>
      <c r="L49" s="420" t="str">
        <f t="shared" si="2"/>
        <v/>
      </c>
      <c r="M49" s="401" t="str">
        <f t="shared" si="3"/>
        <v/>
      </c>
    </row>
    <row r="50" spans="2:13" ht="12" customHeight="1" x14ac:dyDescent="0.25">
      <c r="B50" s="58"/>
      <c r="C50" s="65"/>
      <c r="D50" s="15"/>
      <c r="E50" s="15"/>
      <c r="F50" s="580"/>
      <c r="G50" s="424"/>
      <c r="H50" s="743" t="str">
        <f t="shared" si="0"/>
        <v/>
      </c>
      <c r="I50" s="18"/>
      <c r="J50" s="61"/>
      <c r="K50" s="399"/>
      <c r="L50" s="420" t="str">
        <f t="shared" si="2"/>
        <v/>
      </c>
      <c r="M50" s="401" t="str">
        <f t="shared" si="3"/>
        <v/>
      </c>
    </row>
    <row r="51" spans="2:13" x14ac:dyDescent="0.25">
      <c r="B51" s="58"/>
      <c r="C51" s="65"/>
      <c r="D51" s="15"/>
      <c r="E51" s="15"/>
      <c r="F51" s="580"/>
      <c r="G51" s="411"/>
      <c r="H51" s="743" t="str">
        <f t="shared" si="0"/>
        <v/>
      </c>
      <c r="I51" s="18"/>
      <c r="J51" s="61"/>
      <c r="K51" s="399"/>
      <c r="L51" s="420" t="str">
        <f t="shared" si="2"/>
        <v/>
      </c>
      <c r="M51" s="401" t="str">
        <f t="shared" si="3"/>
        <v/>
      </c>
    </row>
    <row r="52" spans="2:13" x14ac:dyDescent="0.25">
      <c r="B52" s="58"/>
      <c r="C52" s="65"/>
      <c r="D52" s="15"/>
      <c r="E52" s="15"/>
      <c r="F52" s="580"/>
      <c r="G52" s="424"/>
      <c r="H52" s="743" t="str">
        <f t="shared" si="0"/>
        <v/>
      </c>
      <c r="I52" s="18"/>
      <c r="J52" s="62"/>
      <c r="K52" s="62"/>
      <c r="L52" s="420" t="str">
        <f t="shared" si="2"/>
        <v/>
      </c>
      <c r="M52" s="401" t="str">
        <f t="shared" si="3"/>
        <v/>
      </c>
    </row>
    <row r="53" spans="2:13" x14ac:dyDescent="0.25">
      <c r="B53" s="58"/>
      <c r="C53" s="65"/>
      <c r="D53" s="15"/>
      <c r="E53" s="15"/>
      <c r="F53" s="580"/>
      <c r="G53" s="411"/>
      <c r="H53" s="743" t="str">
        <f t="shared" si="0"/>
        <v/>
      </c>
      <c r="I53" s="63"/>
      <c r="J53" s="61"/>
      <c r="K53" s="62"/>
      <c r="L53" s="420" t="str">
        <f t="shared" si="2"/>
        <v/>
      </c>
      <c r="M53" s="401" t="str">
        <f t="shared" si="3"/>
        <v/>
      </c>
    </row>
    <row r="54" spans="2:13" x14ac:dyDescent="0.25">
      <c r="B54" s="58"/>
      <c r="C54" s="65"/>
      <c r="D54" s="15"/>
      <c r="E54" s="15"/>
      <c r="F54" s="580"/>
      <c r="G54" s="411"/>
      <c r="H54" s="743" t="str">
        <f t="shared" si="0"/>
        <v/>
      </c>
      <c r="I54" s="63"/>
      <c r="J54" s="61"/>
      <c r="K54" s="62"/>
      <c r="L54" s="420" t="str">
        <f t="shared" si="2"/>
        <v/>
      </c>
      <c r="M54" s="401" t="str">
        <f t="shared" si="3"/>
        <v/>
      </c>
    </row>
    <row r="55" spans="2:13" x14ac:dyDescent="0.25">
      <c r="B55" s="58"/>
      <c r="C55" s="65"/>
      <c r="D55" s="15"/>
      <c r="E55" s="15"/>
      <c r="F55" s="580"/>
      <c r="G55" s="411"/>
      <c r="H55" s="743" t="str">
        <f t="shared" si="0"/>
        <v/>
      </c>
      <c r="I55" s="63"/>
      <c r="J55" s="61"/>
      <c r="K55" s="62"/>
      <c r="L55" s="420" t="str">
        <f t="shared" si="2"/>
        <v/>
      </c>
      <c r="M55" s="401" t="str">
        <f t="shared" si="3"/>
        <v/>
      </c>
    </row>
    <row r="56" spans="2:13" x14ac:dyDescent="0.25">
      <c r="B56" s="58"/>
      <c r="C56" s="65"/>
      <c r="D56" s="15"/>
      <c r="E56" s="15"/>
      <c r="F56" s="580"/>
      <c r="G56" s="424"/>
      <c r="H56" s="743" t="str">
        <f t="shared" si="0"/>
        <v/>
      </c>
      <c r="I56" s="63"/>
      <c r="J56" s="61"/>
      <c r="K56" s="62"/>
      <c r="L56" s="420" t="str">
        <f t="shared" si="2"/>
        <v/>
      </c>
      <c r="M56" s="401" t="str">
        <f t="shared" si="3"/>
        <v/>
      </c>
    </row>
    <row r="57" spans="2:13" x14ac:dyDescent="0.25">
      <c r="B57" s="58"/>
      <c r="C57" s="65"/>
      <c r="D57" s="15"/>
      <c r="E57" s="15"/>
      <c r="F57" s="580"/>
      <c r="G57" s="411"/>
      <c r="H57" s="743" t="str">
        <f t="shared" si="0"/>
        <v/>
      </c>
      <c r="I57" s="63"/>
      <c r="J57" s="62"/>
      <c r="K57" s="62"/>
      <c r="L57" s="420" t="str">
        <f t="shared" si="2"/>
        <v/>
      </c>
      <c r="M57" s="401" t="str">
        <f t="shared" si="3"/>
        <v/>
      </c>
    </row>
    <row r="58" spans="2:13" x14ac:dyDescent="0.25">
      <c r="B58" s="58"/>
      <c r="C58" s="65"/>
      <c r="D58" s="15"/>
      <c r="E58" s="15"/>
      <c r="F58" s="580"/>
      <c r="G58" s="424"/>
      <c r="H58" s="743" t="str">
        <f t="shared" si="0"/>
        <v/>
      </c>
      <c r="I58" s="63"/>
      <c r="J58" s="62"/>
      <c r="K58" s="62"/>
      <c r="L58" s="420" t="str">
        <f t="shared" si="2"/>
        <v/>
      </c>
      <c r="M58" s="401" t="str">
        <f t="shared" si="3"/>
        <v/>
      </c>
    </row>
    <row r="59" spans="2:13" x14ac:dyDescent="0.25">
      <c r="B59" s="58"/>
      <c r="C59" s="65"/>
      <c r="D59" s="15"/>
      <c r="E59" s="15"/>
      <c r="F59" s="24"/>
      <c r="G59" s="422"/>
      <c r="H59" s="17" t="str">
        <f t="shared" si="0"/>
        <v/>
      </c>
      <c r="I59" s="63"/>
      <c r="J59" s="62"/>
      <c r="K59" s="62"/>
      <c r="L59" s="420" t="str">
        <f t="shared" si="2"/>
        <v/>
      </c>
      <c r="M59" s="401" t="str">
        <f t="shared" si="3"/>
        <v/>
      </c>
    </row>
    <row r="60" spans="2:13" x14ac:dyDescent="0.25">
      <c r="B60" s="58"/>
      <c r="C60" s="65"/>
      <c r="D60" s="15"/>
      <c r="E60" s="15"/>
      <c r="F60" s="24"/>
      <c r="G60" s="422"/>
      <c r="H60" s="17" t="str">
        <f t="shared" si="0"/>
        <v/>
      </c>
      <c r="I60" s="63"/>
      <c r="J60" s="62"/>
      <c r="K60" s="62"/>
      <c r="L60" s="420" t="str">
        <f t="shared" si="2"/>
        <v/>
      </c>
      <c r="M60" s="401" t="str">
        <f t="shared" si="3"/>
        <v/>
      </c>
    </row>
    <row r="61" spans="2:13" x14ac:dyDescent="0.25">
      <c r="B61" s="58"/>
      <c r="C61" s="65"/>
      <c r="D61" s="15"/>
      <c r="E61" s="15"/>
      <c r="F61" s="24"/>
      <c r="G61" s="422"/>
      <c r="H61" s="17" t="str">
        <f t="shared" si="0"/>
        <v/>
      </c>
      <c r="I61" s="63"/>
      <c r="J61" s="62"/>
      <c r="K61" s="62"/>
      <c r="L61" s="420" t="str">
        <f t="shared" si="2"/>
        <v/>
      </c>
      <c r="M61" s="401" t="str">
        <f t="shared" si="3"/>
        <v/>
      </c>
    </row>
    <row r="62" spans="2:13" x14ac:dyDescent="0.25">
      <c r="B62" s="58"/>
      <c r="C62" s="65"/>
      <c r="D62" s="15"/>
      <c r="E62" s="15"/>
      <c r="F62" s="24"/>
      <c r="G62" s="422"/>
      <c r="H62" s="17" t="str">
        <f t="shared" si="0"/>
        <v/>
      </c>
      <c r="I62" s="63"/>
      <c r="J62" s="62"/>
      <c r="K62" s="62"/>
      <c r="L62" s="420" t="str">
        <f t="shared" si="2"/>
        <v/>
      </c>
      <c r="M62" s="401" t="str">
        <f t="shared" si="3"/>
        <v/>
      </c>
    </row>
    <row r="63" spans="2:13" x14ac:dyDescent="0.25">
      <c r="B63" s="58"/>
      <c r="C63" s="65"/>
      <c r="D63" s="15"/>
      <c r="E63" s="15"/>
      <c r="F63" s="24"/>
      <c r="G63" s="422"/>
      <c r="H63" s="17" t="str">
        <f t="shared" si="0"/>
        <v/>
      </c>
      <c r="I63" s="63"/>
      <c r="J63" s="62"/>
      <c r="K63" s="62"/>
      <c r="L63" s="420" t="str">
        <f t="shared" si="2"/>
        <v/>
      </c>
      <c r="M63" s="401" t="str">
        <f t="shared" si="3"/>
        <v/>
      </c>
    </row>
    <row r="64" spans="2:13" x14ac:dyDescent="0.25">
      <c r="B64" s="58"/>
      <c r="C64" s="65"/>
      <c r="D64" s="15"/>
      <c r="E64" s="15"/>
      <c r="F64" s="24"/>
      <c r="G64" s="422"/>
      <c r="H64" s="17" t="str">
        <f t="shared" si="0"/>
        <v/>
      </c>
      <c r="I64" s="63"/>
      <c r="J64" s="62"/>
      <c r="K64" s="62"/>
      <c r="L64" s="420" t="str">
        <f t="shared" si="2"/>
        <v/>
      </c>
      <c r="M64" s="401" t="str">
        <f t="shared" si="3"/>
        <v/>
      </c>
    </row>
    <row r="65" spans="2:13" x14ac:dyDescent="0.25">
      <c r="B65" s="58"/>
      <c r="C65" s="65"/>
      <c r="D65" s="15"/>
      <c r="E65" s="15"/>
      <c r="F65" s="24"/>
      <c r="G65" s="422"/>
      <c r="H65" s="17" t="str">
        <f t="shared" ref="H65:H69" si="7">IF(D65="","",F65*G65)</f>
        <v/>
      </c>
      <c r="I65" s="63"/>
      <c r="J65" s="62"/>
      <c r="K65" s="62"/>
      <c r="L65" s="420" t="str">
        <f t="shared" ref="L65:L69" si="8">IF(J65="","",F65*K65)</f>
        <v/>
      </c>
      <c r="M65" s="401" t="str">
        <f t="shared" ref="M65:M69" si="9">IF(J65="","",IF(SUM(H65)=0,"",L65/H65))</f>
        <v/>
      </c>
    </row>
    <row r="66" spans="2:13" x14ac:dyDescent="0.25">
      <c r="B66" s="58"/>
      <c r="C66" s="65"/>
      <c r="D66" s="15"/>
      <c r="E66" s="15"/>
      <c r="F66" s="24"/>
      <c r="G66" s="422"/>
      <c r="H66" s="17" t="str">
        <f t="shared" si="7"/>
        <v/>
      </c>
      <c r="I66" s="63"/>
      <c r="J66" s="62"/>
      <c r="K66" s="62"/>
      <c r="L66" s="420" t="str">
        <f t="shared" si="8"/>
        <v/>
      </c>
      <c r="M66" s="401" t="str">
        <f t="shared" si="9"/>
        <v/>
      </c>
    </row>
    <row r="67" spans="2:13" x14ac:dyDescent="0.25">
      <c r="B67" s="58"/>
      <c r="C67" s="65"/>
      <c r="D67" s="15"/>
      <c r="E67" s="15"/>
      <c r="F67" s="24"/>
      <c r="G67" s="422"/>
      <c r="H67" s="17" t="str">
        <f t="shared" si="7"/>
        <v/>
      </c>
      <c r="I67" s="63"/>
      <c r="J67" s="62"/>
      <c r="K67" s="62"/>
      <c r="L67" s="420" t="str">
        <f t="shared" si="8"/>
        <v/>
      </c>
      <c r="M67" s="401" t="str">
        <f t="shared" si="9"/>
        <v/>
      </c>
    </row>
    <row r="68" spans="2:13" x14ac:dyDescent="0.25">
      <c r="B68" s="58"/>
      <c r="C68" s="65"/>
      <c r="D68" s="15"/>
      <c r="E68" s="15"/>
      <c r="F68" s="24"/>
      <c r="G68" s="422"/>
      <c r="H68" s="17" t="str">
        <f t="shared" si="7"/>
        <v/>
      </c>
      <c r="I68" s="63"/>
      <c r="J68" s="62"/>
      <c r="K68" s="62"/>
      <c r="L68" s="420" t="str">
        <f t="shared" si="8"/>
        <v/>
      </c>
      <c r="M68" s="401" t="str">
        <f t="shared" si="9"/>
        <v/>
      </c>
    </row>
    <row r="69" spans="2:13" x14ac:dyDescent="0.25">
      <c r="B69" s="58"/>
      <c r="C69" s="65"/>
      <c r="D69" s="15"/>
      <c r="E69" s="15"/>
      <c r="F69" s="24"/>
      <c r="G69" s="422"/>
      <c r="H69" s="17" t="str">
        <f t="shared" si="7"/>
        <v/>
      </c>
      <c r="I69" s="63"/>
      <c r="J69" s="62"/>
      <c r="K69" s="62"/>
      <c r="L69" s="420" t="str">
        <f t="shared" si="8"/>
        <v/>
      </c>
      <c r="M69" s="401" t="str">
        <f t="shared" si="9"/>
        <v/>
      </c>
    </row>
    <row r="70" spans="2:13" x14ac:dyDescent="0.25">
      <c r="B70" s="58"/>
      <c r="C70" s="65"/>
      <c r="D70" s="15"/>
      <c r="E70" s="15"/>
      <c r="F70" s="24"/>
      <c r="G70" s="422"/>
      <c r="H70" s="17" t="str">
        <f t="shared" ref="H70:H71" si="10">IF(D70="","",F70*G70)</f>
        <v/>
      </c>
      <c r="I70" s="63"/>
      <c r="J70" s="61"/>
      <c r="K70" s="695"/>
      <c r="L70" s="420" t="str">
        <f t="shared" ref="L70:L71" si="11">IF(J70="","",F70*K70)</f>
        <v/>
      </c>
      <c r="M70" s="401" t="str">
        <f t="shared" ref="M70:M72" si="12">IF(J70="","",IF(SUM(H70)=0,"",L70/H70))</f>
        <v/>
      </c>
    </row>
    <row r="71" spans="2:13" x14ac:dyDescent="0.25">
      <c r="B71" s="58"/>
      <c r="C71" s="65"/>
      <c r="D71" s="15"/>
      <c r="E71" s="15"/>
      <c r="F71" s="24"/>
      <c r="G71" s="411"/>
      <c r="H71" s="17" t="str">
        <f t="shared" si="10"/>
        <v/>
      </c>
      <c r="I71" s="63"/>
      <c r="J71" s="61"/>
      <c r="K71" s="696"/>
      <c r="L71" s="420" t="str">
        <f t="shared" si="11"/>
        <v/>
      </c>
      <c r="M71" s="401" t="str">
        <f t="shared" si="12"/>
        <v/>
      </c>
    </row>
    <row r="72" spans="2:13" s="28" customFormat="1" ht="19.5" customHeight="1" x14ac:dyDescent="0.25">
      <c r="B72" s="135" t="str">
        <f>$B$12</f>
        <v>C10.1</v>
      </c>
      <c r="C72" s="498" t="str">
        <f>"TOTAL CARRIED FORWARD"&amp;IF(H72=H$1," TO SUMMARY (Page C"&amp;Page_A&amp;")","")</f>
        <v>TOTAL CARRIED FORWARD TO SUMMARY (Page C48)</v>
      </c>
      <c r="D72" s="31"/>
      <c r="E72" s="31"/>
      <c r="F72" s="32"/>
      <c r="G72" s="31"/>
      <c r="H72" s="33">
        <f>SUM(H11:H71)</f>
        <v>0</v>
      </c>
      <c r="I72" s="34"/>
      <c r="J72" s="408"/>
      <c r="K72" s="406"/>
      <c r="L72" s="418">
        <f>SUM(L11:L71)</f>
        <v>0</v>
      </c>
      <c r="M72" s="407" t="str">
        <f t="shared" si="12"/>
        <v/>
      </c>
    </row>
    <row r="73" spans="2:13" ht="13" x14ac:dyDescent="0.25">
      <c r="B73" s="1108" t="str">
        <f>Client1</f>
        <v>Province of KwaZulu-Natal</v>
      </c>
      <c r="C73" s="1108"/>
      <c r="D73" s="1108"/>
      <c r="E73" s="87"/>
      <c r="F73" s="1109" t="str">
        <f>"Contract No. "&amp;ContractNo</f>
        <v>Contract No. ZNB 00399/00000/HOD/INF/21/T</v>
      </c>
      <c r="G73" s="1109"/>
      <c r="H73" s="1109"/>
    </row>
    <row r="74" spans="2:13" ht="13" x14ac:dyDescent="0.25">
      <c r="B74" s="1108" t="str">
        <f>Client2</f>
        <v>Department of Transport</v>
      </c>
      <c r="C74" s="1108"/>
      <c r="D74" s="1108"/>
      <c r="E74" s="87"/>
      <c r="F74" s="1109"/>
      <c r="G74" s="1109"/>
      <c r="H74" s="1109"/>
    </row>
    <row r="75" spans="2:13" x14ac:dyDescent="0.25">
      <c r="B75" s="1111"/>
      <c r="C75" s="1111"/>
      <c r="D75" s="1111"/>
      <c r="E75" s="78"/>
      <c r="F75" s="1110"/>
      <c r="G75" s="1110"/>
      <c r="H75" s="1110"/>
    </row>
    <row r="76" spans="2:13" ht="13" x14ac:dyDescent="0.25">
      <c r="B76" s="1112" t="s">
        <v>8</v>
      </c>
      <c r="C76" s="1113"/>
      <c r="D76" s="1113"/>
      <c r="E76" s="1113"/>
      <c r="F76" s="1113"/>
      <c r="G76" s="1113"/>
      <c r="H76" s="1114" t="str">
        <f>$H$6</f>
        <v>CHAPTER C10.1</v>
      </c>
      <c r="I76" s="6"/>
    </row>
    <row r="77" spans="2:13" ht="13" x14ac:dyDescent="0.25">
      <c r="B77" s="1117" t="str">
        <f>ContractDescription</f>
        <v>THE CONSTRUCTION OF EARTHWORKS, LAYERWORKS, SURFACING, CULVERTS AND CWAKA RIVER BRIDGE FROM KM 11.600 TO KM 14.000 ON MAIN ROAD P494 IN THE KING CETSHWAYO DISTRICT UNDER EMPANGENI REGION</v>
      </c>
      <c r="C77" s="1118"/>
      <c r="D77" s="1118"/>
      <c r="E77" s="1118"/>
      <c r="F77" s="1118"/>
      <c r="G77" s="1118"/>
      <c r="H77" s="1115"/>
      <c r="I77" s="8"/>
    </row>
    <row r="78" spans="2:13" ht="13" x14ac:dyDescent="0.25">
      <c r="B78" s="1117"/>
      <c r="C78" s="1118"/>
      <c r="D78" s="1118"/>
      <c r="E78" s="1118"/>
      <c r="F78" s="1118"/>
      <c r="G78" s="1118"/>
      <c r="H78" s="1115"/>
      <c r="I78" s="8"/>
    </row>
    <row r="79" spans="2:13" ht="13" x14ac:dyDescent="0.25">
      <c r="B79" s="1119"/>
      <c r="C79" s="1120"/>
      <c r="D79" s="1120"/>
      <c r="E79" s="1120"/>
      <c r="F79" s="1120"/>
      <c r="G79" s="1120"/>
      <c r="H79" s="1116"/>
      <c r="I79" s="8"/>
    </row>
    <row r="80" spans="2:13" s="9" customFormat="1" ht="25" customHeight="1" x14ac:dyDescent="0.25">
      <c r="B80" s="74" t="s">
        <v>0</v>
      </c>
      <c r="C80" s="11" t="s">
        <v>1</v>
      </c>
      <c r="D80" s="11" t="s">
        <v>2</v>
      </c>
      <c r="E80" s="11"/>
      <c r="F80" s="11" t="s">
        <v>3</v>
      </c>
      <c r="G80" s="11" t="s">
        <v>4</v>
      </c>
      <c r="H80" s="11" t="s">
        <v>5</v>
      </c>
      <c r="I80" s="12"/>
      <c r="J80" s="408" t="s">
        <v>996</v>
      </c>
      <c r="K80" s="253" t="s">
        <v>997</v>
      </c>
      <c r="L80" s="253" t="s">
        <v>998</v>
      </c>
      <c r="M80" s="253" t="s">
        <v>999</v>
      </c>
    </row>
    <row r="81" spans="2:13" s="28" customFormat="1" ht="19.5" customHeight="1" x14ac:dyDescent="0.25">
      <c r="B81" s="80"/>
      <c r="C81" s="30" t="s">
        <v>27</v>
      </c>
      <c r="D81" s="31"/>
      <c r="E81" s="31"/>
      <c r="F81" s="32"/>
      <c r="G81" s="31"/>
      <c r="H81" s="33">
        <f>H72</f>
        <v>0</v>
      </c>
      <c r="I81" s="34"/>
      <c r="J81" s="416"/>
      <c r="K81" s="409"/>
      <c r="L81" s="419">
        <f>L72</f>
        <v>0</v>
      </c>
      <c r="M81" s="410" t="str">
        <f>IF(F81="","",IF(SUM(I81)=0,"",L81/I81))</f>
        <v/>
      </c>
    </row>
    <row r="82" spans="2:13" x14ac:dyDescent="0.25">
      <c r="B82" s="58"/>
      <c r="C82" s="14"/>
      <c r="D82" s="15"/>
      <c r="E82" s="15"/>
      <c r="F82" s="24"/>
      <c r="G82" s="411"/>
      <c r="H82" s="17"/>
      <c r="J82" s="37"/>
      <c r="K82" s="399"/>
      <c r="L82" s="420" t="str">
        <f t="shared" ref="L82:L128" si="13">IF(J82="","",F82*K82)</f>
        <v/>
      </c>
      <c r="M82" s="401" t="str">
        <f t="shared" ref="M82:M128" si="14">IF(J82="","",IF(SUM(H82)=0,"",L82/H82))</f>
        <v/>
      </c>
    </row>
    <row r="83" spans="2:13" x14ac:dyDescent="0.25">
      <c r="B83" s="58"/>
      <c r="C83" s="14"/>
      <c r="D83" s="21"/>
      <c r="E83" s="21"/>
      <c r="F83" s="24"/>
      <c r="G83" s="423"/>
      <c r="H83" s="17" t="str">
        <f t="shared" ref="H83:H127" si="15">IF(D83="","",F83*G83)</f>
        <v/>
      </c>
      <c r="J83" s="37"/>
      <c r="K83" s="399"/>
      <c r="L83" s="420" t="str">
        <f t="shared" si="13"/>
        <v/>
      </c>
      <c r="M83" s="401" t="str">
        <f t="shared" si="14"/>
        <v/>
      </c>
    </row>
    <row r="84" spans="2:13" x14ac:dyDescent="0.25">
      <c r="B84" s="58"/>
      <c r="C84" s="14"/>
      <c r="D84" s="15"/>
      <c r="E84" s="15"/>
      <c r="F84" s="24"/>
      <c r="G84" s="411"/>
      <c r="H84" s="17" t="str">
        <f t="shared" si="15"/>
        <v/>
      </c>
      <c r="J84" s="37"/>
      <c r="K84" s="399"/>
      <c r="L84" s="420" t="str">
        <f t="shared" si="13"/>
        <v/>
      </c>
      <c r="M84" s="401" t="str">
        <f t="shared" si="14"/>
        <v/>
      </c>
    </row>
    <row r="85" spans="2:13" x14ac:dyDescent="0.25">
      <c r="B85" s="46"/>
      <c r="C85" s="26"/>
      <c r="D85" s="15"/>
      <c r="E85" s="15"/>
      <c r="F85" s="24"/>
      <c r="G85" s="421"/>
      <c r="H85" s="17" t="str">
        <f t="shared" si="15"/>
        <v/>
      </c>
      <c r="J85" s="37"/>
      <c r="K85" s="399"/>
      <c r="L85" s="420" t="str">
        <f t="shared" si="13"/>
        <v/>
      </c>
      <c r="M85" s="401" t="str">
        <f t="shared" si="14"/>
        <v/>
      </c>
    </row>
    <row r="86" spans="2:13" x14ac:dyDescent="0.25">
      <c r="B86" s="46"/>
      <c r="C86" s="14"/>
      <c r="D86" s="15"/>
      <c r="E86" s="15"/>
      <c r="F86" s="24"/>
      <c r="G86" s="421"/>
      <c r="H86" s="17" t="str">
        <f t="shared" si="15"/>
        <v/>
      </c>
      <c r="J86" s="37"/>
      <c r="K86" s="400"/>
      <c r="L86" s="420" t="str">
        <f t="shared" si="13"/>
        <v/>
      </c>
      <c r="M86" s="401" t="str">
        <f t="shared" si="14"/>
        <v/>
      </c>
    </row>
    <row r="87" spans="2:13" x14ac:dyDescent="0.25">
      <c r="B87" s="58"/>
      <c r="C87" s="14"/>
      <c r="D87" s="15"/>
      <c r="E87" s="15"/>
      <c r="F87" s="24"/>
      <c r="G87" s="422"/>
      <c r="H87" s="17" t="str">
        <f t="shared" si="15"/>
        <v/>
      </c>
      <c r="J87" s="37"/>
      <c r="K87" s="399"/>
      <c r="L87" s="420" t="str">
        <f t="shared" si="13"/>
        <v/>
      </c>
      <c r="M87" s="401" t="str">
        <f t="shared" si="14"/>
        <v/>
      </c>
    </row>
    <row r="88" spans="2:13" x14ac:dyDescent="0.25">
      <c r="B88" s="58"/>
      <c r="C88" s="14"/>
      <c r="D88" s="15"/>
      <c r="E88" s="15"/>
      <c r="F88" s="24"/>
      <c r="G88" s="421"/>
      <c r="H88" s="17" t="str">
        <f t="shared" si="15"/>
        <v/>
      </c>
      <c r="J88" s="37"/>
      <c r="K88" s="399"/>
      <c r="L88" s="420" t="str">
        <f t="shared" si="13"/>
        <v/>
      </c>
      <c r="M88" s="401" t="str">
        <f t="shared" si="14"/>
        <v/>
      </c>
    </row>
    <row r="89" spans="2:13" x14ac:dyDescent="0.25">
      <c r="B89" s="85"/>
      <c r="C89" s="14"/>
      <c r="D89" s="21"/>
      <c r="E89" s="21"/>
      <c r="F89" s="24"/>
      <c r="G89" s="423"/>
      <c r="H89" s="17" t="str">
        <f t="shared" si="15"/>
        <v/>
      </c>
      <c r="J89" s="37"/>
      <c r="K89" s="399"/>
      <c r="L89" s="420" t="str">
        <f t="shared" si="13"/>
        <v/>
      </c>
      <c r="M89" s="401" t="str">
        <f t="shared" si="14"/>
        <v/>
      </c>
    </row>
    <row r="90" spans="2:13" x14ac:dyDescent="0.25">
      <c r="B90" s="58"/>
      <c r="C90" s="14"/>
      <c r="D90" s="15"/>
      <c r="E90" s="15"/>
      <c r="F90" s="24"/>
      <c r="G90" s="421"/>
      <c r="H90" s="17" t="str">
        <f t="shared" si="15"/>
        <v/>
      </c>
      <c r="J90" s="37"/>
      <c r="K90" s="402"/>
      <c r="L90" s="420" t="str">
        <f t="shared" si="13"/>
        <v/>
      </c>
      <c r="M90" s="401" t="str">
        <f t="shared" si="14"/>
        <v/>
      </c>
    </row>
    <row r="91" spans="2:13" x14ac:dyDescent="0.25">
      <c r="B91" s="58"/>
      <c r="C91" s="14"/>
      <c r="D91" s="15"/>
      <c r="E91" s="15"/>
      <c r="F91" s="24"/>
      <c r="G91" s="411"/>
      <c r="H91" s="17" t="str">
        <f t="shared" si="15"/>
        <v/>
      </c>
      <c r="J91" s="37"/>
      <c r="K91" s="402"/>
      <c r="L91" s="420" t="str">
        <f t="shared" si="13"/>
        <v/>
      </c>
      <c r="M91" s="401" t="str">
        <f t="shared" si="14"/>
        <v/>
      </c>
    </row>
    <row r="92" spans="2:13" x14ac:dyDescent="0.25">
      <c r="B92" s="58"/>
      <c r="C92" s="14"/>
      <c r="D92" s="15"/>
      <c r="E92" s="15"/>
      <c r="F92" s="24"/>
      <c r="G92" s="411"/>
      <c r="H92" s="17" t="str">
        <f t="shared" si="15"/>
        <v/>
      </c>
      <c r="J92" s="37"/>
      <c r="K92" s="402"/>
      <c r="L92" s="420" t="str">
        <f t="shared" si="13"/>
        <v/>
      </c>
      <c r="M92" s="401" t="str">
        <f t="shared" si="14"/>
        <v/>
      </c>
    </row>
    <row r="93" spans="2:13" x14ac:dyDescent="0.25">
      <c r="B93" s="46"/>
      <c r="C93" s="14"/>
      <c r="D93" s="15"/>
      <c r="E93" s="15"/>
      <c r="F93" s="24"/>
      <c r="G93" s="422"/>
      <c r="H93" s="17" t="str">
        <f t="shared" si="15"/>
        <v/>
      </c>
      <c r="J93" s="37"/>
      <c r="K93" s="402"/>
      <c r="L93" s="420" t="str">
        <f t="shared" si="13"/>
        <v/>
      </c>
      <c r="M93" s="401" t="str">
        <f t="shared" si="14"/>
        <v/>
      </c>
    </row>
    <row r="94" spans="2:13" x14ac:dyDescent="0.25">
      <c r="B94" s="46"/>
      <c r="C94" s="14"/>
      <c r="D94" s="21"/>
      <c r="E94" s="21"/>
      <c r="F94" s="24"/>
      <c r="G94" s="422"/>
      <c r="H94" s="17" t="str">
        <f t="shared" si="15"/>
        <v/>
      </c>
      <c r="J94" s="37"/>
      <c r="K94" s="402"/>
      <c r="L94" s="420" t="str">
        <f t="shared" si="13"/>
        <v/>
      </c>
      <c r="M94" s="401" t="str">
        <f t="shared" si="14"/>
        <v/>
      </c>
    </row>
    <row r="95" spans="2:13" x14ac:dyDescent="0.25">
      <c r="B95" s="46"/>
      <c r="C95" s="14"/>
      <c r="D95" s="15"/>
      <c r="E95" s="15"/>
      <c r="F95" s="24"/>
      <c r="G95" s="422"/>
      <c r="H95" s="17" t="str">
        <f t="shared" si="15"/>
        <v/>
      </c>
      <c r="J95" s="37"/>
      <c r="K95" s="402"/>
      <c r="L95" s="420" t="str">
        <f t="shared" si="13"/>
        <v/>
      </c>
      <c r="M95" s="401" t="str">
        <f t="shared" si="14"/>
        <v/>
      </c>
    </row>
    <row r="96" spans="2:13" x14ac:dyDescent="0.25">
      <c r="B96" s="46"/>
      <c r="C96" s="14"/>
      <c r="D96" s="21"/>
      <c r="E96" s="21"/>
      <c r="F96" s="24"/>
      <c r="G96" s="422"/>
      <c r="H96" s="17" t="str">
        <f t="shared" si="15"/>
        <v/>
      </c>
      <c r="J96" s="37"/>
      <c r="K96" s="399"/>
      <c r="L96" s="420" t="str">
        <f t="shared" si="13"/>
        <v/>
      </c>
      <c r="M96" s="401" t="str">
        <f t="shared" si="14"/>
        <v/>
      </c>
    </row>
    <row r="97" spans="2:13" x14ac:dyDescent="0.25">
      <c r="B97" s="46"/>
      <c r="C97" s="14"/>
      <c r="D97" s="15"/>
      <c r="E97" s="15"/>
      <c r="F97" s="24"/>
      <c r="G97" s="422"/>
      <c r="H97" s="17" t="str">
        <f t="shared" si="15"/>
        <v/>
      </c>
      <c r="J97" s="37"/>
      <c r="K97" s="399"/>
      <c r="L97" s="420" t="str">
        <f t="shared" si="13"/>
        <v/>
      </c>
      <c r="M97" s="401" t="str">
        <f t="shared" si="14"/>
        <v/>
      </c>
    </row>
    <row r="98" spans="2:13" x14ac:dyDescent="0.25">
      <c r="B98" s="46"/>
      <c r="C98" s="14"/>
      <c r="D98" s="21"/>
      <c r="E98" s="21"/>
      <c r="F98" s="24"/>
      <c r="G98" s="422"/>
      <c r="H98" s="17" t="str">
        <f t="shared" si="15"/>
        <v/>
      </c>
      <c r="J98" s="37"/>
      <c r="K98" s="400"/>
      <c r="L98" s="420" t="str">
        <f t="shared" si="13"/>
        <v/>
      </c>
      <c r="M98" s="401" t="str">
        <f t="shared" si="14"/>
        <v/>
      </c>
    </row>
    <row r="99" spans="2:13" x14ac:dyDescent="0.25">
      <c r="B99" s="46"/>
      <c r="C99" s="14"/>
      <c r="D99" s="21"/>
      <c r="E99" s="21"/>
      <c r="F99" s="24"/>
      <c r="G99" s="422"/>
      <c r="H99" s="17" t="str">
        <f t="shared" si="15"/>
        <v/>
      </c>
      <c r="J99" s="37"/>
      <c r="K99" s="399"/>
      <c r="L99" s="420" t="str">
        <f t="shared" si="13"/>
        <v/>
      </c>
      <c r="M99" s="401" t="str">
        <f t="shared" si="14"/>
        <v/>
      </c>
    </row>
    <row r="100" spans="2:13" x14ac:dyDescent="0.25">
      <c r="B100" s="46"/>
      <c r="C100" s="14"/>
      <c r="D100" s="21"/>
      <c r="E100" s="21"/>
      <c r="F100" s="24"/>
      <c r="G100" s="422"/>
      <c r="H100" s="17" t="str">
        <f t="shared" si="15"/>
        <v/>
      </c>
      <c r="J100" s="37"/>
      <c r="K100" s="399"/>
      <c r="L100" s="420" t="str">
        <f t="shared" si="13"/>
        <v/>
      </c>
      <c r="M100" s="401" t="str">
        <f t="shared" si="14"/>
        <v/>
      </c>
    </row>
    <row r="101" spans="2:13" x14ac:dyDescent="0.25">
      <c r="B101" s="46"/>
      <c r="C101" s="14"/>
      <c r="D101" s="15"/>
      <c r="E101" s="15"/>
      <c r="F101" s="24"/>
      <c r="G101" s="422"/>
      <c r="H101" s="17" t="str">
        <f t="shared" si="15"/>
        <v/>
      </c>
      <c r="J101" s="37"/>
      <c r="K101" s="399"/>
      <c r="L101" s="420" t="str">
        <f t="shared" si="13"/>
        <v/>
      </c>
      <c r="M101" s="401" t="str">
        <f t="shared" si="14"/>
        <v/>
      </c>
    </row>
    <row r="102" spans="2:13" x14ac:dyDescent="0.25">
      <c r="B102" s="46"/>
      <c r="C102" s="14"/>
      <c r="D102" s="21"/>
      <c r="E102" s="21"/>
      <c r="F102" s="24"/>
      <c r="G102" s="422"/>
      <c r="H102" s="17" t="str">
        <f t="shared" si="15"/>
        <v/>
      </c>
      <c r="J102" s="37"/>
      <c r="K102" s="399"/>
      <c r="L102" s="420" t="str">
        <f t="shared" si="13"/>
        <v/>
      </c>
      <c r="M102" s="401" t="str">
        <f t="shared" si="14"/>
        <v/>
      </c>
    </row>
    <row r="103" spans="2:13" x14ac:dyDescent="0.25">
      <c r="B103" s="46"/>
      <c r="C103" s="14"/>
      <c r="D103" s="15"/>
      <c r="E103" s="15"/>
      <c r="F103" s="24"/>
      <c r="G103" s="422"/>
      <c r="H103" s="17" t="str">
        <f t="shared" si="15"/>
        <v/>
      </c>
      <c r="J103" s="37"/>
      <c r="K103" s="399"/>
      <c r="L103" s="420" t="str">
        <f t="shared" si="13"/>
        <v/>
      </c>
      <c r="M103" s="401" t="str">
        <f t="shared" si="14"/>
        <v/>
      </c>
    </row>
    <row r="104" spans="2:13" x14ac:dyDescent="0.25">
      <c r="B104" s="58"/>
      <c r="C104" s="14"/>
      <c r="D104" s="15"/>
      <c r="E104" s="15"/>
      <c r="F104" s="24"/>
      <c r="G104" s="422"/>
      <c r="H104" s="17" t="str">
        <f t="shared" si="15"/>
        <v/>
      </c>
      <c r="J104" s="37"/>
      <c r="K104" s="400"/>
      <c r="L104" s="420" t="str">
        <f t="shared" si="13"/>
        <v/>
      </c>
      <c r="M104" s="401" t="str">
        <f t="shared" si="14"/>
        <v/>
      </c>
    </row>
    <row r="105" spans="2:13" x14ac:dyDescent="0.25">
      <c r="B105" s="46"/>
      <c r="C105" s="14"/>
      <c r="D105" s="15"/>
      <c r="E105" s="15"/>
      <c r="F105" s="24"/>
      <c r="G105" s="423"/>
      <c r="H105" s="17" t="str">
        <f t="shared" si="15"/>
        <v/>
      </c>
      <c r="J105" s="61"/>
      <c r="K105" s="399"/>
      <c r="L105" s="420" t="str">
        <f t="shared" si="13"/>
        <v/>
      </c>
      <c r="M105" s="401" t="str">
        <f t="shared" si="14"/>
        <v/>
      </c>
    </row>
    <row r="106" spans="2:13" x14ac:dyDescent="0.25">
      <c r="B106" s="46"/>
      <c r="C106" s="14"/>
      <c r="D106" s="15"/>
      <c r="E106" s="15"/>
      <c r="F106" s="15"/>
      <c r="G106" s="411"/>
      <c r="H106" s="17" t="str">
        <f t="shared" si="15"/>
        <v/>
      </c>
      <c r="J106" s="37"/>
      <c r="K106" s="399"/>
      <c r="L106" s="420" t="str">
        <f t="shared" si="13"/>
        <v/>
      </c>
      <c r="M106" s="401" t="str">
        <f t="shared" si="14"/>
        <v/>
      </c>
    </row>
    <row r="107" spans="2:13" x14ac:dyDescent="0.25">
      <c r="B107" s="46"/>
      <c r="C107" s="26"/>
      <c r="D107" s="21"/>
      <c r="E107" s="21"/>
      <c r="F107" s="15"/>
      <c r="G107" s="411"/>
      <c r="H107" s="17" t="str">
        <f t="shared" si="15"/>
        <v/>
      </c>
      <c r="J107" s="37"/>
      <c r="K107" s="399"/>
      <c r="L107" s="420" t="str">
        <f t="shared" si="13"/>
        <v/>
      </c>
      <c r="M107" s="401" t="str">
        <f t="shared" si="14"/>
        <v/>
      </c>
    </row>
    <row r="108" spans="2:13" x14ac:dyDescent="0.25">
      <c r="B108" s="46"/>
      <c r="C108" s="14"/>
      <c r="D108" s="15"/>
      <c r="E108" s="15"/>
      <c r="F108" s="15"/>
      <c r="G108" s="411"/>
      <c r="H108" s="17" t="str">
        <f t="shared" si="15"/>
        <v/>
      </c>
      <c r="J108" s="37"/>
      <c r="K108" s="399"/>
      <c r="L108" s="420" t="str">
        <f t="shared" si="13"/>
        <v/>
      </c>
      <c r="M108" s="401" t="str">
        <f t="shared" si="14"/>
        <v/>
      </c>
    </row>
    <row r="109" spans="2:13" x14ac:dyDescent="0.25">
      <c r="B109" s="58"/>
      <c r="C109" s="14"/>
      <c r="D109" s="21"/>
      <c r="E109" s="21"/>
      <c r="F109" s="15"/>
      <c r="G109" s="411"/>
      <c r="H109" s="17" t="str">
        <f t="shared" si="15"/>
        <v/>
      </c>
      <c r="J109" s="37"/>
      <c r="K109" s="399"/>
      <c r="L109" s="420" t="str">
        <f t="shared" si="13"/>
        <v/>
      </c>
      <c r="M109" s="401" t="str">
        <f t="shared" si="14"/>
        <v/>
      </c>
    </row>
    <row r="110" spans="2:13" x14ac:dyDescent="0.25">
      <c r="B110" s="58"/>
      <c r="C110" s="14"/>
      <c r="D110" s="15"/>
      <c r="E110" s="15"/>
      <c r="F110" s="15"/>
      <c r="G110" s="411"/>
      <c r="H110" s="17" t="str">
        <f t="shared" si="15"/>
        <v/>
      </c>
      <c r="J110" s="37"/>
      <c r="K110" s="399"/>
      <c r="L110" s="420" t="str">
        <f t="shared" si="13"/>
        <v/>
      </c>
      <c r="M110" s="401" t="str">
        <f t="shared" si="14"/>
        <v/>
      </c>
    </row>
    <row r="111" spans="2:13" x14ac:dyDescent="0.25">
      <c r="B111" s="85"/>
      <c r="C111" s="14"/>
      <c r="D111" s="21"/>
      <c r="E111" s="21"/>
      <c r="F111" s="22"/>
      <c r="G111" s="412"/>
      <c r="H111" s="17" t="str">
        <f t="shared" si="15"/>
        <v/>
      </c>
      <c r="J111" s="37"/>
      <c r="K111" s="399"/>
      <c r="L111" s="420" t="str">
        <f t="shared" si="13"/>
        <v/>
      </c>
      <c r="M111" s="401" t="str">
        <f t="shared" si="14"/>
        <v/>
      </c>
    </row>
    <row r="112" spans="2:13" x14ac:dyDescent="0.25">
      <c r="B112" s="58"/>
      <c r="C112" s="14"/>
      <c r="D112" s="15"/>
      <c r="E112" s="15"/>
      <c r="F112" s="24"/>
      <c r="G112" s="411"/>
      <c r="H112" s="17" t="str">
        <f t="shared" si="15"/>
        <v/>
      </c>
      <c r="J112" s="37"/>
      <c r="K112" s="399"/>
      <c r="L112" s="420" t="str">
        <f t="shared" si="13"/>
        <v/>
      </c>
      <c r="M112" s="401" t="str">
        <f t="shared" si="14"/>
        <v/>
      </c>
    </row>
    <row r="113" spans="2:13" x14ac:dyDescent="0.25">
      <c r="B113" s="58"/>
      <c r="C113" s="14"/>
      <c r="D113" s="21"/>
      <c r="E113" s="21"/>
      <c r="F113" s="24"/>
      <c r="G113" s="423"/>
      <c r="H113" s="17" t="str">
        <f t="shared" si="15"/>
        <v/>
      </c>
      <c r="J113" s="37"/>
      <c r="K113" s="399"/>
      <c r="L113" s="420" t="str">
        <f t="shared" si="13"/>
        <v/>
      </c>
      <c r="M113" s="401" t="str">
        <f t="shared" si="14"/>
        <v/>
      </c>
    </row>
    <row r="114" spans="2:13" x14ac:dyDescent="0.25">
      <c r="B114" s="58"/>
      <c r="C114" s="14"/>
      <c r="D114" s="15"/>
      <c r="E114" s="15"/>
      <c r="F114" s="24"/>
      <c r="G114" s="411"/>
      <c r="H114" s="17" t="str">
        <f t="shared" si="15"/>
        <v/>
      </c>
      <c r="J114" s="37"/>
      <c r="K114" s="399"/>
      <c r="L114" s="420" t="str">
        <f t="shared" si="13"/>
        <v/>
      </c>
      <c r="M114" s="401" t="str">
        <f t="shared" si="14"/>
        <v/>
      </c>
    </row>
    <row r="115" spans="2:13" x14ac:dyDescent="0.25">
      <c r="B115" s="46"/>
      <c r="C115" s="26"/>
      <c r="D115" s="15"/>
      <c r="E115" s="15"/>
      <c r="F115" s="24"/>
      <c r="G115" s="421"/>
      <c r="H115" s="17" t="str">
        <f t="shared" si="15"/>
        <v/>
      </c>
      <c r="J115" s="37"/>
      <c r="K115" s="399"/>
      <c r="L115" s="420" t="str">
        <f t="shared" si="13"/>
        <v/>
      </c>
      <c r="M115" s="401" t="str">
        <f t="shared" si="14"/>
        <v/>
      </c>
    </row>
    <row r="116" spans="2:13" x14ac:dyDescent="0.25">
      <c r="B116" s="46"/>
      <c r="C116" s="14"/>
      <c r="D116" s="15"/>
      <c r="E116" s="15"/>
      <c r="F116" s="24"/>
      <c r="G116" s="421"/>
      <c r="H116" s="17" t="str">
        <f t="shared" si="15"/>
        <v/>
      </c>
      <c r="J116" s="37"/>
      <c r="K116" s="402"/>
      <c r="L116" s="420" t="str">
        <f t="shared" si="13"/>
        <v/>
      </c>
      <c r="M116" s="401" t="str">
        <f t="shared" si="14"/>
        <v/>
      </c>
    </row>
    <row r="117" spans="2:13" x14ac:dyDescent="0.25">
      <c r="B117" s="58"/>
      <c r="C117" s="14"/>
      <c r="D117" s="15"/>
      <c r="E117" s="15"/>
      <c r="F117" s="24"/>
      <c r="G117" s="422"/>
      <c r="H117" s="17" t="str">
        <f t="shared" si="15"/>
        <v/>
      </c>
      <c r="J117" s="37"/>
      <c r="K117" s="399"/>
      <c r="L117" s="420" t="str">
        <f t="shared" si="13"/>
        <v/>
      </c>
      <c r="M117" s="401" t="str">
        <f t="shared" si="14"/>
        <v/>
      </c>
    </row>
    <row r="118" spans="2:13" x14ac:dyDescent="0.25">
      <c r="B118" s="58"/>
      <c r="C118" s="14"/>
      <c r="D118" s="15"/>
      <c r="E118" s="15"/>
      <c r="F118" s="24"/>
      <c r="G118" s="421"/>
      <c r="H118" s="17" t="str">
        <f t="shared" si="15"/>
        <v/>
      </c>
      <c r="J118" s="37"/>
      <c r="K118" s="402"/>
      <c r="L118" s="420" t="str">
        <f t="shared" si="13"/>
        <v/>
      </c>
      <c r="M118" s="401" t="str">
        <f t="shared" si="14"/>
        <v/>
      </c>
    </row>
    <row r="119" spans="2:13" x14ac:dyDescent="0.25">
      <c r="B119" s="85"/>
      <c r="C119" s="14"/>
      <c r="D119" s="21"/>
      <c r="E119" s="21"/>
      <c r="F119" s="24"/>
      <c r="G119" s="423"/>
      <c r="H119" s="17" t="str">
        <f t="shared" si="15"/>
        <v/>
      </c>
      <c r="J119" s="37"/>
      <c r="K119" s="402"/>
      <c r="L119" s="420" t="str">
        <f t="shared" si="13"/>
        <v/>
      </c>
      <c r="M119" s="401" t="str">
        <f t="shared" si="14"/>
        <v/>
      </c>
    </row>
    <row r="120" spans="2:13" x14ac:dyDescent="0.25">
      <c r="B120" s="58"/>
      <c r="C120" s="14"/>
      <c r="D120" s="15"/>
      <c r="E120" s="15"/>
      <c r="F120" s="24"/>
      <c r="G120" s="421"/>
      <c r="H120" s="17" t="str">
        <f t="shared" si="15"/>
        <v/>
      </c>
      <c r="J120" s="42"/>
      <c r="K120" s="42"/>
      <c r="L120" s="420" t="str">
        <f t="shared" si="13"/>
        <v/>
      </c>
      <c r="M120" s="401" t="str">
        <f t="shared" si="14"/>
        <v/>
      </c>
    </row>
    <row r="121" spans="2:13" x14ac:dyDescent="0.25">
      <c r="B121" s="58"/>
      <c r="C121" s="14"/>
      <c r="D121" s="15"/>
      <c r="E121" s="15"/>
      <c r="F121" s="24"/>
      <c r="G121" s="411"/>
      <c r="H121" s="17" t="str">
        <f t="shared" si="15"/>
        <v/>
      </c>
      <c r="J121" s="42"/>
      <c r="K121" s="42"/>
      <c r="L121" s="420" t="str">
        <f t="shared" si="13"/>
        <v/>
      </c>
      <c r="M121" s="401" t="str">
        <f t="shared" si="14"/>
        <v/>
      </c>
    </row>
    <row r="122" spans="2:13" x14ac:dyDescent="0.25">
      <c r="B122" s="58"/>
      <c r="C122" s="14"/>
      <c r="D122" s="15"/>
      <c r="E122" s="15"/>
      <c r="F122" s="24"/>
      <c r="G122" s="411"/>
      <c r="H122" s="17" t="str">
        <f t="shared" si="15"/>
        <v/>
      </c>
      <c r="J122" s="42"/>
      <c r="K122" s="42"/>
      <c r="L122" s="420" t="str">
        <f t="shared" si="13"/>
        <v/>
      </c>
      <c r="M122" s="401" t="str">
        <f t="shared" si="14"/>
        <v/>
      </c>
    </row>
    <row r="123" spans="2:13" x14ac:dyDescent="0.25">
      <c r="B123" s="46"/>
      <c r="C123" s="14"/>
      <c r="D123" s="15"/>
      <c r="E123" s="15"/>
      <c r="F123" s="24"/>
      <c r="G123" s="422"/>
      <c r="H123" s="17" t="str">
        <f t="shared" si="15"/>
        <v/>
      </c>
      <c r="J123" s="42"/>
      <c r="K123" s="42"/>
      <c r="L123" s="420" t="str">
        <f t="shared" si="13"/>
        <v/>
      </c>
      <c r="M123" s="401" t="str">
        <f t="shared" si="14"/>
        <v/>
      </c>
    </row>
    <row r="124" spans="2:13" ht="12" customHeight="1" x14ac:dyDescent="0.25">
      <c r="B124" s="46"/>
      <c r="C124" s="14"/>
      <c r="D124" s="21"/>
      <c r="E124" s="21"/>
      <c r="F124" s="24"/>
      <c r="G124" s="422"/>
      <c r="H124" s="17" t="str">
        <f t="shared" si="15"/>
        <v/>
      </c>
      <c r="J124" s="42"/>
      <c r="K124" s="42"/>
      <c r="L124" s="420" t="str">
        <f t="shared" si="13"/>
        <v/>
      </c>
      <c r="M124" s="401" t="str">
        <f t="shared" si="14"/>
        <v/>
      </c>
    </row>
    <row r="125" spans="2:13" x14ac:dyDescent="0.25">
      <c r="B125" s="46"/>
      <c r="C125" s="14"/>
      <c r="D125" s="15"/>
      <c r="E125" s="15"/>
      <c r="F125" s="24"/>
      <c r="G125" s="422"/>
      <c r="H125" s="17" t="str">
        <f t="shared" si="15"/>
        <v/>
      </c>
      <c r="J125" s="42"/>
      <c r="K125" s="42"/>
      <c r="L125" s="420" t="str">
        <f t="shared" si="13"/>
        <v/>
      </c>
      <c r="M125" s="401" t="str">
        <f t="shared" si="14"/>
        <v/>
      </c>
    </row>
    <row r="126" spans="2:13" ht="12" customHeight="1" x14ac:dyDescent="0.25">
      <c r="B126" s="46"/>
      <c r="C126" s="14"/>
      <c r="D126" s="21"/>
      <c r="E126" s="21"/>
      <c r="F126" s="24"/>
      <c r="G126" s="422"/>
      <c r="H126" s="17" t="str">
        <f t="shared" si="15"/>
        <v/>
      </c>
      <c r="J126" s="37"/>
      <c r="K126" s="42"/>
      <c r="L126" s="420" t="str">
        <f t="shared" si="13"/>
        <v/>
      </c>
      <c r="M126" s="401" t="str">
        <f t="shared" si="14"/>
        <v/>
      </c>
    </row>
    <row r="127" spans="2:13" x14ac:dyDescent="0.25">
      <c r="B127" s="46"/>
      <c r="C127" s="14"/>
      <c r="D127" s="15"/>
      <c r="E127" s="15"/>
      <c r="F127" s="24"/>
      <c r="G127" s="422"/>
      <c r="H127" s="17" t="str">
        <f t="shared" si="15"/>
        <v/>
      </c>
      <c r="J127" s="37"/>
      <c r="K127" s="403"/>
      <c r="L127" s="420" t="str">
        <f t="shared" si="13"/>
        <v/>
      </c>
      <c r="M127" s="401" t="str">
        <f t="shared" si="14"/>
        <v/>
      </c>
    </row>
    <row r="128" spans="2:13" ht="12" customHeight="1" x14ac:dyDescent="0.25">
      <c r="B128" s="46"/>
      <c r="C128" s="14"/>
      <c r="D128" s="15"/>
      <c r="E128" s="15"/>
      <c r="F128" s="24"/>
      <c r="G128" s="422"/>
      <c r="H128" s="17"/>
      <c r="J128" s="37"/>
      <c r="K128" s="404"/>
      <c r="L128" s="420" t="str">
        <f t="shared" si="13"/>
        <v/>
      </c>
      <c r="M128" s="401" t="str">
        <f t="shared" si="14"/>
        <v/>
      </c>
    </row>
    <row r="129" spans="2:13" s="28" customFormat="1" ht="19.5" customHeight="1" x14ac:dyDescent="0.25">
      <c r="B129" s="135" t="str">
        <f>$B$12</f>
        <v>C10.1</v>
      </c>
      <c r="C129" s="498" t="str">
        <f>"TOTAL CARRIED FORWARD"&amp;IF(H129=H$1," TO SUMMARY (Page C"&amp;Page_A&amp;")","")</f>
        <v>TOTAL CARRIED FORWARD TO SUMMARY (Page C48)</v>
      </c>
      <c r="D129" s="31"/>
      <c r="E129" s="31"/>
      <c r="F129" s="32"/>
      <c r="G129" s="31"/>
      <c r="H129" s="33">
        <f>SUM(H81:H128)</f>
        <v>0</v>
      </c>
      <c r="I129" s="34"/>
      <c r="J129" s="408"/>
      <c r="K129" s="406"/>
      <c r="L129" s="418">
        <f>SUM(L81:L128)</f>
        <v>0</v>
      </c>
      <c r="M129" s="407" t="str">
        <f>IF(F134="","",IF(SUM(I134)=0,"",L129/I125))</f>
        <v/>
      </c>
    </row>
    <row r="130" spans="2:13" ht="13" x14ac:dyDescent="0.25">
      <c r="B130" s="1108" t="str">
        <f>Client1</f>
        <v>Province of KwaZulu-Natal</v>
      </c>
      <c r="C130" s="1108"/>
      <c r="D130" s="1108"/>
      <c r="E130" s="87"/>
      <c r="F130" s="1109" t="str">
        <f>"Contract No. "&amp;ContractNo</f>
        <v>Contract No. ZNB 00399/00000/HOD/INF/21/T</v>
      </c>
      <c r="G130" s="1109"/>
      <c r="H130" s="1109"/>
    </row>
    <row r="131" spans="2:13" ht="13" x14ac:dyDescent="0.25">
      <c r="B131" s="1108" t="str">
        <f>Client2</f>
        <v>Department of Transport</v>
      </c>
      <c r="C131" s="1108"/>
      <c r="D131" s="1108"/>
      <c r="E131" s="87"/>
      <c r="F131" s="1109"/>
      <c r="G131" s="1109"/>
      <c r="H131" s="1109"/>
    </row>
    <row r="132" spans="2:13" x14ac:dyDescent="0.25">
      <c r="B132" s="1111"/>
      <c r="C132" s="1111"/>
      <c r="D132" s="1111"/>
      <c r="E132" s="78"/>
      <c r="F132" s="1110"/>
      <c r="G132" s="1110"/>
      <c r="H132" s="1110"/>
    </row>
    <row r="133" spans="2:13" ht="13" x14ac:dyDescent="0.25">
      <c r="B133" s="1112" t="s">
        <v>8</v>
      </c>
      <c r="C133" s="1113"/>
      <c r="D133" s="1113"/>
      <c r="E133" s="1113"/>
      <c r="F133" s="1113"/>
      <c r="G133" s="1113"/>
      <c r="H133" s="1114" t="str">
        <f>$H$6</f>
        <v>CHAPTER C10.1</v>
      </c>
      <c r="I133" s="6"/>
    </row>
    <row r="134" spans="2:13" ht="13" x14ac:dyDescent="0.25">
      <c r="B134" s="1117" t="str">
        <f>ContractDescription</f>
        <v>THE CONSTRUCTION OF EARTHWORKS, LAYERWORKS, SURFACING, CULVERTS AND CWAKA RIVER BRIDGE FROM KM 11.600 TO KM 14.000 ON MAIN ROAD P494 IN THE KING CETSHWAYO DISTRICT UNDER EMPANGENI REGION</v>
      </c>
      <c r="C134" s="1118"/>
      <c r="D134" s="1118"/>
      <c r="E134" s="1118"/>
      <c r="F134" s="1118"/>
      <c r="G134" s="1118"/>
      <c r="H134" s="1115"/>
      <c r="I134" s="8"/>
    </row>
    <row r="135" spans="2:13" ht="13" x14ac:dyDescent="0.25">
      <c r="B135" s="1117"/>
      <c r="C135" s="1118"/>
      <c r="D135" s="1118"/>
      <c r="E135" s="1118"/>
      <c r="F135" s="1118"/>
      <c r="G135" s="1118"/>
      <c r="H135" s="1115"/>
      <c r="I135" s="8"/>
    </row>
    <row r="136" spans="2:13" ht="13" x14ac:dyDescent="0.25">
      <c r="B136" s="1119"/>
      <c r="C136" s="1120"/>
      <c r="D136" s="1120"/>
      <c r="E136" s="1120"/>
      <c r="F136" s="1120"/>
      <c r="G136" s="1120"/>
      <c r="H136" s="1116"/>
      <c r="I136" s="8"/>
    </row>
    <row r="137" spans="2:13" s="9" customFormat="1" ht="25" customHeight="1" x14ac:dyDescent="0.25">
      <c r="B137" s="74" t="s">
        <v>0</v>
      </c>
      <c r="C137" s="11" t="s">
        <v>1</v>
      </c>
      <c r="D137" s="11" t="s">
        <v>2</v>
      </c>
      <c r="E137" s="11"/>
      <c r="F137" s="11" t="s">
        <v>3</v>
      </c>
      <c r="G137" s="11" t="s">
        <v>4</v>
      </c>
      <c r="H137" s="11" t="s">
        <v>5</v>
      </c>
      <c r="I137" s="12"/>
      <c r="J137" s="408" t="s">
        <v>996</v>
      </c>
      <c r="K137" s="253" t="s">
        <v>997</v>
      </c>
      <c r="L137" s="253" t="s">
        <v>998</v>
      </c>
      <c r="M137" s="253" t="s">
        <v>999</v>
      </c>
    </row>
    <row r="138" spans="2:13" s="28" customFormat="1" ht="19.5" customHeight="1" x14ac:dyDescent="0.25">
      <c r="B138" s="80"/>
      <c r="C138" s="30" t="s">
        <v>27</v>
      </c>
      <c r="D138" s="31"/>
      <c r="E138" s="31"/>
      <c r="F138" s="32"/>
      <c r="G138" s="31"/>
      <c r="H138" s="33">
        <f>H129</f>
        <v>0</v>
      </c>
      <c r="I138" s="34"/>
      <c r="J138" s="416"/>
      <c r="K138" s="409"/>
      <c r="L138" s="419">
        <f>L129</f>
        <v>0</v>
      </c>
      <c r="M138" s="410" t="str">
        <f>IF(F138="","",IF(SUM(I138)=0,"",L138/I138))</f>
        <v/>
      </c>
    </row>
    <row r="139" spans="2:13" x14ac:dyDescent="0.25">
      <c r="B139" s="46"/>
      <c r="C139" s="14"/>
      <c r="D139" s="21"/>
      <c r="E139" s="21"/>
      <c r="F139" s="24"/>
      <c r="G139" s="422"/>
      <c r="H139" s="17" t="str">
        <f t="shared" ref="H139:H170" si="16">IF(D139="","",F139*G139)</f>
        <v/>
      </c>
      <c r="J139" s="37"/>
      <c r="K139" s="399"/>
      <c r="L139" s="420" t="str">
        <f t="shared" ref="L139:L195" si="17">IF(J139="","",F139*K139)</f>
        <v/>
      </c>
      <c r="M139" s="401" t="str">
        <f t="shared" ref="M139:M170" si="18">IF(J139="","",IF(SUM(H139)=0,"",L139/H139))</f>
        <v/>
      </c>
    </row>
    <row r="140" spans="2:13" x14ac:dyDescent="0.25">
      <c r="B140" s="46"/>
      <c r="C140" s="14"/>
      <c r="D140" s="21"/>
      <c r="E140" s="21"/>
      <c r="F140" s="24"/>
      <c r="G140" s="422"/>
      <c r="H140" s="17" t="str">
        <f t="shared" si="16"/>
        <v/>
      </c>
      <c r="J140" s="37"/>
      <c r="K140" s="399"/>
      <c r="L140" s="420" t="str">
        <f t="shared" si="17"/>
        <v/>
      </c>
      <c r="M140" s="401" t="str">
        <f t="shared" si="18"/>
        <v/>
      </c>
    </row>
    <row r="141" spans="2:13" x14ac:dyDescent="0.25">
      <c r="B141" s="46"/>
      <c r="C141" s="14"/>
      <c r="D141" s="21"/>
      <c r="E141" s="21"/>
      <c r="F141" s="24"/>
      <c r="G141" s="422"/>
      <c r="H141" s="17" t="str">
        <f t="shared" si="16"/>
        <v/>
      </c>
      <c r="J141" s="37"/>
      <c r="K141" s="399"/>
      <c r="L141" s="420" t="str">
        <f t="shared" si="17"/>
        <v/>
      </c>
      <c r="M141" s="401" t="str">
        <f t="shared" si="18"/>
        <v/>
      </c>
    </row>
    <row r="142" spans="2:13" x14ac:dyDescent="0.25">
      <c r="B142" s="46"/>
      <c r="C142" s="14"/>
      <c r="D142" s="15"/>
      <c r="E142" s="15"/>
      <c r="F142" s="24"/>
      <c r="G142" s="422"/>
      <c r="H142" s="17" t="str">
        <f t="shared" si="16"/>
        <v/>
      </c>
      <c r="J142" s="37"/>
      <c r="K142" s="399"/>
      <c r="L142" s="420" t="str">
        <f t="shared" si="17"/>
        <v/>
      </c>
      <c r="M142" s="401" t="str">
        <f t="shared" si="18"/>
        <v/>
      </c>
    </row>
    <row r="143" spans="2:13" x14ac:dyDescent="0.25">
      <c r="B143" s="46"/>
      <c r="C143" s="14"/>
      <c r="D143" s="21"/>
      <c r="E143" s="21"/>
      <c r="F143" s="24"/>
      <c r="G143" s="422"/>
      <c r="H143" s="17" t="str">
        <f t="shared" si="16"/>
        <v/>
      </c>
      <c r="J143" s="37"/>
      <c r="K143" s="400"/>
      <c r="L143" s="420" t="str">
        <f t="shared" si="17"/>
        <v/>
      </c>
      <c r="M143" s="401" t="str">
        <f t="shared" si="18"/>
        <v/>
      </c>
    </row>
    <row r="144" spans="2:13" x14ac:dyDescent="0.25">
      <c r="B144" s="46"/>
      <c r="C144" s="14"/>
      <c r="D144" s="15"/>
      <c r="E144" s="15"/>
      <c r="F144" s="24"/>
      <c r="G144" s="422"/>
      <c r="H144" s="17" t="str">
        <f t="shared" si="16"/>
        <v/>
      </c>
      <c r="J144" s="37"/>
      <c r="K144" s="399"/>
      <c r="L144" s="420" t="str">
        <f t="shared" si="17"/>
        <v/>
      </c>
      <c r="M144" s="401" t="str">
        <f t="shared" si="18"/>
        <v/>
      </c>
    </row>
    <row r="145" spans="2:24" x14ac:dyDescent="0.25">
      <c r="B145" s="58"/>
      <c r="C145" s="14"/>
      <c r="D145" s="15"/>
      <c r="E145" s="15"/>
      <c r="F145" s="24"/>
      <c r="G145" s="422"/>
      <c r="H145" s="17" t="str">
        <f t="shared" si="16"/>
        <v/>
      </c>
      <c r="J145" s="37"/>
      <c r="K145" s="399"/>
      <c r="L145" s="420" t="str">
        <f t="shared" si="17"/>
        <v/>
      </c>
      <c r="M145" s="401" t="str">
        <f t="shared" si="18"/>
        <v/>
      </c>
    </row>
    <row r="146" spans="2:24" x14ac:dyDescent="0.25">
      <c r="B146" s="46"/>
      <c r="C146" s="14"/>
      <c r="D146" s="15"/>
      <c r="E146" s="15"/>
      <c r="F146" s="24"/>
      <c r="G146" s="423"/>
      <c r="H146" s="17" t="str">
        <f t="shared" si="16"/>
        <v/>
      </c>
      <c r="J146" s="37"/>
      <c r="K146" s="399"/>
      <c r="L146" s="420" t="str">
        <f t="shared" si="17"/>
        <v/>
      </c>
      <c r="M146" s="401" t="str">
        <f t="shared" si="18"/>
        <v/>
      </c>
    </row>
    <row r="147" spans="2:24" x14ac:dyDescent="0.25">
      <c r="B147" s="46"/>
      <c r="C147" s="14"/>
      <c r="D147" s="15"/>
      <c r="E147" s="15"/>
      <c r="F147" s="15"/>
      <c r="G147" s="411"/>
      <c r="H147" s="17" t="str">
        <f t="shared" si="16"/>
        <v/>
      </c>
      <c r="J147" s="37"/>
      <c r="K147" s="402"/>
      <c r="L147" s="420" t="str">
        <f t="shared" si="17"/>
        <v/>
      </c>
      <c r="M147" s="401" t="str">
        <f t="shared" si="18"/>
        <v/>
      </c>
    </row>
    <row r="148" spans="2:24" x14ac:dyDescent="0.25">
      <c r="B148" s="46"/>
      <c r="C148" s="26"/>
      <c r="D148" s="21"/>
      <c r="E148" s="21"/>
      <c r="F148" s="15"/>
      <c r="G148" s="411"/>
      <c r="H148" s="17" t="str">
        <f t="shared" si="16"/>
        <v/>
      </c>
      <c r="J148" s="37"/>
      <c r="K148" s="402"/>
      <c r="L148" s="420" t="str">
        <f t="shared" si="17"/>
        <v/>
      </c>
      <c r="M148" s="401" t="str">
        <f t="shared" si="18"/>
        <v/>
      </c>
    </row>
    <row r="149" spans="2:24" x14ac:dyDescent="0.25">
      <c r="B149" s="46"/>
      <c r="C149" s="14"/>
      <c r="D149" s="15"/>
      <c r="E149" s="15"/>
      <c r="F149" s="15"/>
      <c r="G149" s="411"/>
      <c r="H149" s="17" t="str">
        <f t="shared" si="16"/>
        <v/>
      </c>
      <c r="J149" s="37"/>
      <c r="K149" s="402"/>
      <c r="L149" s="420" t="str">
        <f t="shared" si="17"/>
        <v/>
      </c>
      <c r="M149" s="401" t="str">
        <f t="shared" si="18"/>
        <v/>
      </c>
    </row>
    <row r="150" spans="2:24" x14ac:dyDescent="0.25">
      <c r="B150" s="58"/>
      <c r="C150" s="14"/>
      <c r="D150" s="21"/>
      <c r="E150" s="21"/>
      <c r="F150" s="15"/>
      <c r="G150" s="411"/>
      <c r="H150" s="17" t="str">
        <f t="shared" si="16"/>
        <v/>
      </c>
      <c r="J150" s="37"/>
      <c r="K150" s="402"/>
      <c r="L150" s="420" t="str">
        <f t="shared" si="17"/>
        <v/>
      </c>
      <c r="M150" s="401" t="str">
        <f t="shared" si="18"/>
        <v/>
      </c>
    </row>
    <row r="151" spans="2:24" x14ac:dyDescent="0.25">
      <c r="B151" s="58"/>
      <c r="C151" s="14"/>
      <c r="D151" s="15"/>
      <c r="E151" s="15"/>
      <c r="F151" s="15"/>
      <c r="G151" s="411"/>
      <c r="H151" s="17" t="str">
        <f t="shared" si="16"/>
        <v/>
      </c>
      <c r="J151" s="37"/>
      <c r="K151" s="402"/>
      <c r="L151" s="420" t="str">
        <f t="shared" si="17"/>
        <v/>
      </c>
      <c r="M151" s="401" t="str">
        <f t="shared" si="18"/>
        <v/>
      </c>
      <c r="U151" s="430"/>
      <c r="V151" s="431"/>
    </row>
    <row r="152" spans="2:24" x14ac:dyDescent="0.25">
      <c r="B152" s="85"/>
      <c r="C152" s="14"/>
      <c r="D152" s="21"/>
      <c r="E152" s="21"/>
      <c r="F152" s="22"/>
      <c r="G152" s="412"/>
      <c r="H152" s="17" t="str">
        <f t="shared" si="16"/>
        <v/>
      </c>
      <c r="J152" s="37"/>
      <c r="K152" s="402"/>
      <c r="L152" s="420" t="str">
        <f t="shared" si="17"/>
        <v/>
      </c>
      <c r="M152" s="401" t="str">
        <f t="shared" si="18"/>
        <v/>
      </c>
      <c r="O152" s="432"/>
      <c r="P152" s="432"/>
      <c r="Q152" s="432"/>
      <c r="R152" s="429"/>
      <c r="S152" s="433"/>
      <c r="T152" s="430"/>
      <c r="U152" s="434"/>
      <c r="V152" s="435"/>
      <c r="W152" s="436"/>
      <c r="X152" s="437"/>
    </row>
    <row r="153" spans="2:24" x14ac:dyDescent="0.25">
      <c r="B153" s="58"/>
      <c r="C153" s="14"/>
      <c r="D153" s="15"/>
      <c r="E153" s="15"/>
      <c r="F153" s="24"/>
      <c r="G153" s="411"/>
      <c r="H153" s="17" t="str">
        <f t="shared" si="16"/>
        <v/>
      </c>
      <c r="J153" s="37"/>
      <c r="K153" s="399"/>
      <c r="L153" s="420" t="str">
        <f t="shared" si="17"/>
        <v/>
      </c>
      <c r="M153" s="401" t="str">
        <f t="shared" si="18"/>
        <v/>
      </c>
    </row>
    <row r="154" spans="2:24" x14ac:dyDescent="0.25">
      <c r="B154" s="58"/>
      <c r="C154" s="14"/>
      <c r="D154" s="21"/>
      <c r="E154" s="21"/>
      <c r="F154" s="24"/>
      <c r="G154" s="423"/>
      <c r="H154" s="17" t="str">
        <f t="shared" si="16"/>
        <v/>
      </c>
      <c r="J154" s="37"/>
      <c r="K154" s="399"/>
      <c r="L154" s="420" t="str">
        <f t="shared" si="17"/>
        <v/>
      </c>
      <c r="M154" s="401" t="str">
        <f t="shared" si="18"/>
        <v/>
      </c>
    </row>
    <row r="155" spans="2:24" x14ac:dyDescent="0.25">
      <c r="B155" s="58"/>
      <c r="C155" s="14"/>
      <c r="D155" s="15"/>
      <c r="E155" s="15"/>
      <c r="F155" s="24"/>
      <c r="G155" s="411"/>
      <c r="H155" s="17" t="str">
        <f t="shared" si="16"/>
        <v/>
      </c>
      <c r="J155" s="37"/>
      <c r="K155" s="400"/>
      <c r="L155" s="420" t="str">
        <f t="shared" si="17"/>
        <v/>
      </c>
      <c r="M155" s="401" t="str">
        <f t="shared" si="18"/>
        <v/>
      </c>
    </row>
    <row r="156" spans="2:24" x14ac:dyDescent="0.25">
      <c r="B156" s="46"/>
      <c r="C156" s="26"/>
      <c r="D156" s="15"/>
      <c r="E156" s="15"/>
      <c r="F156" s="24"/>
      <c r="G156" s="421"/>
      <c r="H156" s="17" t="str">
        <f t="shared" si="16"/>
        <v/>
      </c>
      <c r="J156" s="37"/>
      <c r="K156" s="399"/>
      <c r="L156" s="420" t="str">
        <f t="shared" si="17"/>
        <v/>
      </c>
      <c r="M156" s="401" t="str">
        <f t="shared" si="18"/>
        <v/>
      </c>
    </row>
    <row r="157" spans="2:24" x14ac:dyDescent="0.25">
      <c r="B157" s="46"/>
      <c r="C157" s="14"/>
      <c r="D157" s="15"/>
      <c r="E157" s="15"/>
      <c r="F157" s="24"/>
      <c r="G157" s="421"/>
      <c r="H157" s="17" t="str">
        <f t="shared" si="16"/>
        <v/>
      </c>
      <c r="J157" s="37"/>
      <c r="K157" s="399"/>
      <c r="L157" s="420" t="str">
        <f t="shared" si="17"/>
        <v/>
      </c>
      <c r="M157" s="401" t="str">
        <f t="shared" si="18"/>
        <v/>
      </c>
    </row>
    <row r="158" spans="2:24" x14ac:dyDescent="0.25">
      <c r="B158" s="58"/>
      <c r="C158" s="14"/>
      <c r="D158" s="15"/>
      <c r="E158" s="15"/>
      <c r="F158" s="24"/>
      <c r="G158" s="422"/>
      <c r="H158" s="17" t="str">
        <f t="shared" si="16"/>
        <v/>
      </c>
      <c r="J158" s="37"/>
      <c r="K158" s="399"/>
      <c r="L158" s="420" t="str">
        <f t="shared" si="17"/>
        <v/>
      </c>
      <c r="M158" s="401" t="str">
        <f t="shared" si="18"/>
        <v/>
      </c>
    </row>
    <row r="159" spans="2:24" x14ac:dyDescent="0.25">
      <c r="B159" s="58"/>
      <c r="C159" s="14"/>
      <c r="D159" s="15"/>
      <c r="E159" s="15"/>
      <c r="F159" s="24"/>
      <c r="G159" s="421"/>
      <c r="H159" s="17" t="str">
        <f t="shared" si="16"/>
        <v/>
      </c>
      <c r="J159" s="37"/>
      <c r="K159" s="399"/>
      <c r="L159" s="420" t="str">
        <f t="shared" si="17"/>
        <v/>
      </c>
      <c r="M159" s="401" t="str">
        <f t="shared" si="18"/>
        <v/>
      </c>
    </row>
    <row r="160" spans="2:24" x14ac:dyDescent="0.25">
      <c r="B160" s="85"/>
      <c r="C160" s="14"/>
      <c r="D160" s="21"/>
      <c r="E160" s="21"/>
      <c r="F160" s="24"/>
      <c r="G160" s="423"/>
      <c r="H160" s="17" t="str">
        <f t="shared" si="16"/>
        <v/>
      </c>
      <c r="J160" s="37"/>
      <c r="K160" s="399"/>
      <c r="L160" s="420" t="str">
        <f t="shared" si="17"/>
        <v/>
      </c>
      <c r="M160" s="401" t="str">
        <f t="shared" si="18"/>
        <v/>
      </c>
    </row>
    <row r="161" spans="2:13" x14ac:dyDescent="0.25">
      <c r="B161" s="58"/>
      <c r="C161" s="14"/>
      <c r="D161" s="15"/>
      <c r="E161" s="15"/>
      <c r="F161" s="24"/>
      <c r="G161" s="421"/>
      <c r="H161" s="17" t="str">
        <f t="shared" si="16"/>
        <v/>
      </c>
      <c r="J161" s="37"/>
      <c r="K161" s="400"/>
      <c r="L161" s="420" t="str">
        <f t="shared" si="17"/>
        <v/>
      </c>
      <c r="M161" s="401" t="str">
        <f t="shared" si="18"/>
        <v/>
      </c>
    </row>
    <row r="162" spans="2:13" x14ac:dyDescent="0.25">
      <c r="B162" s="58"/>
      <c r="C162" s="14"/>
      <c r="D162" s="15"/>
      <c r="E162" s="15"/>
      <c r="F162" s="24"/>
      <c r="G162" s="411"/>
      <c r="H162" s="17" t="str">
        <f t="shared" si="16"/>
        <v/>
      </c>
      <c r="J162" s="61"/>
      <c r="K162" s="399"/>
      <c r="L162" s="420" t="str">
        <f t="shared" si="17"/>
        <v/>
      </c>
      <c r="M162" s="401" t="str">
        <f t="shared" si="18"/>
        <v/>
      </c>
    </row>
    <row r="163" spans="2:13" x14ac:dyDescent="0.25">
      <c r="B163" s="58"/>
      <c r="C163" s="14"/>
      <c r="D163" s="15"/>
      <c r="E163" s="15"/>
      <c r="F163" s="24"/>
      <c r="G163" s="411"/>
      <c r="H163" s="17" t="str">
        <f t="shared" si="16"/>
        <v/>
      </c>
      <c r="J163" s="37"/>
      <c r="K163" s="399"/>
      <c r="L163" s="420" t="str">
        <f t="shared" si="17"/>
        <v/>
      </c>
      <c r="M163" s="401" t="str">
        <f t="shared" si="18"/>
        <v/>
      </c>
    </row>
    <row r="164" spans="2:13" x14ac:dyDescent="0.25">
      <c r="B164" s="46"/>
      <c r="C164" s="14"/>
      <c r="D164" s="15"/>
      <c r="E164" s="15"/>
      <c r="F164" s="24"/>
      <c r="G164" s="422"/>
      <c r="H164" s="17" t="str">
        <f t="shared" si="16"/>
        <v/>
      </c>
      <c r="J164" s="37"/>
      <c r="K164" s="399"/>
      <c r="L164" s="420" t="str">
        <f t="shared" si="17"/>
        <v/>
      </c>
      <c r="M164" s="401" t="str">
        <f t="shared" si="18"/>
        <v/>
      </c>
    </row>
    <row r="165" spans="2:13" x14ac:dyDescent="0.25">
      <c r="B165" s="46"/>
      <c r="C165" s="14"/>
      <c r="D165" s="21"/>
      <c r="E165" s="21"/>
      <c r="F165" s="24"/>
      <c r="G165" s="422"/>
      <c r="H165" s="17" t="str">
        <f t="shared" si="16"/>
        <v/>
      </c>
      <c r="J165" s="37"/>
      <c r="K165" s="399"/>
      <c r="L165" s="420" t="str">
        <f t="shared" si="17"/>
        <v/>
      </c>
      <c r="M165" s="401" t="str">
        <f t="shared" si="18"/>
        <v/>
      </c>
    </row>
    <row r="166" spans="2:13" x14ac:dyDescent="0.25">
      <c r="B166" s="46"/>
      <c r="C166" s="14"/>
      <c r="D166" s="15"/>
      <c r="E166" s="15"/>
      <c r="F166" s="24"/>
      <c r="G166" s="422"/>
      <c r="H166" s="17" t="str">
        <f t="shared" si="16"/>
        <v/>
      </c>
      <c r="J166" s="37"/>
      <c r="K166" s="399"/>
      <c r="L166" s="420" t="str">
        <f t="shared" si="17"/>
        <v/>
      </c>
      <c r="M166" s="401" t="str">
        <f t="shared" si="18"/>
        <v/>
      </c>
    </row>
    <row r="167" spans="2:13" x14ac:dyDescent="0.25">
      <c r="B167" s="46"/>
      <c r="C167" s="14"/>
      <c r="D167" s="21"/>
      <c r="E167" s="21"/>
      <c r="F167" s="24"/>
      <c r="G167" s="422"/>
      <c r="H167" s="17" t="str">
        <f t="shared" si="16"/>
        <v/>
      </c>
      <c r="J167" s="37"/>
      <c r="K167" s="399"/>
      <c r="L167" s="420" t="str">
        <f t="shared" si="17"/>
        <v/>
      </c>
      <c r="M167" s="401" t="str">
        <f t="shared" si="18"/>
        <v/>
      </c>
    </row>
    <row r="168" spans="2:13" x14ac:dyDescent="0.25">
      <c r="B168" s="46"/>
      <c r="C168" s="14"/>
      <c r="D168" s="15"/>
      <c r="E168" s="15"/>
      <c r="F168" s="24"/>
      <c r="G168" s="422"/>
      <c r="H168" s="17" t="str">
        <f t="shared" si="16"/>
        <v/>
      </c>
      <c r="J168" s="37"/>
      <c r="K168" s="399"/>
      <c r="L168" s="420" t="str">
        <f t="shared" si="17"/>
        <v/>
      </c>
      <c r="M168" s="401" t="str">
        <f t="shared" si="18"/>
        <v/>
      </c>
    </row>
    <row r="169" spans="2:13" x14ac:dyDescent="0.25">
      <c r="B169" s="46"/>
      <c r="C169" s="14"/>
      <c r="D169" s="21"/>
      <c r="E169" s="21"/>
      <c r="F169" s="24"/>
      <c r="G169" s="422"/>
      <c r="H169" s="17" t="str">
        <f t="shared" si="16"/>
        <v/>
      </c>
      <c r="J169" s="37"/>
      <c r="K169" s="399"/>
      <c r="L169" s="420" t="str">
        <f t="shared" si="17"/>
        <v/>
      </c>
      <c r="M169" s="401" t="str">
        <f t="shared" si="18"/>
        <v/>
      </c>
    </row>
    <row r="170" spans="2:13" x14ac:dyDescent="0.25">
      <c r="B170" s="46"/>
      <c r="C170" s="14"/>
      <c r="D170" s="21"/>
      <c r="E170" s="21"/>
      <c r="F170" s="24"/>
      <c r="G170" s="422"/>
      <c r="H170" s="17" t="str">
        <f t="shared" si="16"/>
        <v/>
      </c>
      <c r="J170" s="37"/>
      <c r="K170" s="399"/>
      <c r="L170" s="420" t="str">
        <f t="shared" si="17"/>
        <v/>
      </c>
      <c r="M170" s="401" t="str">
        <f t="shared" si="18"/>
        <v/>
      </c>
    </row>
    <row r="171" spans="2:13" x14ac:dyDescent="0.25">
      <c r="B171" s="46"/>
      <c r="C171" s="14"/>
      <c r="D171" s="21"/>
      <c r="E171" s="21"/>
      <c r="F171" s="24"/>
      <c r="G171" s="422"/>
      <c r="H171" s="17" t="str">
        <f t="shared" ref="H171:H188" si="19">IF(D171="","",F171*G171)</f>
        <v/>
      </c>
      <c r="J171" s="37"/>
      <c r="K171" s="399"/>
      <c r="L171" s="420" t="str">
        <f t="shared" si="17"/>
        <v/>
      </c>
      <c r="M171" s="401" t="str">
        <f t="shared" ref="M171:M195" si="20">IF(J171="","",IF(SUM(H171)=0,"",L171/H171))</f>
        <v/>
      </c>
    </row>
    <row r="172" spans="2:13" x14ac:dyDescent="0.25">
      <c r="B172" s="46"/>
      <c r="C172" s="14"/>
      <c r="D172" s="15"/>
      <c r="E172" s="15"/>
      <c r="F172" s="24"/>
      <c r="G172" s="422"/>
      <c r="H172" s="17" t="str">
        <f t="shared" si="19"/>
        <v/>
      </c>
      <c r="J172" s="37"/>
      <c r="K172" s="399"/>
      <c r="L172" s="420" t="str">
        <f t="shared" si="17"/>
        <v/>
      </c>
      <c r="M172" s="401" t="str">
        <f t="shared" si="20"/>
        <v/>
      </c>
    </row>
    <row r="173" spans="2:13" x14ac:dyDescent="0.25">
      <c r="B173" s="46"/>
      <c r="C173" s="14"/>
      <c r="D173" s="21"/>
      <c r="E173" s="21"/>
      <c r="F173" s="24"/>
      <c r="G173" s="422"/>
      <c r="H173" s="17" t="str">
        <f t="shared" si="19"/>
        <v/>
      </c>
      <c r="J173" s="37"/>
      <c r="K173" s="402"/>
      <c r="L173" s="420" t="str">
        <f t="shared" si="17"/>
        <v/>
      </c>
      <c r="M173" s="401" t="str">
        <f t="shared" si="20"/>
        <v/>
      </c>
    </row>
    <row r="174" spans="2:13" x14ac:dyDescent="0.25">
      <c r="B174" s="46"/>
      <c r="C174" s="14"/>
      <c r="D174" s="15"/>
      <c r="E174" s="15"/>
      <c r="F174" s="24"/>
      <c r="G174" s="422"/>
      <c r="H174" s="17" t="str">
        <f t="shared" si="19"/>
        <v/>
      </c>
      <c r="J174" s="37"/>
      <c r="K174" s="399"/>
      <c r="L174" s="420" t="str">
        <f t="shared" si="17"/>
        <v/>
      </c>
      <c r="M174" s="401" t="str">
        <f t="shared" si="20"/>
        <v/>
      </c>
    </row>
    <row r="175" spans="2:13" x14ac:dyDescent="0.25">
      <c r="B175" s="58"/>
      <c r="C175" s="14"/>
      <c r="D175" s="15"/>
      <c r="E175" s="15"/>
      <c r="F175" s="24"/>
      <c r="G175" s="422"/>
      <c r="H175" s="17" t="str">
        <f t="shared" si="19"/>
        <v/>
      </c>
      <c r="J175" s="37"/>
      <c r="K175" s="402"/>
      <c r="L175" s="420" t="str">
        <f t="shared" si="17"/>
        <v/>
      </c>
      <c r="M175" s="401" t="str">
        <f t="shared" si="20"/>
        <v/>
      </c>
    </row>
    <row r="176" spans="2:13" x14ac:dyDescent="0.25">
      <c r="B176" s="46"/>
      <c r="C176" s="14"/>
      <c r="D176" s="15"/>
      <c r="E176" s="15"/>
      <c r="F176" s="24"/>
      <c r="G176" s="423"/>
      <c r="H176" s="17" t="str">
        <f t="shared" si="19"/>
        <v/>
      </c>
      <c r="J176" s="37"/>
      <c r="K176" s="402"/>
      <c r="L176" s="420" t="str">
        <f t="shared" si="17"/>
        <v/>
      </c>
      <c r="M176" s="401" t="str">
        <f t="shared" si="20"/>
        <v/>
      </c>
    </row>
    <row r="177" spans="2:24" x14ac:dyDescent="0.25">
      <c r="B177" s="46"/>
      <c r="C177" s="14"/>
      <c r="D177" s="15"/>
      <c r="E177" s="15"/>
      <c r="F177" s="15"/>
      <c r="G177" s="411"/>
      <c r="H177" s="17" t="str">
        <f t="shared" si="19"/>
        <v/>
      </c>
      <c r="J177" s="42"/>
      <c r="K177" s="42"/>
      <c r="L177" s="420" t="str">
        <f t="shared" si="17"/>
        <v/>
      </c>
      <c r="M177" s="401" t="str">
        <f t="shared" si="20"/>
        <v/>
      </c>
    </row>
    <row r="178" spans="2:24" x14ac:dyDescent="0.25">
      <c r="B178" s="46"/>
      <c r="C178" s="26"/>
      <c r="D178" s="21"/>
      <c r="E178" s="21"/>
      <c r="F178" s="15"/>
      <c r="G178" s="411"/>
      <c r="H178" s="17" t="str">
        <f t="shared" si="19"/>
        <v/>
      </c>
      <c r="J178" s="42"/>
      <c r="K178" s="42"/>
      <c r="L178" s="420" t="str">
        <f t="shared" si="17"/>
        <v/>
      </c>
      <c r="M178" s="401" t="str">
        <f t="shared" si="20"/>
        <v/>
      </c>
    </row>
    <row r="179" spans="2:24" x14ac:dyDescent="0.25">
      <c r="B179" s="46"/>
      <c r="C179" s="14"/>
      <c r="D179" s="15"/>
      <c r="E179" s="15"/>
      <c r="F179" s="15"/>
      <c r="G179" s="411"/>
      <c r="H179" s="17" t="str">
        <f t="shared" si="19"/>
        <v/>
      </c>
      <c r="J179" s="42"/>
      <c r="K179" s="42"/>
      <c r="L179" s="420" t="str">
        <f t="shared" si="17"/>
        <v/>
      </c>
      <c r="M179" s="401" t="str">
        <f t="shared" si="20"/>
        <v/>
      </c>
    </row>
    <row r="180" spans="2:24" ht="12" customHeight="1" x14ac:dyDescent="0.25">
      <c r="B180" s="150"/>
      <c r="C180" s="14"/>
      <c r="D180" s="21"/>
      <c r="E180" s="21"/>
      <c r="F180" s="443"/>
      <c r="G180" s="411"/>
      <c r="H180" s="17" t="str">
        <f t="shared" si="19"/>
        <v/>
      </c>
      <c r="J180" s="42"/>
      <c r="K180" s="399"/>
      <c r="L180" s="420" t="str">
        <f t="shared" si="17"/>
        <v/>
      </c>
      <c r="M180" s="401" t="str">
        <f t="shared" si="20"/>
        <v/>
      </c>
      <c r="O180" s="245"/>
      <c r="P180" s="245"/>
      <c r="Q180" s="245"/>
      <c r="R180" s="429"/>
      <c r="S180" s="245"/>
      <c r="T180" s="430"/>
      <c r="U180" s="438"/>
      <c r="V180" s="439"/>
      <c r="W180" s="440"/>
      <c r="X180" s="430"/>
    </row>
    <row r="181" spans="2:24" x14ac:dyDescent="0.25">
      <c r="B181" s="58"/>
      <c r="C181" s="14"/>
      <c r="D181" s="15"/>
      <c r="E181" s="15"/>
      <c r="F181" s="15"/>
      <c r="G181" s="411"/>
      <c r="H181" s="17" t="str">
        <f t="shared" si="19"/>
        <v/>
      </c>
      <c r="J181" s="42"/>
      <c r="K181" s="402"/>
      <c r="L181" s="420" t="str">
        <f t="shared" si="17"/>
        <v/>
      </c>
      <c r="M181" s="401" t="str">
        <f t="shared" si="20"/>
        <v/>
      </c>
      <c r="O181" s="245"/>
      <c r="P181" s="245"/>
      <c r="Q181" s="245"/>
      <c r="R181" s="429"/>
      <c r="S181" s="245"/>
      <c r="T181" s="242"/>
      <c r="U181" s="242"/>
      <c r="V181" s="441"/>
      <c r="W181" s="442"/>
      <c r="X181" s="431"/>
    </row>
    <row r="182" spans="2:24" x14ac:dyDescent="0.25">
      <c r="B182" s="151"/>
      <c r="C182" s="14"/>
      <c r="D182" s="21"/>
      <c r="E182" s="21"/>
      <c r="F182" s="22"/>
      <c r="G182" s="412"/>
      <c r="H182" s="17" t="str">
        <f t="shared" si="19"/>
        <v/>
      </c>
      <c r="J182" s="42"/>
      <c r="K182" s="399"/>
      <c r="L182" s="420" t="str">
        <f t="shared" si="17"/>
        <v/>
      </c>
      <c r="M182" s="401" t="str">
        <f t="shared" si="20"/>
        <v/>
      </c>
      <c r="O182" s="245"/>
      <c r="P182" s="245"/>
      <c r="Q182" s="245"/>
      <c r="R182" s="429"/>
      <c r="S182" s="245"/>
      <c r="T182" s="430"/>
      <c r="U182" s="438"/>
      <c r="V182" s="439"/>
      <c r="W182" s="438"/>
      <c r="X182" s="430"/>
    </row>
    <row r="183" spans="2:24" x14ac:dyDescent="0.25">
      <c r="B183" s="58"/>
      <c r="C183" s="14"/>
      <c r="D183" s="15"/>
      <c r="E183" s="15"/>
      <c r="F183" s="24"/>
      <c r="G183" s="411"/>
      <c r="H183" s="17" t="str">
        <f t="shared" si="19"/>
        <v/>
      </c>
      <c r="J183" s="42"/>
      <c r="K183" s="402"/>
      <c r="L183" s="420" t="str">
        <f t="shared" si="17"/>
        <v/>
      </c>
      <c r="M183" s="401" t="str">
        <f t="shared" si="20"/>
        <v/>
      </c>
      <c r="O183" s="245"/>
      <c r="P183" s="245"/>
      <c r="Q183" s="245"/>
      <c r="R183" s="429"/>
      <c r="S183" s="245"/>
      <c r="T183" s="430"/>
      <c r="U183" s="438"/>
      <c r="V183" s="439"/>
      <c r="W183" s="438"/>
      <c r="X183" s="430"/>
    </row>
    <row r="184" spans="2:24" x14ac:dyDescent="0.25">
      <c r="B184" s="58"/>
      <c r="C184" s="14"/>
      <c r="D184" s="21"/>
      <c r="E184" s="21"/>
      <c r="F184" s="443"/>
      <c r="G184" s="411"/>
      <c r="H184" s="17" t="str">
        <f t="shared" si="19"/>
        <v/>
      </c>
      <c r="J184" s="42"/>
      <c r="K184" s="399"/>
      <c r="L184" s="420" t="str">
        <f t="shared" si="17"/>
        <v/>
      </c>
      <c r="M184" s="401" t="str">
        <f t="shared" si="20"/>
        <v/>
      </c>
      <c r="O184" s="245"/>
      <c r="P184" s="245"/>
      <c r="Q184" s="245"/>
      <c r="R184" s="429"/>
      <c r="S184" s="245"/>
      <c r="T184" s="430"/>
      <c r="U184" s="438"/>
      <c r="V184" s="439"/>
      <c r="W184" s="438"/>
      <c r="X184" s="430"/>
    </row>
    <row r="185" spans="2:24" x14ac:dyDescent="0.25">
      <c r="B185" s="58"/>
      <c r="C185" s="14"/>
      <c r="D185" s="15"/>
      <c r="E185" s="15"/>
      <c r="F185" s="24"/>
      <c r="G185" s="411"/>
      <c r="H185" s="17" t="str">
        <f t="shared" si="19"/>
        <v/>
      </c>
      <c r="J185" s="42"/>
      <c r="K185" s="42"/>
      <c r="L185" s="420" t="str">
        <f t="shared" si="17"/>
        <v/>
      </c>
      <c r="M185" s="401" t="str">
        <f t="shared" si="20"/>
        <v/>
      </c>
    </row>
    <row r="186" spans="2:24" x14ac:dyDescent="0.25">
      <c r="B186" s="46"/>
      <c r="C186" s="26"/>
      <c r="D186" s="15"/>
      <c r="E186" s="15"/>
      <c r="F186" s="24"/>
      <c r="G186" s="421"/>
      <c r="H186" s="17" t="str">
        <f t="shared" si="19"/>
        <v/>
      </c>
      <c r="J186" s="42"/>
      <c r="K186" s="42"/>
      <c r="L186" s="420" t="str">
        <f t="shared" si="17"/>
        <v/>
      </c>
      <c r="M186" s="401" t="str">
        <f t="shared" si="20"/>
        <v/>
      </c>
    </row>
    <row r="187" spans="2:24" x14ac:dyDescent="0.25">
      <c r="B187" s="46"/>
      <c r="C187" s="14"/>
      <c r="D187" s="15"/>
      <c r="E187" s="15"/>
      <c r="F187" s="24"/>
      <c r="G187" s="421"/>
      <c r="H187" s="17" t="str">
        <f t="shared" si="19"/>
        <v/>
      </c>
      <c r="J187" s="42"/>
      <c r="K187" s="42"/>
      <c r="L187" s="420" t="str">
        <f t="shared" si="17"/>
        <v/>
      </c>
      <c r="M187" s="401" t="str">
        <f t="shared" si="20"/>
        <v/>
      </c>
    </row>
    <row r="188" spans="2:24" x14ac:dyDescent="0.25">
      <c r="B188" s="58"/>
      <c r="C188" s="14"/>
      <c r="D188" s="15"/>
      <c r="E188" s="15"/>
      <c r="F188" s="24"/>
      <c r="G188" s="422"/>
      <c r="H188" s="17" t="str">
        <f t="shared" si="19"/>
        <v/>
      </c>
      <c r="J188" s="42"/>
      <c r="K188" s="42"/>
      <c r="L188" s="420" t="str">
        <f t="shared" si="17"/>
        <v/>
      </c>
      <c r="M188" s="401" t="str">
        <f t="shared" si="20"/>
        <v/>
      </c>
    </row>
    <row r="189" spans="2:24" x14ac:dyDescent="0.25">
      <c r="B189" s="58"/>
      <c r="C189" s="14"/>
      <c r="D189" s="15"/>
      <c r="E189" s="15"/>
      <c r="F189" s="24"/>
      <c r="G189" s="422"/>
      <c r="H189" s="17"/>
      <c r="J189" s="42"/>
      <c r="K189" s="42"/>
      <c r="L189" s="420" t="str">
        <f t="shared" si="17"/>
        <v/>
      </c>
      <c r="M189" s="401" t="str">
        <f t="shared" si="20"/>
        <v/>
      </c>
    </row>
    <row r="190" spans="2:24" x14ac:dyDescent="0.25">
      <c r="B190" s="58"/>
      <c r="C190" s="14"/>
      <c r="D190" s="15"/>
      <c r="E190" s="15"/>
      <c r="F190" s="24"/>
      <c r="G190" s="422"/>
      <c r="H190" s="17"/>
      <c r="J190" s="42"/>
      <c r="K190" s="42"/>
      <c r="L190" s="420" t="str">
        <f t="shared" si="17"/>
        <v/>
      </c>
      <c r="M190" s="401" t="str">
        <f t="shared" si="20"/>
        <v/>
      </c>
    </row>
    <row r="191" spans="2:24" x14ac:dyDescent="0.25">
      <c r="B191" s="58"/>
      <c r="C191" s="14"/>
      <c r="D191" s="15"/>
      <c r="E191" s="15"/>
      <c r="F191" s="24"/>
      <c r="G191" s="422"/>
      <c r="H191" s="17"/>
      <c r="J191" s="42"/>
      <c r="K191" s="42"/>
      <c r="L191" s="420" t="str">
        <f t="shared" si="17"/>
        <v/>
      </c>
      <c r="M191" s="401" t="str">
        <f t="shared" si="20"/>
        <v/>
      </c>
    </row>
    <row r="192" spans="2:24" x14ac:dyDescent="0.25">
      <c r="B192" s="58"/>
      <c r="C192" s="14"/>
      <c r="D192" s="15"/>
      <c r="E192" s="15"/>
      <c r="F192" s="24"/>
      <c r="G192" s="422"/>
      <c r="H192" s="17"/>
      <c r="J192" s="42"/>
      <c r="K192" s="42"/>
      <c r="L192" s="420" t="str">
        <f t="shared" si="17"/>
        <v/>
      </c>
      <c r="M192" s="401" t="str">
        <f t="shared" si="20"/>
        <v/>
      </c>
    </row>
    <row r="193" spans="2:13" x14ac:dyDescent="0.25">
      <c r="B193" s="58"/>
      <c r="C193" s="14"/>
      <c r="D193" s="15"/>
      <c r="E193" s="15"/>
      <c r="F193" s="24"/>
      <c r="G193" s="422"/>
      <c r="H193" s="17"/>
      <c r="J193" s="37"/>
      <c r="K193" s="42"/>
      <c r="L193" s="420" t="str">
        <f t="shared" si="17"/>
        <v/>
      </c>
      <c r="M193" s="401" t="str">
        <f t="shared" si="20"/>
        <v/>
      </c>
    </row>
    <row r="194" spans="2:13" x14ac:dyDescent="0.25">
      <c r="B194" s="58"/>
      <c r="C194" s="14"/>
      <c r="D194" s="15"/>
      <c r="E194" s="15"/>
      <c r="F194" s="24"/>
      <c r="G194" s="422"/>
      <c r="H194" s="17"/>
      <c r="J194" s="37"/>
      <c r="K194" s="403"/>
      <c r="L194" s="420" t="str">
        <f t="shared" si="17"/>
        <v/>
      </c>
      <c r="M194" s="401" t="str">
        <f t="shared" si="20"/>
        <v/>
      </c>
    </row>
    <row r="195" spans="2:13" x14ac:dyDescent="0.25">
      <c r="B195" s="58"/>
      <c r="C195" s="14"/>
      <c r="D195" s="15"/>
      <c r="E195" s="15"/>
      <c r="F195" s="24"/>
      <c r="G195" s="421"/>
      <c r="H195" s="17" t="str">
        <f>IF(D195="","",F195*G195)</f>
        <v/>
      </c>
      <c r="J195" s="37"/>
      <c r="K195" s="404"/>
      <c r="L195" s="420" t="str">
        <f t="shared" si="17"/>
        <v/>
      </c>
      <c r="M195" s="401" t="str">
        <f t="shared" si="20"/>
        <v/>
      </c>
    </row>
    <row r="196" spans="2:13" s="28" customFormat="1" ht="19.5" customHeight="1" x14ac:dyDescent="0.25">
      <c r="B196" s="135" t="str">
        <f>$B$12</f>
        <v>C10.1</v>
      </c>
      <c r="C196" s="498" t="str">
        <f>"TOTAL CARRIED FORWARD"&amp;IF(H196=H$1," TO SUMMARY (Page C"&amp;Page_A&amp;")","")</f>
        <v>TOTAL CARRIED FORWARD TO SUMMARY (Page C48)</v>
      </c>
      <c r="D196" s="31"/>
      <c r="E196" s="31"/>
      <c r="F196" s="32"/>
      <c r="G196" s="31"/>
      <c r="H196" s="33">
        <f>SUM(H138:H195)</f>
        <v>0</v>
      </c>
      <c r="I196" s="34"/>
      <c r="J196" s="408"/>
      <c r="K196" s="406"/>
      <c r="L196" s="418">
        <f>SUM(L138:L195)</f>
        <v>0</v>
      </c>
      <c r="M196" s="407" t="str">
        <f>IF(F191="","",IF(SUM(I191)=0,"",L196/I182))</f>
        <v/>
      </c>
    </row>
    <row r="197" spans="2:13" ht="13" x14ac:dyDescent="0.25">
      <c r="B197" s="1108" t="str">
        <f>Client1</f>
        <v>Province of KwaZulu-Natal</v>
      </c>
      <c r="C197" s="1108"/>
      <c r="D197" s="1108"/>
      <c r="E197" s="87"/>
      <c r="F197" s="1109" t="str">
        <f>"Contract No. "&amp;ContractNo</f>
        <v>Contract No. ZNB 00399/00000/HOD/INF/21/T</v>
      </c>
      <c r="G197" s="1109"/>
      <c r="H197" s="1109"/>
    </row>
    <row r="198" spans="2:13" ht="13" x14ac:dyDescent="0.25">
      <c r="B198" s="1108" t="str">
        <f>Client2</f>
        <v>Department of Transport</v>
      </c>
      <c r="C198" s="1108"/>
      <c r="D198" s="1108"/>
      <c r="E198" s="87"/>
      <c r="F198" s="1109"/>
      <c r="G198" s="1109"/>
      <c r="H198" s="1109"/>
    </row>
    <row r="199" spans="2:13" x14ac:dyDescent="0.25">
      <c r="B199" s="1111"/>
      <c r="C199" s="1111"/>
      <c r="D199" s="1111"/>
      <c r="E199" s="78"/>
      <c r="F199" s="1110"/>
      <c r="G199" s="1110"/>
      <c r="H199" s="1110"/>
    </row>
    <row r="200" spans="2:13" ht="13" x14ac:dyDescent="0.25">
      <c r="B200" s="1112" t="s">
        <v>8</v>
      </c>
      <c r="C200" s="1113"/>
      <c r="D200" s="1113"/>
      <c r="E200" s="1113"/>
      <c r="F200" s="1113"/>
      <c r="G200" s="1113"/>
      <c r="H200" s="1114" t="str">
        <f>$H$6</f>
        <v>CHAPTER C10.1</v>
      </c>
      <c r="I200" s="6"/>
    </row>
    <row r="201" spans="2:13" ht="13" x14ac:dyDescent="0.25">
      <c r="B201" s="1117" t="str">
        <f>ContractDescription</f>
        <v>THE CONSTRUCTION OF EARTHWORKS, LAYERWORKS, SURFACING, CULVERTS AND CWAKA RIVER BRIDGE FROM KM 11.600 TO KM 14.000 ON MAIN ROAD P494 IN THE KING CETSHWAYO DISTRICT UNDER EMPANGENI REGION</v>
      </c>
      <c r="C201" s="1118"/>
      <c r="D201" s="1118"/>
      <c r="E201" s="1118"/>
      <c r="F201" s="1118"/>
      <c r="G201" s="1118"/>
      <c r="H201" s="1115"/>
      <c r="I201" s="8"/>
    </row>
    <row r="202" spans="2:13" ht="13" x14ac:dyDescent="0.25">
      <c r="B202" s="1117"/>
      <c r="C202" s="1118"/>
      <c r="D202" s="1118"/>
      <c r="E202" s="1118"/>
      <c r="F202" s="1118"/>
      <c r="G202" s="1118"/>
      <c r="H202" s="1115"/>
      <c r="I202" s="8"/>
    </row>
    <row r="203" spans="2:13" ht="13" x14ac:dyDescent="0.25">
      <c r="B203" s="1119"/>
      <c r="C203" s="1120"/>
      <c r="D203" s="1120"/>
      <c r="E203" s="1120"/>
      <c r="F203" s="1120"/>
      <c r="G203" s="1120"/>
      <c r="H203" s="1116"/>
      <c r="I203" s="8"/>
    </row>
    <row r="204" spans="2:13" s="9" customFormat="1" ht="25" customHeight="1" x14ac:dyDescent="0.25">
      <c r="B204" s="74" t="s">
        <v>0</v>
      </c>
      <c r="C204" s="11" t="s">
        <v>1</v>
      </c>
      <c r="D204" s="11" t="s">
        <v>2</v>
      </c>
      <c r="E204" s="11"/>
      <c r="F204" s="11" t="s">
        <v>3</v>
      </c>
      <c r="G204" s="11" t="s">
        <v>4</v>
      </c>
      <c r="H204" s="11" t="s">
        <v>5</v>
      </c>
      <c r="I204" s="12"/>
      <c r="J204" s="408" t="s">
        <v>996</v>
      </c>
      <c r="K204" s="253" t="s">
        <v>997</v>
      </c>
      <c r="L204" s="253" t="s">
        <v>998</v>
      </c>
      <c r="M204" s="253" t="s">
        <v>999</v>
      </c>
    </row>
    <row r="205" spans="2:13" s="28" customFormat="1" ht="19.5" customHeight="1" x14ac:dyDescent="0.25">
      <c r="B205" s="80"/>
      <c r="C205" s="30" t="s">
        <v>27</v>
      </c>
      <c r="D205" s="31"/>
      <c r="E205" s="31"/>
      <c r="F205" s="32"/>
      <c r="G205" s="31"/>
      <c r="H205" s="33">
        <f>H196</f>
        <v>0</v>
      </c>
      <c r="I205" s="34"/>
      <c r="J205" s="416"/>
      <c r="K205" s="409"/>
      <c r="L205" s="419">
        <f>L196</f>
        <v>0</v>
      </c>
      <c r="M205" s="410" t="str">
        <f>IF(F205="","",IF(SUM(I205)=0,"",L205/I205))</f>
        <v/>
      </c>
    </row>
    <row r="206" spans="2:13" ht="12" customHeight="1" x14ac:dyDescent="0.25">
      <c r="B206" s="58"/>
      <c r="C206" s="14"/>
      <c r="D206" s="15"/>
      <c r="E206" s="15"/>
      <c r="F206" s="24"/>
      <c r="G206" s="421"/>
      <c r="H206" s="17"/>
      <c r="J206" s="37"/>
      <c r="K206" s="399"/>
      <c r="L206" s="420" t="str">
        <f t="shared" ref="L206:L262" si="21">IF(J206="","",F206*K206)</f>
        <v/>
      </c>
      <c r="M206" s="401" t="str">
        <f t="shared" ref="M206:M237" si="22">IF(J206="","",IF(SUM(H206)=0,"",L206/H206))</f>
        <v/>
      </c>
    </row>
    <row r="207" spans="2:13" x14ac:dyDescent="0.25">
      <c r="B207" s="85"/>
      <c r="C207" s="14"/>
      <c r="D207" s="21"/>
      <c r="E207" s="21"/>
      <c r="F207" s="24"/>
      <c r="G207" s="423"/>
      <c r="H207" s="17" t="str">
        <f t="shared" ref="H207:H238" si="23">IF(D207="","",F207*G207)</f>
        <v/>
      </c>
      <c r="J207" s="37"/>
      <c r="K207" s="399"/>
      <c r="L207" s="420" t="str">
        <f t="shared" si="21"/>
        <v/>
      </c>
      <c r="M207" s="401" t="str">
        <f t="shared" si="22"/>
        <v/>
      </c>
    </row>
    <row r="208" spans="2:13" ht="12" customHeight="1" x14ac:dyDescent="0.25">
      <c r="B208" s="58"/>
      <c r="C208" s="14"/>
      <c r="D208" s="15"/>
      <c r="E208" s="15"/>
      <c r="F208" s="24"/>
      <c r="G208" s="421"/>
      <c r="H208" s="17" t="str">
        <f t="shared" si="23"/>
        <v/>
      </c>
      <c r="J208" s="37"/>
      <c r="K208" s="399"/>
      <c r="L208" s="420" t="str">
        <f t="shared" si="21"/>
        <v/>
      </c>
      <c r="M208" s="401" t="str">
        <f t="shared" si="22"/>
        <v/>
      </c>
    </row>
    <row r="209" spans="2:22" x14ac:dyDescent="0.25">
      <c r="B209" s="58"/>
      <c r="C209" s="14"/>
      <c r="D209" s="15"/>
      <c r="E209" s="15"/>
      <c r="F209" s="24"/>
      <c r="G209" s="411"/>
      <c r="H209" s="17" t="str">
        <f t="shared" si="23"/>
        <v/>
      </c>
      <c r="J209" s="37"/>
      <c r="K209" s="399"/>
      <c r="L209" s="420" t="str">
        <f t="shared" si="21"/>
        <v/>
      </c>
      <c r="M209" s="401" t="str">
        <f t="shared" si="22"/>
        <v/>
      </c>
      <c r="O209" s="245"/>
      <c r="P209" s="444"/>
      <c r="Q209" s="444"/>
      <c r="R209" s="429"/>
      <c r="S209" s="445"/>
      <c r="T209" s="430"/>
      <c r="U209" s="446"/>
      <c r="V209" s="430"/>
    </row>
    <row r="210" spans="2:22" ht="12" customHeight="1" x14ac:dyDescent="0.25">
      <c r="B210" s="58"/>
      <c r="C210" s="14"/>
      <c r="D210" s="15"/>
      <c r="E210" s="15"/>
      <c r="F210" s="24"/>
      <c r="G210" s="411"/>
      <c r="H210" s="17" t="str">
        <f t="shared" si="23"/>
        <v/>
      </c>
      <c r="J210" s="37"/>
      <c r="K210" s="400"/>
      <c r="L210" s="420" t="str">
        <f t="shared" si="21"/>
        <v/>
      </c>
      <c r="M210" s="401" t="str">
        <f t="shared" si="22"/>
        <v/>
      </c>
    </row>
    <row r="211" spans="2:22" x14ac:dyDescent="0.25">
      <c r="B211" s="46"/>
      <c r="C211" s="14"/>
      <c r="D211" s="15"/>
      <c r="E211" s="15"/>
      <c r="F211" s="24"/>
      <c r="G211" s="422"/>
      <c r="H211" s="17" t="str">
        <f t="shared" si="23"/>
        <v/>
      </c>
      <c r="J211" s="37"/>
      <c r="K211" s="399"/>
      <c r="L211" s="420" t="str">
        <f t="shared" si="21"/>
        <v/>
      </c>
      <c r="M211" s="401" t="str">
        <f t="shared" si="22"/>
        <v/>
      </c>
    </row>
    <row r="212" spans="2:22" ht="12" customHeight="1" x14ac:dyDescent="0.25">
      <c r="B212" s="46"/>
      <c r="C212" s="14"/>
      <c r="D212" s="21"/>
      <c r="E212" s="21"/>
      <c r="F212" s="24"/>
      <c r="G212" s="422"/>
      <c r="H212" s="17" t="str">
        <f t="shared" si="23"/>
        <v/>
      </c>
      <c r="J212" s="37"/>
      <c r="K212" s="399"/>
      <c r="L212" s="420" t="str">
        <f t="shared" si="21"/>
        <v/>
      </c>
      <c r="M212" s="401" t="str">
        <f t="shared" si="22"/>
        <v/>
      </c>
    </row>
    <row r="213" spans="2:22" x14ac:dyDescent="0.25">
      <c r="B213" s="46"/>
      <c r="C213" s="14"/>
      <c r="D213" s="15"/>
      <c r="E213" s="15"/>
      <c r="F213" s="24"/>
      <c r="G213" s="422"/>
      <c r="H213" s="17" t="str">
        <f t="shared" si="23"/>
        <v/>
      </c>
      <c r="J213" s="37"/>
      <c r="K213" s="399"/>
      <c r="L213" s="420" t="str">
        <f t="shared" si="21"/>
        <v/>
      </c>
      <c r="M213" s="401" t="str">
        <f t="shared" si="22"/>
        <v/>
      </c>
    </row>
    <row r="214" spans="2:22" ht="12" customHeight="1" x14ac:dyDescent="0.25">
      <c r="B214" s="46"/>
      <c r="C214" s="14"/>
      <c r="D214" s="21"/>
      <c r="E214" s="21"/>
      <c r="F214" s="24"/>
      <c r="G214" s="422"/>
      <c r="H214" s="17" t="str">
        <f t="shared" si="23"/>
        <v/>
      </c>
      <c r="J214" s="37"/>
      <c r="K214" s="402"/>
      <c r="L214" s="420" t="str">
        <f t="shared" si="21"/>
        <v/>
      </c>
      <c r="M214" s="401" t="str">
        <f t="shared" si="22"/>
        <v/>
      </c>
    </row>
    <row r="215" spans="2:22" x14ac:dyDescent="0.25">
      <c r="B215" s="46"/>
      <c r="C215" s="14"/>
      <c r="D215" s="15"/>
      <c r="E215" s="15"/>
      <c r="F215" s="24"/>
      <c r="G215" s="422"/>
      <c r="H215" s="17" t="str">
        <f t="shared" si="23"/>
        <v/>
      </c>
      <c r="J215" s="37"/>
      <c r="K215" s="402"/>
      <c r="L215" s="420" t="str">
        <f t="shared" si="21"/>
        <v/>
      </c>
      <c r="M215" s="401" t="str">
        <f t="shared" si="22"/>
        <v/>
      </c>
    </row>
    <row r="216" spans="2:22" ht="12" customHeight="1" x14ac:dyDescent="0.25">
      <c r="B216" s="46"/>
      <c r="C216" s="14"/>
      <c r="D216" s="21"/>
      <c r="E216" s="21"/>
      <c r="F216" s="24"/>
      <c r="G216" s="422"/>
      <c r="H216" s="17" t="str">
        <f t="shared" si="23"/>
        <v/>
      </c>
      <c r="J216" s="37"/>
      <c r="K216" s="402"/>
      <c r="L216" s="420" t="str">
        <f t="shared" si="21"/>
        <v/>
      </c>
      <c r="M216" s="401" t="str">
        <f t="shared" si="22"/>
        <v/>
      </c>
    </row>
    <row r="217" spans="2:22" x14ac:dyDescent="0.25">
      <c r="B217" s="46"/>
      <c r="C217" s="14"/>
      <c r="D217" s="21"/>
      <c r="E217" s="21"/>
      <c r="F217" s="24"/>
      <c r="G217" s="422"/>
      <c r="H217" s="17" t="str">
        <f t="shared" si="23"/>
        <v/>
      </c>
      <c r="J217" s="37"/>
      <c r="K217" s="402"/>
      <c r="L217" s="420" t="str">
        <f t="shared" si="21"/>
        <v/>
      </c>
      <c r="M217" s="401" t="str">
        <f t="shared" si="22"/>
        <v/>
      </c>
    </row>
    <row r="218" spans="2:22" ht="12" customHeight="1" x14ac:dyDescent="0.25">
      <c r="B218" s="46"/>
      <c r="C218" s="14"/>
      <c r="D218" s="21"/>
      <c r="E218" s="21"/>
      <c r="F218" s="24"/>
      <c r="G218" s="422"/>
      <c r="H218" s="17" t="str">
        <f t="shared" si="23"/>
        <v/>
      </c>
      <c r="J218" s="37"/>
      <c r="K218" s="402"/>
      <c r="L218" s="420" t="str">
        <f t="shared" si="21"/>
        <v/>
      </c>
      <c r="M218" s="401" t="str">
        <f t="shared" si="22"/>
        <v/>
      </c>
    </row>
    <row r="219" spans="2:22" x14ac:dyDescent="0.25">
      <c r="B219" s="46"/>
      <c r="C219" s="14"/>
      <c r="D219" s="15"/>
      <c r="E219" s="15"/>
      <c r="F219" s="24"/>
      <c r="G219" s="422"/>
      <c r="H219" s="17" t="str">
        <f t="shared" si="23"/>
        <v/>
      </c>
      <c r="J219" s="37"/>
      <c r="K219" s="402"/>
      <c r="L219" s="420" t="str">
        <f t="shared" si="21"/>
        <v/>
      </c>
      <c r="M219" s="401" t="str">
        <f t="shared" si="22"/>
        <v/>
      </c>
    </row>
    <row r="220" spans="2:22" ht="12" customHeight="1" x14ac:dyDescent="0.25">
      <c r="B220" s="46"/>
      <c r="C220" s="14"/>
      <c r="D220" s="21"/>
      <c r="E220" s="21"/>
      <c r="F220" s="24"/>
      <c r="G220" s="422"/>
      <c r="H220" s="17" t="str">
        <f t="shared" si="23"/>
        <v/>
      </c>
      <c r="J220" s="37"/>
      <c r="K220" s="399"/>
      <c r="L220" s="420" t="str">
        <f t="shared" si="21"/>
        <v/>
      </c>
      <c r="M220" s="401" t="str">
        <f t="shared" si="22"/>
        <v/>
      </c>
    </row>
    <row r="221" spans="2:22" x14ac:dyDescent="0.25">
      <c r="B221" s="46"/>
      <c r="C221" s="14"/>
      <c r="D221" s="15"/>
      <c r="E221" s="15"/>
      <c r="F221" s="24"/>
      <c r="G221" s="422"/>
      <c r="H221" s="17" t="str">
        <f t="shared" si="23"/>
        <v/>
      </c>
      <c r="J221" s="37"/>
      <c r="K221" s="399"/>
      <c r="L221" s="420" t="str">
        <f t="shared" si="21"/>
        <v/>
      </c>
      <c r="M221" s="401" t="str">
        <f t="shared" si="22"/>
        <v/>
      </c>
    </row>
    <row r="222" spans="2:22" ht="12" customHeight="1" x14ac:dyDescent="0.25">
      <c r="B222" s="58"/>
      <c r="C222" s="14"/>
      <c r="D222" s="15"/>
      <c r="E222" s="15"/>
      <c r="F222" s="24"/>
      <c r="G222" s="422"/>
      <c r="H222" s="17" t="str">
        <f t="shared" si="23"/>
        <v/>
      </c>
      <c r="J222" s="37"/>
      <c r="K222" s="400"/>
      <c r="L222" s="420" t="str">
        <f t="shared" si="21"/>
        <v/>
      </c>
      <c r="M222" s="401" t="str">
        <f t="shared" si="22"/>
        <v/>
      </c>
    </row>
    <row r="223" spans="2:22" x14ac:dyDescent="0.25">
      <c r="B223" s="46"/>
      <c r="C223" s="14"/>
      <c r="D223" s="15"/>
      <c r="E223" s="15"/>
      <c r="F223" s="24"/>
      <c r="G223" s="423"/>
      <c r="H223" s="17" t="str">
        <f t="shared" si="23"/>
        <v/>
      </c>
      <c r="J223" s="37"/>
      <c r="K223" s="399"/>
      <c r="L223" s="420" t="str">
        <f t="shared" si="21"/>
        <v/>
      </c>
      <c r="M223" s="401" t="str">
        <f t="shared" si="22"/>
        <v/>
      </c>
    </row>
    <row r="224" spans="2:22" ht="12" customHeight="1" x14ac:dyDescent="0.25">
      <c r="B224" s="46"/>
      <c r="C224" s="14"/>
      <c r="D224" s="15"/>
      <c r="E224" s="15"/>
      <c r="F224" s="15"/>
      <c r="G224" s="411"/>
      <c r="H224" s="17" t="str">
        <f t="shared" si="23"/>
        <v/>
      </c>
      <c r="J224" s="37"/>
      <c r="K224" s="399"/>
      <c r="L224" s="420" t="str">
        <f t="shared" si="21"/>
        <v/>
      </c>
      <c r="M224" s="401" t="str">
        <f t="shared" si="22"/>
        <v/>
      </c>
    </row>
    <row r="225" spans="2:13" x14ac:dyDescent="0.25">
      <c r="B225" s="46"/>
      <c r="C225" s="26"/>
      <c r="D225" s="21"/>
      <c r="E225" s="21"/>
      <c r="F225" s="15"/>
      <c r="G225" s="411"/>
      <c r="H225" s="17" t="str">
        <f t="shared" si="23"/>
        <v/>
      </c>
      <c r="J225" s="37"/>
      <c r="K225" s="399"/>
      <c r="L225" s="420" t="str">
        <f t="shared" si="21"/>
        <v/>
      </c>
      <c r="M225" s="401" t="str">
        <f t="shared" si="22"/>
        <v/>
      </c>
    </row>
    <row r="226" spans="2:13" ht="12" customHeight="1" x14ac:dyDescent="0.25">
      <c r="B226" s="46"/>
      <c r="C226" s="14"/>
      <c r="D226" s="15"/>
      <c r="E226" s="15"/>
      <c r="F226" s="15"/>
      <c r="G226" s="411"/>
      <c r="H226" s="17" t="str">
        <f t="shared" si="23"/>
        <v/>
      </c>
      <c r="J226" s="37"/>
      <c r="K226" s="399"/>
      <c r="L226" s="420" t="str">
        <f t="shared" si="21"/>
        <v/>
      </c>
      <c r="M226" s="401" t="str">
        <f t="shared" si="22"/>
        <v/>
      </c>
    </row>
    <row r="227" spans="2:13" x14ac:dyDescent="0.25">
      <c r="B227" s="150"/>
      <c r="C227" s="14"/>
      <c r="D227" s="21"/>
      <c r="E227" s="21"/>
      <c r="F227" s="15"/>
      <c r="G227" s="411"/>
      <c r="H227" s="17" t="str">
        <f t="shared" si="23"/>
        <v/>
      </c>
      <c r="J227" s="37"/>
      <c r="K227" s="399"/>
      <c r="L227" s="420" t="str">
        <f t="shared" si="21"/>
        <v/>
      </c>
      <c r="M227" s="401" t="str">
        <f t="shared" si="22"/>
        <v/>
      </c>
    </row>
    <row r="228" spans="2:13" ht="12" customHeight="1" x14ac:dyDescent="0.25">
      <c r="B228" s="58"/>
      <c r="C228" s="14"/>
      <c r="D228" s="15"/>
      <c r="E228" s="15"/>
      <c r="F228" s="15"/>
      <c r="G228" s="411"/>
      <c r="H228" s="17" t="str">
        <f t="shared" si="23"/>
        <v/>
      </c>
      <c r="J228" s="37"/>
      <c r="K228" s="400"/>
      <c r="L228" s="420" t="str">
        <f t="shared" si="21"/>
        <v/>
      </c>
      <c r="M228" s="401" t="str">
        <f t="shared" si="22"/>
        <v/>
      </c>
    </row>
    <row r="229" spans="2:13" x14ac:dyDescent="0.25">
      <c r="B229" s="85"/>
      <c r="C229" s="14"/>
      <c r="D229" s="21"/>
      <c r="E229" s="21"/>
      <c r="F229" s="22"/>
      <c r="G229" s="412"/>
      <c r="H229" s="17" t="str">
        <f t="shared" si="23"/>
        <v/>
      </c>
      <c r="J229" s="61"/>
      <c r="K229" s="399"/>
      <c r="L229" s="420" t="str">
        <f t="shared" si="21"/>
        <v/>
      </c>
      <c r="M229" s="401" t="str">
        <f t="shared" si="22"/>
        <v/>
      </c>
    </row>
    <row r="230" spans="2:13" ht="12" customHeight="1" x14ac:dyDescent="0.25">
      <c r="B230" s="58"/>
      <c r="C230" s="14"/>
      <c r="D230" s="15"/>
      <c r="E230" s="15"/>
      <c r="F230" s="24"/>
      <c r="G230" s="411"/>
      <c r="H230" s="17" t="str">
        <f t="shared" si="23"/>
        <v/>
      </c>
      <c r="J230" s="37"/>
      <c r="K230" s="399"/>
      <c r="L230" s="420" t="str">
        <f t="shared" si="21"/>
        <v/>
      </c>
      <c r="M230" s="401" t="str">
        <f t="shared" si="22"/>
        <v/>
      </c>
    </row>
    <row r="231" spans="2:13" x14ac:dyDescent="0.25">
      <c r="B231" s="58"/>
      <c r="C231" s="14"/>
      <c r="D231" s="21"/>
      <c r="E231" s="21"/>
      <c r="F231" s="24"/>
      <c r="G231" s="423"/>
      <c r="H231" s="17" t="str">
        <f t="shared" si="23"/>
        <v/>
      </c>
      <c r="J231" s="37"/>
      <c r="K231" s="399"/>
      <c r="L231" s="420" t="str">
        <f t="shared" si="21"/>
        <v/>
      </c>
      <c r="M231" s="401" t="str">
        <f t="shared" si="22"/>
        <v/>
      </c>
    </row>
    <row r="232" spans="2:13" ht="12" customHeight="1" x14ac:dyDescent="0.25">
      <c r="B232" s="58"/>
      <c r="C232" s="14"/>
      <c r="D232" s="15"/>
      <c r="E232" s="15"/>
      <c r="F232" s="24"/>
      <c r="G232" s="411"/>
      <c r="H232" s="17" t="str">
        <f t="shared" si="23"/>
        <v/>
      </c>
      <c r="J232" s="37"/>
      <c r="K232" s="399"/>
      <c r="L232" s="420" t="str">
        <f t="shared" si="21"/>
        <v/>
      </c>
      <c r="M232" s="401" t="str">
        <f t="shared" si="22"/>
        <v/>
      </c>
    </row>
    <row r="233" spans="2:13" x14ac:dyDescent="0.25">
      <c r="B233" s="46"/>
      <c r="C233" s="26"/>
      <c r="D233" s="15"/>
      <c r="E233" s="15"/>
      <c r="F233" s="24"/>
      <c r="G233" s="421"/>
      <c r="H233" s="17" t="str">
        <f t="shared" si="23"/>
        <v/>
      </c>
      <c r="J233" s="37"/>
      <c r="K233" s="399"/>
      <c r="L233" s="420" t="str">
        <f t="shared" si="21"/>
        <v/>
      </c>
      <c r="M233" s="401" t="str">
        <f t="shared" si="22"/>
        <v/>
      </c>
    </row>
    <row r="234" spans="2:13" ht="12" customHeight="1" x14ac:dyDescent="0.25">
      <c r="B234" s="46"/>
      <c r="C234" s="14"/>
      <c r="D234" s="15"/>
      <c r="E234" s="15"/>
      <c r="F234" s="24"/>
      <c r="G234" s="421"/>
      <c r="H234" s="17" t="str">
        <f t="shared" si="23"/>
        <v/>
      </c>
      <c r="J234" s="37"/>
      <c r="K234" s="399"/>
      <c r="L234" s="420" t="str">
        <f t="shared" si="21"/>
        <v/>
      </c>
      <c r="M234" s="401" t="str">
        <f t="shared" si="22"/>
        <v/>
      </c>
    </row>
    <row r="235" spans="2:13" x14ac:dyDescent="0.25">
      <c r="B235" s="58"/>
      <c r="C235" s="14"/>
      <c r="D235" s="15"/>
      <c r="E235" s="15"/>
      <c r="F235" s="24"/>
      <c r="G235" s="422"/>
      <c r="H235" s="17" t="str">
        <f t="shared" si="23"/>
        <v/>
      </c>
      <c r="J235" s="37"/>
      <c r="K235" s="399"/>
      <c r="L235" s="420" t="str">
        <f t="shared" si="21"/>
        <v/>
      </c>
      <c r="M235" s="401" t="str">
        <f t="shared" si="22"/>
        <v/>
      </c>
    </row>
    <row r="236" spans="2:13" ht="12" customHeight="1" x14ac:dyDescent="0.25">
      <c r="B236" s="58"/>
      <c r="C236" s="14"/>
      <c r="D236" s="15"/>
      <c r="E236" s="15"/>
      <c r="F236" s="24"/>
      <c r="G236" s="421"/>
      <c r="H236" s="17" t="str">
        <f t="shared" si="23"/>
        <v/>
      </c>
      <c r="J236" s="37"/>
      <c r="K236" s="399"/>
      <c r="L236" s="420" t="str">
        <f t="shared" si="21"/>
        <v/>
      </c>
      <c r="M236" s="401" t="str">
        <f t="shared" si="22"/>
        <v/>
      </c>
    </row>
    <row r="237" spans="2:13" x14ac:dyDescent="0.25">
      <c r="B237" s="85"/>
      <c r="C237" s="14"/>
      <c r="D237" s="21"/>
      <c r="E237" s="21"/>
      <c r="F237" s="24"/>
      <c r="G237" s="423"/>
      <c r="H237" s="17" t="str">
        <f t="shared" si="23"/>
        <v/>
      </c>
      <c r="J237" s="37"/>
      <c r="K237" s="399"/>
      <c r="L237" s="420" t="str">
        <f t="shared" si="21"/>
        <v/>
      </c>
      <c r="M237" s="401" t="str">
        <f t="shared" si="22"/>
        <v/>
      </c>
    </row>
    <row r="238" spans="2:13" x14ac:dyDescent="0.25">
      <c r="B238" s="58"/>
      <c r="C238" s="14"/>
      <c r="D238" s="15"/>
      <c r="E238" s="15"/>
      <c r="F238" s="24"/>
      <c r="G238" s="421"/>
      <c r="H238" s="17" t="str">
        <f t="shared" si="23"/>
        <v/>
      </c>
      <c r="J238" s="37"/>
      <c r="K238" s="399"/>
      <c r="L238" s="420" t="str">
        <f t="shared" si="21"/>
        <v/>
      </c>
      <c r="M238" s="401" t="str">
        <f t="shared" ref="M238:M262" si="24">IF(J238="","",IF(SUM(H238)=0,"",L238/H238))</f>
        <v/>
      </c>
    </row>
    <row r="239" spans="2:13" x14ac:dyDescent="0.25">
      <c r="B239" s="58"/>
      <c r="C239" s="14"/>
      <c r="D239" s="15"/>
      <c r="E239" s="15"/>
      <c r="F239" s="24"/>
      <c r="G239" s="411"/>
      <c r="H239" s="17" t="str">
        <f t="shared" ref="H239:H261" si="25">IF(D239="","",F239*G239)</f>
        <v/>
      </c>
      <c r="J239" s="37"/>
      <c r="K239" s="399"/>
      <c r="L239" s="420" t="str">
        <f t="shared" si="21"/>
        <v/>
      </c>
      <c r="M239" s="401" t="str">
        <f t="shared" si="24"/>
        <v/>
      </c>
    </row>
    <row r="240" spans="2:13" ht="12" customHeight="1" x14ac:dyDescent="0.25">
      <c r="B240" s="58"/>
      <c r="C240" s="14"/>
      <c r="D240" s="15"/>
      <c r="E240" s="15"/>
      <c r="F240" s="24"/>
      <c r="G240" s="411"/>
      <c r="H240" s="17" t="str">
        <f t="shared" si="25"/>
        <v/>
      </c>
      <c r="J240" s="37"/>
      <c r="K240" s="402"/>
      <c r="L240" s="420" t="str">
        <f t="shared" si="21"/>
        <v/>
      </c>
      <c r="M240" s="401" t="str">
        <f t="shared" si="24"/>
        <v/>
      </c>
    </row>
    <row r="241" spans="2:13" x14ac:dyDescent="0.25">
      <c r="B241" s="46"/>
      <c r="C241" s="14"/>
      <c r="D241" s="15"/>
      <c r="E241" s="15"/>
      <c r="F241" s="24"/>
      <c r="G241" s="422"/>
      <c r="H241" s="17" t="str">
        <f t="shared" si="25"/>
        <v/>
      </c>
      <c r="J241" s="37"/>
      <c r="K241" s="399"/>
      <c r="L241" s="420" t="str">
        <f t="shared" si="21"/>
        <v/>
      </c>
      <c r="M241" s="401" t="str">
        <f t="shared" si="24"/>
        <v/>
      </c>
    </row>
    <row r="242" spans="2:13" ht="12" customHeight="1" x14ac:dyDescent="0.25">
      <c r="B242" s="46"/>
      <c r="C242" s="14"/>
      <c r="D242" s="21"/>
      <c r="E242" s="21"/>
      <c r="F242" s="24"/>
      <c r="G242" s="422"/>
      <c r="H242" s="17" t="str">
        <f t="shared" si="25"/>
        <v/>
      </c>
      <c r="J242" s="37"/>
      <c r="K242" s="402"/>
      <c r="L242" s="420" t="str">
        <f t="shared" si="21"/>
        <v/>
      </c>
      <c r="M242" s="401" t="str">
        <f t="shared" si="24"/>
        <v/>
      </c>
    </row>
    <row r="243" spans="2:13" x14ac:dyDescent="0.25">
      <c r="B243" s="46"/>
      <c r="C243" s="14"/>
      <c r="D243" s="15"/>
      <c r="E243" s="15"/>
      <c r="F243" s="24"/>
      <c r="G243" s="422"/>
      <c r="H243" s="17" t="str">
        <f t="shared" si="25"/>
        <v/>
      </c>
      <c r="J243" s="37"/>
      <c r="K243" s="402"/>
      <c r="L243" s="420" t="str">
        <f t="shared" si="21"/>
        <v/>
      </c>
      <c r="M243" s="401" t="str">
        <f t="shared" si="24"/>
        <v/>
      </c>
    </row>
    <row r="244" spans="2:13" ht="12" customHeight="1" x14ac:dyDescent="0.25">
      <c r="B244" s="46"/>
      <c r="C244" s="14"/>
      <c r="D244" s="21"/>
      <c r="E244" s="21"/>
      <c r="F244" s="24"/>
      <c r="G244" s="422"/>
      <c r="H244" s="17" t="str">
        <f t="shared" si="25"/>
        <v/>
      </c>
      <c r="J244" s="42"/>
      <c r="K244" s="42"/>
      <c r="L244" s="420" t="str">
        <f t="shared" si="21"/>
        <v/>
      </c>
      <c r="M244" s="401" t="str">
        <f t="shared" si="24"/>
        <v/>
      </c>
    </row>
    <row r="245" spans="2:13" x14ac:dyDescent="0.25">
      <c r="B245" s="46"/>
      <c r="C245" s="14"/>
      <c r="D245" s="15"/>
      <c r="E245" s="15"/>
      <c r="F245" s="24"/>
      <c r="G245" s="422"/>
      <c r="H245" s="17" t="str">
        <f t="shared" si="25"/>
        <v/>
      </c>
      <c r="J245" s="42"/>
      <c r="K245" s="42"/>
      <c r="L245" s="420" t="str">
        <f t="shared" si="21"/>
        <v/>
      </c>
      <c r="M245" s="401" t="str">
        <f t="shared" si="24"/>
        <v/>
      </c>
    </row>
    <row r="246" spans="2:13" ht="12" customHeight="1" x14ac:dyDescent="0.25">
      <c r="B246" s="46"/>
      <c r="C246" s="14"/>
      <c r="D246" s="21"/>
      <c r="E246" s="21"/>
      <c r="F246" s="24"/>
      <c r="G246" s="422"/>
      <c r="H246" s="17" t="str">
        <f t="shared" si="25"/>
        <v/>
      </c>
      <c r="J246" s="42"/>
      <c r="K246" s="42"/>
      <c r="L246" s="420" t="str">
        <f t="shared" si="21"/>
        <v/>
      </c>
      <c r="M246" s="401" t="str">
        <f t="shared" si="24"/>
        <v/>
      </c>
    </row>
    <row r="247" spans="2:13" x14ac:dyDescent="0.25">
      <c r="B247" s="137"/>
      <c r="C247" s="14"/>
      <c r="D247" s="21"/>
      <c r="E247" s="21"/>
      <c r="F247" s="24"/>
      <c r="G247" s="422"/>
      <c r="H247" s="17" t="str">
        <f t="shared" si="25"/>
        <v/>
      </c>
      <c r="J247" s="42"/>
      <c r="K247" s="42"/>
      <c r="L247" s="420" t="str">
        <f t="shared" si="21"/>
        <v/>
      </c>
      <c r="M247" s="401" t="str">
        <f t="shared" si="24"/>
        <v/>
      </c>
    </row>
    <row r="248" spans="2:13" ht="12" customHeight="1" x14ac:dyDescent="0.25">
      <c r="B248" s="46"/>
      <c r="C248" s="14"/>
      <c r="D248" s="21"/>
      <c r="E248" s="21"/>
      <c r="F248" s="24"/>
      <c r="G248" s="422"/>
      <c r="H248" s="17" t="str">
        <f t="shared" si="25"/>
        <v/>
      </c>
      <c r="J248" s="42"/>
      <c r="K248" s="42"/>
      <c r="L248" s="420" t="str">
        <f t="shared" si="21"/>
        <v/>
      </c>
      <c r="M248" s="401" t="str">
        <f t="shared" si="24"/>
        <v/>
      </c>
    </row>
    <row r="249" spans="2:13" x14ac:dyDescent="0.25">
      <c r="B249" s="46"/>
      <c r="C249" s="14"/>
      <c r="D249" s="15"/>
      <c r="E249" s="15"/>
      <c r="F249" s="24"/>
      <c r="G249" s="425"/>
      <c r="H249" s="17" t="str">
        <f t="shared" si="25"/>
        <v/>
      </c>
      <c r="J249" s="42"/>
      <c r="K249" s="42"/>
      <c r="L249" s="420" t="str">
        <f t="shared" si="21"/>
        <v/>
      </c>
      <c r="M249" s="401" t="str">
        <f t="shared" si="24"/>
        <v/>
      </c>
    </row>
    <row r="250" spans="2:13" ht="12" customHeight="1" x14ac:dyDescent="0.25">
      <c r="B250" s="46"/>
      <c r="C250" s="14"/>
      <c r="D250" s="21"/>
      <c r="E250" s="21"/>
      <c r="F250" s="24"/>
      <c r="G250" s="422"/>
      <c r="H250" s="17" t="str">
        <f t="shared" si="25"/>
        <v/>
      </c>
      <c r="J250" s="42"/>
      <c r="K250" s="42"/>
      <c r="L250" s="420" t="str">
        <f t="shared" si="21"/>
        <v/>
      </c>
      <c r="M250" s="401" t="str">
        <f t="shared" si="24"/>
        <v/>
      </c>
    </row>
    <row r="251" spans="2:13" x14ac:dyDescent="0.25">
      <c r="B251" s="46"/>
      <c r="C251" s="14"/>
      <c r="D251" s="15"/>
      <c r="E251" s="15"/>
      <c r="F251" s="24"/>
      <c r="G251" s="422"/>
      <c r="H251" s="17" t="str">
        <f t="shared" si="25"/>
        <v/>
      </c>
      <c r="J251" s="42"/>
      <c r="K251" s="42"/>
      <c r="L251" s="420" t="str">
        <f t="shared" si="21"/>
        <v/>
      </c>
      <c r="M251" s="401" t="str">
        <f t="shared" si="24"/>
        <v/>
      </c>
    </row>
    <row r="252" spans="2:13" x14ac:dyDescent="0.25">
      <c r="B252" s="58"/>
      <c r="C252" s="14"/>
      <c r="D252" s="15"/>
      <c r="E252" s="15"/>
      <c r="F252" s="24"/>
      <c r="G252" s="422"/>
      <c r="H252" s="17" t="str">
        <f t="shared" si="25"/>
        <v/>
      </c>
      <c r="J252" s="42"/>
      <c r="K252" s="42"/>
      <c r="L252" s="420" t="str">
        <f t="shared" si="21"/>
        <v/>
      </c>
      <c r="M252" s="401" t="str">
        <f t="shared" si="24"/>
        <v/>
      </c>
    </row>
    <row r="253" spans="2:13" x14ac:dyDescent="0.25">
      <c r="B253" s="46"/>
      <c r="C253" s="14"/>
      <c r="D253" s="15"/>
      <c r="E253" s="15"/>
      <c r="F253" s="24"/>
      <c r="G253" s="423"/>
      <c r="H253" s="17" t="str">
        <f t="shared" si="25"/>
        <v/>
      </c>
      <c r="J253" s="42"/>
      <c r="K253" s="42"/>
      <c r="L253" s="420" t="str">
        <f t="shared" si="21"/>
        <v/>
      </c>
      <c r="M253" s="401" t="str">
        <f t="shared" si="24"/>
        <v/>
      </c>
    </row>
    <row r="254" spans="2:13" x14ac:dyDescent="0.25">
      <c r="B254" s="46"/>
      <c r="C254" s="14"/>
      <c r="D254" s="15"/>
      <c r="E254" s="15"/>
      <c r="F254" s="15"/>
      <c r="G254" s="411"/>
      <c r="H254" s="17" t="str">
        <f t="shared" si="25"/>
        <v/>
      </c>
      <c r="J254" s="42"/>
      <c r="K254" s="42"/>
      <c r="L254" s="420" t="str">
        <f t="shared" si="21"/>
        <v/>
      </c>
      <c r="M254" s="401" t="str">
        <f t="shared" si="24"/>
        <v/>
      </c>
    </row>
    <row r="255" spans="2:13" x14ac:dyDescent="0.25">
      <c r="B255" s="46"/>
      <c r="C255" s="26"/>
      <c r="D255" s="15"/>
      <c r="E255" s="15"/>
      <c r="F255" s="15"/>
      <c r="G255" s="411"/>
      <c r="H255" s="17" t="str">
        <f t="shared" si="25"/>
        <v/>
      </c>
      <c r="J255" s="42"/>
      <c r="K255" s="42"/>
      <c r="L255" s="420" t="str">
        <f t="shared" si="21"/>
        <v/>
      </c>
      <c r="M255" s="401" t="str">
        <f t="shared" si="24"/>
        <v/>
      </c>
    </row>
    <row r="256" spans="2:13" ht="12" customHeight="1" x14ac:dyDescent="0.25">
      <c r="B256" s="46"/>
      <c r="C256" s="14"/>
      <c r="D256" s="15"/>
      <c r="E256" s="15"/>
      <c r="F256" s="15"/>
      <c r="G256" s="411"/>
      <c r="H256" s="17" t="str">
        <f t="shared" si="25"/>
        <v/>
      </c>
      <c r="J256" s="42"/>
      <c r="K256" s="42"/>
      <c r="L256" s="420" t="str">
        <f t="shared" si="21"/>
        <v/>
      </c>
      <c r="M256" s="401" t="str">
        <f t="shared" si="24"/>
        <v/>
      </c>
    </row>
    <row r="257" spans="2:13" x14ac:dyDescent="0.25">
      <c r="B257" s="150"/>
      <c r="C257" s="14"/>
      <c r="D257" s="21"/>
      <c r="E257" s="21"/>
      <c r="F257" s="15"/>
      <c r="G257" s="411"/>
      <c r="H257" s="17" t="str">
        <f t="shared" si="25"/>
        <v/>
      </c>
      <c r="J257" s="42"/>
      <c r="K257" s="42"/>
      <c r="L257" s="420" t="str">
        <f t="shared" si="21"/>
        <v/>
      </c>
      <c r="M257" s="401" t="str">
        <f t="shared" si="24"/>
        <v/>
      </c>
    </row>
    <row r="258" spans="2:13" ht="12" customHeight="1" x14ac:dyDescent="0.25">
      <c r="B258" s="58"/>
      <c r="C258" s="14"/>
      <c r="D258" s="15"/>
      <c r="E258" s="15"/>
      <c r="F258" s="15"/>
      <c r="G258" s="411"/>
      <c r="H258" s="17" t="str">
        <f t="shared" si="25"/>
        <v/>
      </c>
      <c r="J258" s="42"/>
      <c r="K258" s="42"/>
      <c r="L258" s="420" t="str">
        <f t="shared" si="21"/>
        <v/>
      </c>
      <c r="M258" s="401" t="str">
        <f t="shared" si="24"/>
        <v/>
      </c>
    </row>
    <row r="259" spans="2:13" x14ac:dyDescent="0.25">
      <c r="B259" s="85"/>
      <c r="C259" s="14"/>
      <c r="D259" s="15"/>
      <c r="E259" s="15"/>
      <c r="F259" s="22"/>
      <c r="G259" s="412"/>
      <c r="H259" s="17" t="str">
        <f t="shared" si="25"/>
        <v/>
      </c>
      <c r="J259" s="42"/>
      <c r="K259" s="42"/>
      <c r="L259" s="420" t="str">
        <f t="shared" si="21"/>
        <v/>
      </c>
      <c r="M259" s="401" t="str">
        <f t="shared" si="24"/>
        <v/>
      </c>
    </row>
    <row r="260" spans="2:13" ht="12" customHeight="1" x14ac:dyDescent="0.25">
      <c r="B260" s="58"/>
      <c r="C260" s="14"/>
      <c r="D260" s="15"/>
      <c r="E260" s="15"/>
      <c r="F260" s="24"/>
      <c r="G260" s="411"/>
      <c r="H260" s="17" t="str">
        <f t="shared" si="25"/>
        <v/>
      </c>
      <c r="J260" s="37"/>
      <c r="K260" s="42"/>
      <c r="L260" s="420" t="str">
        <f t="shared" si="21"/>
        <v/>
      </c>
      <c r="M260" s="401" t="str">
        <f t="shared" si="24"/>
        <v/>
      </c>
    </row>
    <row r="261" spans="2:13" x14ac:dyDescent="0.25">
      <c r="B261" s="58"/>
      <c r="C261" s="14"/>
      <c r="D261" s="15"/>
      <c r="E261" s="15"/>
      <c r="F261" s="24"/>
      <c r="G261" s="423"/>
      <c r="H261" s="17" t="str">
        <f t="shared" si="25"/>
        <v/>
      </c>
      <c r="J261" s="37"/>
      <c r="K261" s="403"/>
      <c r="L261" s="420" t="str">
        <f t="shared" si="21"/>
        <v/>
      </c>
      <c r="M261" s="401" t="str">
        <f t="shared" si="24"/>
        <v/>
      </c>
    </row>
    <row r="262" spans="2:13" ht="12" customHeight="1" x14ac:dyDescent="0.25">
      <c r="B262" s="58"/>
      <c r="C262" s="14"/>
      <c r="D262" s="15"/>
      <c r="E262" s="15"/>
      <c r="F262" s="24"/>
      <c r="G262" s="423"/>
      <c r="H262" s="17"/>
      <c r="J262" s="37"/>
      <c r="K262" s="404"/>
      <c r="L262" s="420" t="str">
        <f t="shared" si="21"/>
        <v/>
      </c>
      <c r="M262" s="401" t="str">
        <f t="shared" si="24"/>
        <v/>
      </c>
    </row>
    <row r="263" spans="2:13" s="28" customFormat="1" ht="19.5" customHeight="1" x14ac:dyDescent="0.25">
      <c r="B263" s="135" t="str">
        <f>$B$12</f>
        <v>C10.1</v>
      </c>
      <c r="C263" s="498" t="str">
        <f>"TOTAL CARRIED FORWARD"&amp;IF(H263=H$1," TO SUMMARY (Page C"&amp;Page_A&amp;")","")</f>
        <v>TOTAL CARRIED FORWARD TO SUMMARY (Page C48)</v>
      </c>
      <c r="D263" s="31"/>
      <c r="E263" s="31"/>
      <c r="F263" s="32"/>
      <c r="G263" s="31"/>
      <c r="H263" s="33">
        <f>SUM(H205:H262)</f>
        <v>0</v>
      </c>
      <c r="I263" s="34"/>
      <c r="J263" s="408"/>
      <c r="K263" s="406"/>
      <c r="L263" s="418">
        <f>SUM(L205:L262)</f>
        <v>0</v>
      </c>
      <c r="M263" s="407" t="str">
        <f>IF(F258="","",IF(SUM(I258)=0,"",L263/I249))</f>
        <v/>
      </c>
    </row>
    <row r="264" spans="2:13" ht="13" x14ac:dyDescent="0.25">
      <c r="B264" s="1108" t="str">
        <f>Client1</f>
        <v>Province of KwaZulu-Natal</v>
      </c>
      <c r="C264" s="1108"/>
      <c r="D264" s="1108"/>
      <c r="E264" s="87"/>
      <c r="F264" s="1109" t="str">
        <f>"Contract No. "&amp;ContractNo</f>
        <v>Contract No. ZNB 00399/00000/HOD/INF/21/T</v>
      </c>
      <c r="G264" s="1109"/>
      <c r="H264" s="1109"/>
    </row>
    <row r="265" spans="2:13" ht="13" x14ac:dyDescent="0.25">
      <c r="B265" s="1108" t="str">
        <f>Client2</f>
        <v>Department of Transport</v>
      </c>
      <c r="C265" s="1108"/>
      <c r="D265" s="1108"/>
      <c r="E265" s="87"/>
      <c r="F265" s="1109"/>
      <c r="G265" s="1109"/>
      <c r="H265" s="1109"/>
    </row>
    <row r="266" spans="2:13" x14ac:dyDescent="0.25">
      <c r="B266" s="1111"/>
      <c r="C266" s="1111"/>
      <c r="D266" s="1111"/>
      <c r="E266" s="78"/>
      <c r="F266" s="1110"/>
      <c r="G266" s="1110"/>
      <c r="H266" s="1110"/>
    </row>
    <row r="267" spans="2:13" ht="13" x14ac:dyDescent="0.25">
      <c r="B267" s="1112" t="s">
        <v>8</v>
      </c>
      <c r="C267" s="1113"/>
      <c r="D267" s="1113"/>
      <c r="E267" s="1113"/>
      <c r="F267" s="1113"/>
      <c r="G267" s="1113"/>
      <c r="H267" s="1114" t="str">
        <f>$H$6</f>
        <v>CHAPTER C10.1</v>
      </c>
      <c r="I267" s="6"/>
    </row>
    <row r="268" spans="2:13" ht="13" x14ac:dyDescent="0.25">
      <c r="B268" s="1117" t="str">
        <f>ContractDescription</f>
        <v>THE CONSTRUCTION OF EARTHWORKS, LAYERWORKS, SURFACING, CULVERTS AND CWAKA RIVER BRIDGE FROM KM 11.600 TO KM 14.000 ON MAIN ROAD P494 IN THE KING CETSHWAYO DISTRICT UNDER EMPANGENI REGION</v>
      </c>
      <c r="C268" s="1118"/>
      <c r="D268" s="1118"/>
      <c r="E268" s="1118"/>
      <c r="F268" s="1118"/>
      <c r="G268" s="1118"/>
      <c r="H268" s="1115"/>
      <c r="I268" s="8"/>
    </row>
    <row r="269" spans="2:13" ht="13" x14ac:dyDescent="0.25">
      <c r="B269" s="1117"/>
      <c r="C269" s="1118"/>
      <c r="D269" s="1118"/>
      <c r="E269" s="1118"/>
      <c r="F269" s="1118"/>
      <c r="G269" s="1118"/>
      <c r="H269" s="1115"/>
      <c r="I269" s="8"/>
    </row>
    <row r="270" spans="2:13" ht="13" x14ac:dyDescent="0.25">
      <c r="B270" s="1119"/>
      <c r="C270" s="1120"/>
      <c r="D270" s="1120"/>
      <c r="E270" s="1120"/>
      <c r="F270" s="1120"/>
      <c r="G270" s="1120"/>
      <c r="H270" s="1116"/>
      <c r="I270" s="8"/>
    </row>
    <row r="271" spans="2:13" s="9" customFormat="1" ht="25" customHeight="1" x14ac:dyDescent="0.25">
      <c r="B271" s="74" t="s">
        <v>0</v>
      </c>
      <c r="C271" s="11" t="s">
        <v>1</v>
      </c>
      <c r="D271" s="11" t="s">
        <v>2</v>
      </c>
      <c r="E271" s="11"/>
      <c r="F271" s="11" t="s">
        <v>3</v>
      </c>
      <c r="G271" s="11" t="s">
        <v>4</v>
      </c>
      <c r="H271" s="11" t="s">
        <v>5</v>
      </c>
      <c r="I271" s="12"/>
      <c r="J271" s="408" t="s">
        <v>996</v>
      </c>
      <c r="K271" s="253" t="s">
        <v>997</v>
      </c>
      <c r="L271" s="253" t="s">
        <v>998</v>
      </c>
      <c r="M271" s="253" t="s">
        <v>999</v>
      </c>
    </row>
    <row r="272" spans="2:13" s="28" customFormat="1" ht="19.5" customHeight="1" x14ac:dyDescent="0.25">
      <c r="B272" s="80"/>
      <c r="C272" s="30" t="s">
        <v>27</v>
      </c>
      <c r="D272" s="31"/>
      <c r="E272" s="31"/>
      <c r="F272" s="32"/>
      <c r="G272" s="31"/>
      <c r="H272" s="33">
        <f>H263</f>
        <v>0</v>
      </c>
      <c r="I272" s="34"/>
      <c r="J272" s="416"/>
      <c r="K272" s="409"/>
      <c r="L272" s="419">
        <f>L263</f>
        <v>0</v>
      </c>
      <c r="M272" s="410" t="str">
        <f>IF(F272="","",IF(SUM(I272)=0,"",L272/I272))</f>
        <v/>
      </c>
    </row>
    <row r="273" spans="2:13" x14ac:dyDescent="0.25">
      <c r="B273" s="58"/>
      <c r="C273" s="14"/>
      <c r="D273" s="15"/>
      <c r="E273" s="15"/>
      <c r="F273" s="24"/>
      <c r="G273" s="423"/>
      <c r="H273" s="17"/>
      <c r="J273" s="37"/>
      <c r="K273" s="399"/>
      <c r="L273" s="420" t="str">
        <f t="shared" ref="L273:L324" si="26">IF(J273="","",F273*K273)</f>
        <v/>
      </c>
      <c r="M273" s="401" t="str">
        <f t="shared" ref="M273:M304" si="27">IF(J273="","",IF(SUM(H273)=0,"",L273/H273))</f>
        <v/>
      </c>
    </row>
    <row r="274" spans="2:13" x14ac:dyDescent="0.25">
      <c r="B274" s="46"/>
      <c r="C274" s="26"/>
      <c r="D274" s="15"/>
      <c r="E274" s="15"/>
      <c r="F274" s="24"/>
      <c r="G274" s="421"/>
      <c r="H274" s="17" t="str">
        <f t="shared" ref="H274:H294" si="28">IF(D274="","",F274*G274)</f>
        <v/>
      </c>
      <c r="J274" s="37"/>
      <c r="K274" s="399"/>
      <c r="L274" s="420" t="str">
        <f t="shared" si="26"/>
        <v/>
      </c>
      <c r="M274" s="401" t="str">
        <f t="shared" si="27"/>
        <v/>
      </c>
    </row>
    <row r="275" spans="2:13" x14ac:dyDescent="0.25">
      <c r="B275" s="46"/>
      <c r="C275" s="14"/>
      <c r="D275" s="15"/>
      <c r="E275" s="15"/>
      <c r="F275" s="24"/>
      <c r="G275" s="421"/>
      <c r="H275" s="17" t="str">
        <f t="shared" si="28"/>
        <v/>
      </c>
      <c r="J275" s="37"/>
      <c r="K275" s="399"/>
      <c r="L275" s="420" t="str">
        <f t="shared" si="26"/>
        <v/>
      </c>
      <c r="M275" s="401" t="str">
        <f t="shared" si="27"/>
        <v/>
      </c>
    </row>
    <row r="276" spans="2:13" x14ac:dyDescent="0.25">
      <c r="B276" s="58"/>
      <c r="C276" s="14"/>
      <c r="D276" s="15"/>
      <c r="E276" s="15"/>
      <c r="F276" s="24"/>
      <c r="G276" s="422"/>
      <c r="H276" s="17" t="str">
        <f t="shared" si="28"/>
        <v/>
      </c>
      <c r="J276" s="37"/>
      <c r="K276" s="399"/>
      <c r="L276" s="420" t="str">
        <f t="shared" si="26"/>
        <v/>
      </c>
      <c r="M276" s="401" t="str">
        <f t="shared" si="27"/>
        <v/>
      </c>
    </row>
    <row r="277" spans="2:13" x14ac:dyDescent="0.25">
      <c r="B277" s="58"/>
      <c r="C277" s="14"/>
      <c r="D277" s="15"/>
      <c r="E277" s="15"/>
      <c r="F277" s="24"/>
      <c r="G277" s="421"/>
      <c r="H277" s="17" t="str">
        <f t="shared" si="28"/>
        <v/>
      </c>
      <c r="J277" s="37"/>
      <c r="K277" s="400"/>
      <c r="L277" s="420" t="str">
        <f t="shared" si="26"/>
        <v/>
      </c>
      <c r="M277" s="401" t="str">
        <f t="shared" si="27"/>
        <v/>
      </c>
    </row>
    <row r="278" spans="2:13" x14ac:dyDescent="0.25">
      <c r="B278" s="85"/>
      <c r="C278" s="14"/>
      <c r="D278" s="15"/>
      <c r="E278" s="15"/>
      <c r="F278" s="24"/>
      <c r="G278" s="423"/>
      <c r="H278" s="17" t="str">
        <f t="shared" si="28"/>
        <v/>
      </c>
      <c r="J278" s="37"/>
      <c r="K278" s="399"/>
      <c r="L278" s="420" t="str">
        <f t="shared" si="26"/>
        <v/>
      </c>
      <c r="M278" s="401" t="str">
        <f t="shared" si="27"/>
        <v/>
      </c>
    </row>
    <row r="279" spans="2:13" x14ac:dyDescent="0.25">
      <c r="B279" s="58"/>
      <c r="C279" s="14"/>
      <c r="D279" s="15"/>
      <c r="E279" s="15"/>
      <c r="F279" s="24"/>
      <c r="G279" s="421"/>
      <c r="H279" s="17" t="str">
        <f t="shared" si="28"/>
        <v/>
      </c>
      <c r="J279" s="37"/>
      <c r="K279" s="399"/>
      <c r="L279" s="420" t="str">
        <f t="shared" si="26"/>
        <v/>
      </c>
      <c r="M279" s="401" t="str">
        <f t="shared" si="27"/>
        <v/>
      </c>
    </row>
    <row r="280" spans="2:13" x14ac:dyDescent="0.25">
      <c r="B280" s="58"/>
      <c r="C280" s="14"/>
      <c r="D280" s="15"/>
      <c r="E280" s="15"/>
      <c r="F280" s="24"/>
      <c r="G280" s="411"/>
      <c r="H280" s="17" t="str">
        <f t="shared" si="28"/>
        <v/>
      </c>
      <c r="J280" s="37"/>
      <c r="K280" s="399"/>
      <c r="L280" s="420" t="str">
        <f t="shared" si="26"/>
        <v/>
      </c>
      <c r="M280" s="401" t="str">
        <f t="shared" si="27"/>
        <v/>
      </c>
    </row>
    <row r="281" spans="2:13" x14ac:dyDescent="0.25">
      <c r="B281" s="58"/>
      <c r="C281" s="14"/>
      <c r="D281" s="15"/>
      <c r="E281" s="15"/>
      <c r="F281" s="24"/>
      <c r="G281" s="411"/>
      <c r="H281" s="17" t="str">
        <f t="shared" si="28"/>
        <v/>
      </c>
      <c r="J281" s="37"/>
      <c r="K281" s="402"/>
      <c r="L281" s="420" t="str">
        <f t="shared" si="26"/>
        <v/>
      </c>
      <c r="M281" s="401" t="str">
        <f t="shared" si="27"/>
        <v/>
      </c>
    </row>
    <row r="282" spans="2:13" x14ac:dyDescent="0.25">
      <c r="B282" s="46"/>
      <c r="C282" s="14"/>
      <c r="D282" s="15"/>
      <c r="E282" s="15"/>
      <c r="F282" s="24"/>
      <c r="G282" s="422"/>
      <c r="H282" s="17" t="str">
        <f t="shared" si="28"/>
        <v/>
      </c>
      <c r="J282" s="37"/>
      <c r="K282" s="402"/>
      <c r="L282" s="420" t="str">
        <f t="shared" si="26"/>
        <v/>
      </c>
      <c r="M282" s="401" t="str">
        <f t="shared" si="27"/>
        <v/>
      </c>
    </row>
    <row r="283" spans="2:13" x14ac:dyDescent="0.25">
      <c r="B283" s="46"/>
      <c r="C283" s="14"/>
      <c r="D283" s="21"/>
      <c r="E283" s="21"/>
      <c r="F283" s="24"/>
      <c r="G283" s="422"/>
      <c r="H283" s="17" t="str">
        <f t="shared" si="28"/>
        <v/>
      </c>
      <c r="J283" s="37"/>
      <c r="K283" s="402"/>
      <c r="L283" s="420" t="str">
        <f t="shared" si="26"/>
        <v/>
      </c>
      <c r="M283" s="401" t="str">
        <f t="shared" si="27"/>
        <v/>
      </c>
    </row>
    <row r="284" spans="2:13" x14ac:dyDescent="0.25">
      <c r="B284" s="46"/>
      <c r="C284" s="14"/>
      <c r="D284" s="15"/>
      <c r="E284" s="15"/>
      <c r="F284" s="24"/>
      <c r="G284" s="422"/>
      <c r="H284" s="17" t="str">
        <f t="shared" si="28"/>
        <v/>
      </c>
      <c r="J284" s="37"/>
      <c r="K284" s="402"/>
      <c r="L284" s="420" t="str">
        <f t="shared" si="26"/>
        <v/>
      </c>
      <c r="M284" s="401" t="str">
        <f t="shared" si="27"/>
        <v/>
      </c>
    </row>
    <row r="285" spans="2:13" x14ac:dyDescent="0.25">
      <c r="B285" s="46"/>
      <c r="C285" s="14"/>
      <c r="D285" s="21"/>
      <c r="E285" s="21"/>
      <c r="F285" s="24"/>
      <c r="G285" s="422"/>
      <c r="H285" s="17" t="str">
        <f t="shared" si="28"/>
        <v/>
      </c>
      <c r="J285" s="37"/>
      <c r="K285" s="402"/>
      <c r="L285" s="420" t="str">
        <f t="shared" si="26"/>
        <v/>
      </c>
      <c r="M285" s="401" t="str">
        <f t="shared" si="27"/>
        <v/>
      </c>
    </row>
    <row r="286" spans="2:13" x14ac:dyDescent="0.25">
      <c r="B286" s="46"/>
      <c r="C286" s="14"/>
      <c r="D286" s="15"/>
      <c r="E286" s="15"/>
      <c r="F286" s="24"/>
      <c r="G286" s="422"/>
      <c r="H286" s="17" t="str">
        <f t="shared" si="28"/>
        <v/>
      </c>
      <c r="J286" s="37"/>
      <c r="K286" s="402"/>
      <c r="L286" s="420" t="str">
        <f t="shared" si="26"/>
        <v/>
      </c>
      <c r="M286" s="401" t="str">
        <f t="shared" si="27"/>
        <v/>
      </c>
    </row>
    <row r="287" spans="2:13" x14ac:dyDescent="0.25">
      <c r="B287" s="46"/>
      <c r="C287" s="14"/>
      <c r="D287" s="21"/>
      <c r="E287" s="21"/>
      <c r="F287" s="24"/>
      <c r="G287" s="422"/>
      <c r="H287" s="17" t="str">
        <f t="shared" si="28"/>
        <v/>
      </c>
      <c r="J287" s="37"/>
      <c r="K287" s="399"/>
      <c r="L287" s="420" t="str">
        <f t="shared" si="26"/>
        <v/>
      </c>
      <c r="M287" s="401" t="str">
        <f t="shared" si="27"/>
        <v/>
      </c>
    </row>
    <row r="288" spans="2:13" x14ac:dyDescent="0.25">
      <c r="B288" s="137"/>
      <c r="C288" s="14"/>
      <c r="D288" s="15"/>
      <c r="E288" s="15"/>
      <c r="F288" s="24"/>
      <c r="G288" s="422"/>
      <c r="H288" s="17" t="str">
        <f t="shared" si="28"/>
        <v/>
      </c>
      <c r="J288" s="37"/>
      <c r="K288" s="399"/>
      <c r="L288" s="420" t="str">
        <f t="shared" si="26"/>
        <v/>
      </c>
      <c r="M288" s="401" t="str">
        <f t="shared" si="27"/>
        <v/>
      </c>
    </row>
    <row r="289" spans="2:13" x14ac:dyDescent="0.25">
      <c r="B289" s="46"/>
      <c r="C289" s="14"/>
      <c r="D289" s="21"/>
      <c r="E289" s="21"/>
      <c r="F289" s="24"/>
      <c r="G289" s="422"/>
      <c r="H289" s="17" t="str">
        <f t="shared" si="28"/>
        <v/>
      </c>
      <c r="J289" s="37"/>
      <c r="K289" s="400"/>
      <c r="L289" s="420" t="str">
        <f t="shared" si="26"/>
        <v/>
      </c>
      <c r="M289" s="401" t="str">
        <f t="shared" si="27"/>
        <v/>
      </c>
    </row>
    <row r="290" spans="2:13" x14ac:dyDescent="0.25">
      <c r="B290" s="46"/>
      <c r="C290" s="14"/>
      <c r="D290" s="15"/>
      <c r="E290" s="15"/>
      <c r="F290" s="24"/>
      <c r="G290" s="422"/>
      <c r="H290" s="17" t="str">
        <f t="shared" si="28"/>
        <v/>
      </c>
      <c r="J290" s="37"/>
      <c r="K290" s="399"/>
      <c r="L290" s="420" t="str">
        <f t="shared" si="26"/>
        <v/>
      </c>
      <c r="M290" s="401" t="str">
        <f t="shared" si="27"/>
        <v/>
      </c>
    </row>
    <row r="291" spans="2:13" x14ac:dyDescent="0.25">
      <c r="B291" s="46"/>
      <c r="C291" s="14"/>
      <c r="D291" s="21"/>
      <c r="E291" s="21"/>
      <c r="F291" s="24"/>
      <c r="G291" s="422"/>
      <c r="H291" s="17" t="str">
        <f t="shared" si="28"/>
        <v/>
      </c>
      <c r="J291" s="37"/>
      <c r="K291" s="399"/>
      <c r="L291" s="420" t="str">
        <f t="shared" si="26"/>
        <v/>
      </c>
      <c r="M291" s="401" t="str">
        <f t="shared" si="27"/>
        <v/>
      </c>
    </row>
    <row r="292" spans="2:13" x14ac:dyDescent="0.25">
      <c r="B292" s="46"/>
      <c r="C292" s="14"/>
      <c r="D292" s="15"/>
      <c r="E292" s="15"/>
      <c r="F292" s="24"/>
      <c r="G292" s="422"/>
      <c r="H292" s="17" t="str">
        <f t="shared" si="28"/>
        <v/>
      </c>
      <c r="J292" s="37"/>
      <c r="K292" s="399"/>
      <c r="L292" s="420" t="str">
        <f t="shared" si="26"/>
        <v/>
      </c>
      <c r="M292" s="401" t="str">
        <f t="shared" si="27"/>
        <v/>
      </c>
    </row>
    <row r="293" spans="2:13" x14ac:dyDescent="0.25">
      <c r="B293" s="58"/>
      <c r="C293" s="14"/>
      <c r="D293" s="15"/>
      <c r="E293" s="15"/>
      <c r="F293" s="24"/>
      <c r="G293" s="422"/>
      <c r="H293" s="17" t="str">
        <f t="shared" si="28"/>
        <v/>
      </c>
      <c r="J293" s="37"/>
      <c r="K293" s="399"/>
      <c r="L293" s="420" t="str">
        <f t="shared" si="26"/>
        <v/>
      </c>
      <c r="M293" s="401" t="str">
        <f t="shared" si="27"/>
        <v/>
      </c>
    </row>
    <row r="294" spans="2:13" x14ac:dyDescent="0.25">
      <c r="B294" s="46"/>
      <c r="C294" s="14"/>
      <c r="D294" s="15"/>
      <c r="E294" s="15"/>
      <c r="F294" s="24"/>
      <c r="G294" s="423"/>
      <c r="H294" s="17" t="str">
        <f t="shared" si="28"/>
        <v/>
      </c>
      <c r="J294" s="37"/>
      <c r="K294" s="399"/>
      <c r="L294" s="420" t="str">
        <f t="shared" si="26"/>
        <v/>
      </c>
      <c r="M294" s="401" t="str">
        <f t="shared" si="27"/>
        <v/>
      </c>
    </row>
    <row r="295" spans="2:13" x14ac:dyDescent="0.25">
      <c r="B295" s="46"/>
      <c r="C295" s="14"/>
      <c r="D295" s="15"/>
      <c r="E295" s="976"/>
      <c r="F295" s="152"/>
      <c r="G295" s="423"/>
      <c r="H295" s="17"/>
      <c r="J295" s="37"/>
      <c r="K295" s="400"/>
      <c r="L295" s="420" t="str">
        <f t="shared" si="26"/>
        <v/>
      </c>
      <c r="M295" s="401" t="str">
        <f t="shared" si="27"/>
        <v/>
      </c>
    </row>
    <row r="296" spans="2:13" x14ac:dyDescent="0.25">
      <c r="B296" s="137"/>
      <c r="C296" s="48"/>
      <c r="D296" s="15"/>
      <c r="E296" s="976"/>
      <c r="F296" s="149"/>
      <c r="G296" s="413"/>
      <c r="H296" s="17" t="str">
        <f t="shared" ref="H296:H318" si="29">IF(D296="","",F296*G296)</f>
        <v/>
      </c>
      <c r="J296" s="61"/>
      <c r="K296" s="399"/>
      <c r="L296" s="420" t="str">
        <f t="shared" si="26"/>
        <v/>
      </c>
      <c r="M296" s="401" t="str">
        <f t="shared" si="27"/>
        <v/>
      </c>
    </row>
    <row r="297" spans="2:13" x14ac:dyDescent="0.25">
      <c r="B297" s="46"/>
      <c r="C297" s="14"/>
      <c r="D297" s="15"/>
      <c r="E297" s="15"/>
      <c r="F297" s="15"/>
      <c r="G297" s="411"/>
      <c r="H297" s="17" t="str">
        <f t="shared" si="29"/>
        <v/>
      </c>
      <c r="J297" s="37"/>
      <c r="K297" s="399"/>
      <c r="L297" s="420" t="str">
        <f t="shared" si="26"/>
        <v/>
      </c>
      <c r="M297" s="401" t="str">
        <f t="shared" si="27"/>
        <v/>
      </c>
    </row>
    <row r="298" spans="2:13" x14ac:dyDescent="0.25">
      <c r="B298" s="46"/>
      <c r="C298" s="26"/>
      <c r="D298" s="15"/>
      <c r="E298" s="15"/>
      <c r="F298" s="15"/>
      <c r="G298" s="411"/>
      <c r="H298" s="17" t="str">
        <f t="shared" si="29"/>
        <v/>
      </c>
      <c r="J298" s="37"/>
      <c r="K298" s="399"/>
      <c r="L298" s="420" t="str">
        <f t="shared" si="26"/>
        <v/>
      </c>
      <c r="M298" s="401" t="str">
        <f t="shared" si="27"/>
        <v/>
      </c>
    </row>
    <row r="299" spans="2:13" x14ac:dyDescent="0.25">
      <c r="B299" s="46"/>
      <c r="C299" s="14"/>
      <c r="D299" s="15"/>
      <c r="E299" s="15"/>
      <c r="F299" s="15"/>
      <c r="G299" s="411"/>
      <c r="H299" s="17" t="str">
        <f t="shared" si="29"/>
        <v/>
      </c>
      <c r="J299" s="37"/>
      <c r="K299" s="399"/>
      <c r="L299" s="420" t="str">
        <f t="shared" si="26"/>
        <v/>
      </c>
      <c r="M299" s="401" t="str">
        <f t="shared" si="27"/>
        <v/>
      </c>
    </row>
    <row r="300" spans="2:13" x14ac:dyDescent="0.25">
      <c r="B300" s="150"/>
      <c r="C300" s="65"/>
      <c r="D300" s="21"/>
      <c r="E300" s="21"/>
      <c r="F300" s="15"/>
      <c r="G300" s="411"/>
      <c r="H300" s="17" t="str">
        <f t="shared" si="29"/>
        <v/>
      </c>
      <c r="J300" s="37"/>
      <c r="K300" s="399"/>
      <c r="L300" s="420" t="str">
        <f t="shared" si="26"/>
        <v/>
      </c>
      <c r="M300" s="401" t="str">
        <f t="shared" si="27"/>
        <v/>
      </c>
    </row>
    <row r="301" spans="2:13" x14ac:dyDescent="0.25">
      <c r="B301" s="58"/>
      <c r="C301" s="14"/>
      <c r="D301" s="15"/>
      <c r="E301" s="15"/>
      <c r="F301" s="15"/>
      <c r="G301" s="411"/>
      <c r="H301" s="17" t="str">
        <f t="shared" si="29"/>
        <v/>
      </c>
      <c r="J301" s="37"/>
      <c r="K301" s="399"/>
      <c r="L301" s="420" t="str">
        <f t="shared" si="26"/>
        <v/>
      </c>
      <c r="M301" s="401" t="str">
        <f t="shared" si="27"/>
        <v/>
      </c>
    </row>
    <row r="302" spans="2:13" x14ac:dyDescent="0.25">
      <c r="B302" s="85"/>
      <c r="C302" s="14"/>
      <c r="D302" s="15"/>
      <c r="E302" s="15"/>
      <c r="F302" s="22"/>
      <c r="G302" s="412"/>
      <c r="H302" s="17" t="str">
        <f t="shared" si="29"/>
        <v/>
      </c>
      <c r="J302" s="37"/>
      <c r="K302" s="399"/>
      <c r="L302" s="420" t="str">
        <f t="shared" si="26"/>
        <v/>
      </c>
      <c r="M302" s="401" t="str">
        <f t="shared" si="27"/>
        <v/>
      </c>
    </row>
    <row r="303" spans="2:13" x14ac:dyDescent="0.25">
      <c r="B303" s="58"/>
      <c r="C303" s="14"/>
      <c r="D303" s="15"/>
      <c r="E303" s="15"/>
      <c r="F303" s="24"/>
      <c r="G303" s="411"/>
      <c r="H303" s="17" t="str">
        <f t="shared" si="29"/>
        <v/>
      </c>
      <c r="J303" s="37"/>
      <c r="K303" s="399"/>
      <c r="L303" s="420" t="str">
        <f t="shared" si="26"/>
        <v/>
      </c>
      <c r="M303" s="401" t="str">
        <f t="shared" si="27"/>
        <v/>
      </c>
    </row>
    <row r="304" spans="2:13" x14ac:dyDescent="0.25">
      <c r="B304" s="58"/>
      <c r="C304" s="14"/>
      <c r="D304" s="15"/>
      <c r="E304" s="15"/>
      <c r="F304" s="24"/>
      <c r="G304" s="423"/>
      <c r="H304" s="17" t="str">
        <f t="shared" si="29"/>
        <v/>
      </c>
      <c r="J304" s="37"/>
      <c r="K304" s="399"/>
      <c r="L304" s="420" t="str">
        <f t="shared" si="26"/>
        <v/>
      </c>
      <c r="M304" s="401" t="str">
        <f t="shared" si="27"/>
        <v/>
      </c>
    </row>
    <row r="305" spans="2:13" x14ac:dyDescent="0.25">
      <c r="B305" s="58"/>
      <c r="C305" s="14"/>
      <c r="D305" s="15"/>
      <c r="E305" s="15"/>
      <c r="F305" s="24"/>
      <c r="G305" s="411"/>
      <c r="H305" s="17" t="str">
        <f t="shared" si="29"/>
        <v/>
      </c>
      <c r="J305" s="37"/>
      <c r="K305" s="399"/>
      <c r="L305" s="420" t="str">
        <f t="shared" si="26"/>
        <v/>
      </c>
      <c r="M305" s="401" t="str">
        <f t="shared" ref="M305:M324" si="30">IF(J305="","",IF(SUM(H305)=0,"",L305/H305))</f>
        <v/>
      </c>
    </row>
    <row r="306" spans="2:13" x14ac:dyDescent="0.25">
      <c r="B306" s="46"/>
      <c r="C306" s="26"/>
      <c r="D306" s="15"/>
      <c r="E306" s="15"/>
      <c r="F306" s="24"/>
      <c r="G306" s="421"/>
      <c r="H306" s="17" t="str">
        <f t="shared" si="29"/>
        <v/>
      </c>
      <c r="J306" s="37"/>
      <c r="K306" s="399"/>
      <c r="L306" s="420" t="str">
        <f t="shared" si="26"/>
        <v/>
      </c>
      <c r="M306" s="401" t="str">
        <f t="shared" si="30"/>
        <v/>
      </c>
    </row>
    <row r="307" spans="2:13" x14ac:dyDescent="0.25">
      <c r="B307" s="46"/>
      <c r="C307" s="14"/>
      <c r="D307" s="15"/>
      <c r="E307" s="15"/>
      <c r="F307" s="24"/>
      <c r="G307" s="421"/>
      <c r="H307" s="17" t="str">
        <f t="shared" si="29"/>
        <v/>
      </c>
      <c r="J307" s="37"/>
      <c r="K307" s="402"/>
      <c r="L307" s="420" t="str">
        <f t="shared" si="26"/>
        <v/>
      </c>
      <c r="M307" s="401" t="str">
        <f t="shared" si="30"/>
        <v/>
      </c>
    </row>
    <row r="308" spans="2:13" x14ac:dyDescent="0.25">
      <c r="B308" s="58"/>
      <c r="C308" s="14"/>
      <c r="D308" s="15"/>
      <c r="E308" s="15"/>
      <c r="F308" s="24"/>
      <c r="G308" s="422"/>
      <c r="H308" s="17" t="str">
        <f t="shared" si="29"/>
        <v/>
      </c>
      <c r="J308" s="37"/>
      <c r="K308" s="399"/>
      <c r="L308" s="420" t="str">
        <f t="shared" si="26"/>
        <v/>
      </c>
      <c r="M308" s="401" t="str">
        <f t="shared" si="30"/>
        <v/>
      </c>
    </row>
    <row r="309" spans="2:13" x14ac:dyDescent="0.25">
      <c r="B309" s="58"/>
      <c r="C309" s="14"/>
      <c r="D309" s="15"/>
      <c r="E309" s="15"/>
      <c r="F309" s="24"/>
      <c r="G309" s="421"/>
      <c r="H309" s="17" t="str">
        <f t="shared" si="29"/>
        <v/>
      </c>
      <c r="J309" s="37"/>
      <c r="K309" s="402"/>
      <c r="L309" s="420" t="str">
        <f t="shared" si="26"/>
        <v/>
      </c>
      <c r="M309" s="401" t="str">
        <f t="shared" si="30"/>
        <v/>
      </c>
    </row>
    <row r="310" spans="2:13" x14ac:dyDescent="0.25">
      <c r="B310" s="85"/>
      <c r="C310" s="14"/>
      <c r="D310" s="15"/>
      <c r="E310" s="15"/>
      <c r="F310" s="24"/>
      <c r="G310" s="423"/>
      <c r="H310" s="17" t="str">
        <f t="shared" si="29"/>
        <v/>
      </c>
      <c r="J310" s="37"/>
      <c r="K310" s="402"/>
      <c r="L310" s="420" t="str">
        <f t="shared" si="26"/>
        <v/>
      </c>
      <c r="M310" s="401" t="str">
        <f t="shared" si="30"/>
        <v/>
      </c>
    </row>
    <row r="311" spans="2:13" x14ac:dyDescent="0.25">
      <c r="B311" s="58"/>
      <c r="C311" s="14"/>
      <c r="D311" s="15"/>
      <c r="E311" s="15"/>
      <c r="F311" s="24"/>
      <c r="G311" s="421"/>
      <c r="H311" s="17" t="str">
        <f t="shared" si="29"/>
        <v/>
      </c>
      <c r="J311" s="42"/>
      <c r="K311" s="42"/>
      <c r="L311" s="420" t="str">
        <f t="shared" si="26"/>
        <v/>
      </c>
      <c r="M311" s="401" t="str">
        <f t="shared" si="30"/>
        <v/>
      </c>
    </row>
    <row r="312" spans="2:13" x14ac:dyDescent="0.25">
      <c r="B312" s="58"/>
      <c r="C312" s="14"/>
      <c r="D312" s="15"/>
      <c r="E312" s="15"/>
      <c r="F312" s="24"/>
      <c r="G312" s="411"/>
      <c r="H312" s="17" t="str">
        <f t="shared" si="29"/>
        <v/>
      </c>
      <c r="J312" s="42"/>
      <c r="K312" s="42"/>
      <c r="L312" s="420" t="str">
        <f t="shared" si="26"/>
        <v/>
      </c>
      <c r="M312" s="401" t="str">
        <f t="shared" si="30"/>
        <v/>
      </c>
    </row>
    <row r="313" spans="2:13" x14ac:dyDescent="0.25">
      <c r="B313" s="58"/>
      <c r="C313" s="14"/>
      <c r="D313" s="15"/>
      <c r="E313" s="15"/>
      <c r="F313" s="24"/>
      <c r="G313" s="411"/>
      <c r="H313" s="17" t="str">
        <f t="shared" si="29"/>
        <v/>
      </c>
      <c r="J313" s="42"/>
      <c r="K313" s="42"/>
      <c r="L313" s="420" t="str">
        <f t="shared" si="26"/>
        <v/>
      </c>
      <c r="M313" s="401" t="str">
        <f t="shared" si="30"/>
        <v/>
      </c>
    </row>
    <row r="314" spans="2:13" x14ac:dyDescent="0.25">
      <c r="B314" s="46"/>
      <c r="C314" s="14"/>
      <c r="D314" s="15"/>
      <c r="E314" s="15"/>
      <c r="F314" s="24"/>
      <c r="G314" s="422"/>
      <c r="H314" s="17" t="str">
        <f t="shared" si="29"/>
        <v/>
      </c>
      <c r="J314" s="42"/>
      <c r="K314" s="42"/>
      <c r="L314" s="420" t="str">
        <f t="shared" si="26"/>
        <v/>
      </c>
      <c r="M314" s="401" t="str">
        <f t="shared" si="30"/>
        <v/>
      </c>
    </row>
    <row r="315" spans="2:13" x14ac:dyDescent="0.25">
      <c r="B315" s="46"/>
      <c r="C315" s="14"/>
      <c r="D315" s="21"/>
      <c r="E315" s="21"/>
      <c r="F315" s="24"/>
      <c r="G315" s="422"/>
      <c r="H315" s="17" t="str">
        <f t="shared" si="29"/>
        <v/>
      </c>
      <c r="J315" s="42"/>
      <c r="K315" s="42"/>
      <c r="L315" s="420" t="str">
        <f t="shared" si="26"/>
        <v/>
      </c>
      <c r="M315" s="401" t="str">
        <f t="shared" si="30"/>
        <v/>
      </c>
    </row>
    <row r="316" spans="2:13" x14ac:dyDescent="0.25">
      <c r="B316" s="46"/>
      <c r="C316" s="14"/>
      <c r="D316" s="15"/>
      <c r="E316" s="15"/>
      <c r="F316" s="24"/>
      <c r="G316" s="422"/>
      <c r="H316" s="17" t="str">
        <f t="shared" si="29"/>
        <v/>
      </c>
      <c r="J316" s="42"/>
      <c r="K316" s="42"/>
      <c r="L316" s="420" t="str">
        <f t="shared" si="26"/>
        <v/>
      </c>
      <c r="M316" s="401" t="str">
        <f t="shared" si="30"/>
        <v/>
      </c>
    </row>
    <row r="317" spans="2:13" x14ac:dyDescent="0.25">
      <c r="B317" s="46"/>
      <c r="C317" s="14"/>
      <c r="D317" s="21"/>
      <c r="E317" s="21"/>
      <c r="F317" s="24"/>
      <c r="G317" s="422"/>
      <c r="H317" s="17" t="str">
        <f t="shared" si="29"/>
        <v/>
      </c>
      <c r="J317" s="42"/>
      <c r="K317" s="42"/>
      <c r="L317" s="420" t="str">
        <f t="shared" si="26"/>
        <v/>
      </c>
      <c r="M317" s="401" t="str">
        <f t="shared" si="30"/>
        <v/>
      </c>
    </row>
    <row r="318" spans="2:13" x14ac:dyDescent="0.25">
      <c r="B318" s="46"/>
      <c r="C318" s="14"/>
      <c r="D318" s="15"/>
      <c r="E318" s="15"/>
      <c r="F318" s="24"/>
      <c r="G318" s="422"/>
      <c r="H318" s="17" t="str">
        <f t="shared" si="29"/>
        <v/>
      </c>
      <c r="J318" s="42"/>
      <c r="K318" s="42"/>
      <c r="L318" s="420" t="str">
        <f t="shared" si="26"/>
        <v/>
      </c>
      <c r="M318" s="401" t="str">
        <f t="shared" si="30"/>
        <v/>
      </c>
    </row>
    <row r="319" spans="2:13" x14ac:dyDescent="0.25">
      <c r="B319" s="46"/>
      <c r="C319" s="14"/>
      <c r="D319" s="15"/>
      <c r="E319" s="15"/>
      <c r="F319" s="24"/>
      <c r="G319" s="422"/>
      <c r="H319" s="17"/>
      <c r="J319" s="42"/>
      <c r="K319" s="42"/>
      <c r="L319" s="420" t="str">
        <f t="shared" si="26"/>
        <v/>
      </c>
      <c r="M319" s="401" t="str">
        <f t="shared" si="30"/>
        <v/>
      </c>
    </row>
    <row r="320" spans="2:13" x14ac:dyDescent="0.25">
      <c r="B320" s="46"/>
      <c r="C320" s="14"/>
      <c r="D320" s="15"/>
      <c r="E320" s="15"/>
      <c r="F320" s="24"/>
      <c r="G320" s="422"/>
      <c r="H320" s="17"/>
      <c r="J320" s="42"/>
      <c r="K320" s="42"/>
      <c r="L320" s="420" t="str">
        <f t="shared" si="26"/>
        <v/>
      </c>
      <c r="M320" s="401" t="str">
        <f t="shared" si="30"/>
        <v/>
      </c>
    </row>
    <row r="321" spans="2:13" x14ac:dyDescent="0.25">
      <c r="B321" s="46"/>
      <c r="C321" s="14"/>
      <c r="D321" s="15"/>
      <c r="E321" s="15"/>
      <c r="F321" s="24"/>
      <c r="G321" s="422"/>
      <c r="H321" s="17"/>
      <c r="J321" s="42"/>
      <c r="K321" s="42"/>
      <c r="L321" s="420" t="str">
        <f t="shared" si="26"/>
        <v/>
      </c>
      <c r="M321" s="401" t="str">
        <f t="shared" si="30"/>
        <v/>
      </c>
    </row>
    <row r="322" spans="2:13" x14ac:dyDescent="0.25">
      <c r="B322" s="46"/>
      <c r="C322" s="14"/>
      <c r="D322" s="15"/>
      <c r="E322" s="15"/>
      <c r="F322" s="24"/>
      <c r="G322" s="422"/>
      <c r="H322" s="17"/>
      <c r="J322" s="37"/>
      <c r="K322" s="42"/>
      <c r="L322" s="420" t="str">
        <f t="shared" si="26"/>
        <v/>
      </c>
      <c r="M322" s="401" t="str">
        <f t="shared" si="30"/>
        <v/>
      </c>
    </row>
    <row r="323" spans="2:13" x14ac:dyDescent="0.25">
      <c r="B323" s="46"/>
      <c r="C323" s="14"/>
      <c r="D323" s="15"/>
      <c r="E323" s="15"/>
      <c r="F323" s="24"/>
      <c r="G323" s="422"/>
      <c r="H323" s="17"/>
      <c r="J323" s="37"/>
      <c r="K323" s="403"/>
      <c r="L323" s="420" t="str">
        <f t="shared" si="26"/>
        <v/>
      </c>
      <c r="M323" s="401" t="str">
        <f t="shared" si="30"/>
        <v/>
      </c>
    </row>
    <row r="324" spans="2:13" x14ac:dyDescent="0.25">
      <c r="B324" s="46"/>
      <c r="C324" s="14"/>
      <c r="D324" s="21"/>
      <c r="E324" s="21"/>
      <c r="F324" s="24"/>
      <c r="G324" s="422"/>
      <c r="H324" s="17" t="str">
        <f>IF(D324="","",F324*G324)</f>
        <v/>
      </c>
      <c r="J324" s="37"/>
      <c r="K324" s="404"/>
      <c r="L324" s="420" t="str">
        <f t="shared" si="26"/>
        <v/>
      </c>
      <c r="M324" s="401" t="str">
        <f t="shared" si="30"/>
        <v/>
      </c>
    </row>
    <row r="325" spans="2:13" s="28" customFormat="1" ht="19.5" customHeight="1" x14ac:dyDescent="0.25">
      <c r="B325" s="135" t="str">
        <f>$B$12</f>
        <v>C10.1</v>
      </c>
      <c r="C325" s="498" t="str">
        <f>"TOTAL CARRIED FORWARD"&amp;IF(H325=H$1," TO SUMMARY (Page C"&amp;Page_A&amp;")","")</f>
        <v>TOTAL CARRIED FORWARD TO SUMMARY (Page C48)</v>
      </c>
      <c r="D325" s="31"/>
      <c r="E325" s="31"/>
      <c r="F325" s="32"/>
      <c r="G325" s="31"/>
      <c r="H325" s="33">
        <f>SUM(H272:H324)</f>
        <v>0</v>
      </c>
      <c r="I325" s="34"/>
      <c r="J325" s="408"/>
      <c r="K325" s="406"/>
      <c r="L325" s="418">
        <f>SUM(L272:L324)</f>
        <v>0</v>
      </c>
      <c r="M325" s="407" t="str">
        <f>IF(F325="","",IF(SUM(I325)=0,"",L325/I316))</f>
        <v/>
      </c>
    </row>
    <row r="326" spans="2:13" ht="13" x14ac:dyDescent="0.25">
      <c r="B326" s="1108" t="str">
        <f>Client1</f>
        <v>Province of KwaZulu-Natal</v>
      </c>
      <c r="C326" s="1108"/>
      <c r="D326" s="1108"/>
      <c r="E326" s="87"/>
      <c r="F326" s="1109" t="str">
        <f>"Contract No. "&amp;ContractNo</f>
        <v>Contract No. ZNB 00399/00000/HOD/INF/21/T</v>
      </c>
      <c r="G326" s="1109"/>
      <c r="H326" s="1109"/>
    </row>
    <row r="327" spans="2:13" ht="13" x14ac:dyDescent="0.25">
      <c r="B327" s="1108" t="str">
        <f>Client2</f>
        <v>Department of Transport</v>
      </c>
      <c r="C327" s="1108"/>
      <c r="D327" s="1108"/>
      <c r="E327" s="87"/>
      <c r="F327" s="1109"/>
      <c r="G327" s="1109"/>
      <c r="H327" s="1109"/>
    </row>
    <row r="328" spans="2:13" x14ac:dyDescent="0.25">
      <c r="B328" s="1111"/>
      <c r="C328" s="1111"/>
      <c r="D328" s="1111"/>
      <c r="E328" s="78"/>
      <c r="F328" s="1110"/>
      <c r="G328" s="1110"/>
      <c r="H328" s="1110"/>
    </row>
    <row r="329" spans="2:13" ht="13" x14ac:dyDescent="0.25">
      <c r="B329" s="1112" t="s">
        <v>8</v>
      </c>
      <c r="C329" s="1113"/>
      <c r="D329" s="1113"/>
      <c r="E329" s="1113"/>
      <c r="F329" s="1113"/>
      <c r="G329" s="1113"/>
      <c r="H329" s="1114" t="str">
        <f>$H$6</f>
        <v>CHAPTER C10.1</v>
      </c>
      <c r="I329" s="6"/>
    </row>
    <row r="330" spans="2:13" ht="13" x14ac:dyDescent="0.25">
      <c r="B330" s="1117" t="str">
        <f>ContractDescription</f>
        <v>THE CONSTRUCTION OF EARTHWORKS, LAYERWORKS, SURFACING, CULVERTS AND CWAKA RIVER BRIDGE FROM KM 11.600 TO KM 14.000 ON MAIN ROAD P494 IN THE KING CETSHWAYO DISTRICT UNDER EMPANGENI REGION</v>
      </c>
      <c r="C330" s="1118"/>
      <c r="D330" s="1118"/>
      <c r="E330" s="1118"/>
      <c r="F330" s="1118"/>
      <c r="G330" s="1118"/>
      <c r="H330" s="1115"/>
      <c r="I330" s="8"/>
    </row>
    <row r="331" spans="2:13" ht="13" x14ac:dyDescent="0.25">
      <c r="B331" s="1117"/>
      <c r="C331" s="1118"/>
      <c r="D331" s="1118"/>
      <c r="E331" s="1118"/>
      <c r="F331" s="1118"/>
      <c r="G331" s="1118"/>
      <c r="H331" s="1115"/>
      <c r="I331" s="8"/>
    </row>
    <row r="332" spans="2:13" ht="13" x14ac:dyDescent="0.25">
      <c r="B332" s="1119"/>
      <c r="C332" s="1120"/>
      <c r="D332" s="1120"/>
      <c r="E332" s="1120"/>
      <c r="F332" s="1120"/>
      <c r="G332" s="1120"/>
      <c r="H332" s="1116"/>
      <c r="I332" s="8"/>
    </row>
    <row r="333" spans="2:13" s="9" customFormat="1" ht="25" customHeight="1" x14ac:dyDescent="0.25">
      <c r="B333" s="74" t="s">
        <v>0</v>
      </c>
      <c r="C333" s="11" t="s">
        <v>1</v>
      </c>
      <c r="D333" s="11" t="s">
        <v>2</v>
      </c>
      <c r="E333" s="11"/>
      <c r="F333" s="11" t="s">
        <v>3</v>
      </c>
      <c r="G333" s="11" t="s">
        <v>4</v>
      </c>
      <c r="H333" s="11" t="s">
        <v>5</v>
      </c>
      <c r="I333" s="12"/>
      <c r="J333" s="408" t="s">
        <v>996</v>
      </c>
      <c r="K333" s="253" t="s">
        <v>997</v>
      </c>
      <c r="L333" s="253" t="s">
        <v>998</v>
      </c>
      <c r="M333" s="253" t="s">
        <v>999</v>
      </c>
    </row>
    <row r="334" spans="2:13" s="28" customFormat="1" ht="19.5" customHeight="1" x14ac:dyDescent="0.25">
      <c r="B334" s="80"/>
      <c r="C334" s="30" t="s">
        <v>27</v>
      </c>
      <c r="D334" s="31"/>
      <c r="E334" s="31"/>
      <c r="F334" s="32"/>
      <c r="G334" s="31"/>
      <c r="H334" s="33">
        <f>H325</f>
        <v>0</v>
      </c>
      <c r="I334" s="34"/>
      <c r="J334" s="416"/>
      <c r="K334" s="409"/>
      <c r="L334" s="419">
        <f>L325</f>
        <v>0</v>
      </c>
      <c r="M334" s="410" t="str">
        <f>IF(F334="","",IF(SUM(I334)=0,"",L334/I334))</f>
        <v/>
      </c>
    </row>
    <row r="335" spans="2:13" x14ac:dyDescent="0.25">
      <c r="B335" s="46"/>
      <c r="C335" s="14"/>
      <c r="D335" s="21"/>
      <c r="E335" s="21"/>
      <c r="F335" s="24"/>
      <c r="G335" s="422"/>
      <c r="H335" s="17"/>
      <c r="J335" s="37"/>
      <c r="K335" s="399"/>
      <c r="L335" s="420" t="str">
        <f t="shared" ref="L335:L393" si="31">IF(J335="","",F335*K335)</f>
        <v/>
      </c>
      <c r="M335" s="401" t="str">
        <f t="shared" ref="M335:M366" si="32">IF(J335="","",IF(SUM(H335)=0,"",L335/H335))</f>
        <v/>
      </c>
    </row>
    <row r="336" spans="2:13" x14ac:dyDescent="0.25">
      <c r="B336" s="137"/>
      <c r="C336" s="14"/>
      <c r="D336" s="15"/>
      <c r="E336" s="15"/>
      <c r="F336" s="24"/>
      <c r="G336" s="422"/>
      <c r="H336" s="17" t="str">
        <f t="shared" ref="H336:H342" si="33">IF(D336="","",F336*G336)</f>
        <v/>
      </c>
      <c r="J336" s="37"/>
      <c r="K336" s="399"/>
      <c r="L336" s="420" t="str">
        <f t="shared" si="31"/>
        <v/>
      </c>
      <c r="M336" s="401" t="str">
        <f t="shared" si="32"/>
        <v/>
      </c>
    </row>
    <row r="337" spans="2:13" x14ac:dyDescent="0.25">
      <c r="B337" s="46"/>
      <c r="C337" s="14"/>
      <c r="D337" s="21"/>
      <c r="E337" s="21"/>
      <c r="F337" s="24"/>
      <c r="G337" s="422"/>
      <c r="H337" s="17" t="str">
        <f t="shared" si="33"/>
        <v/>
      </c>
      <c r="J337" s="37"/>
      <c r="K337" s="399"/>
      <c r="L337" s="420" t="str">
        <f t="shared" si="31"/>
        <v/>
      </c>
      <c r="M337" s="401" t="str">
        <f t="shared" si="32"/>
        <v/>
      </c>
    </row>
    <row r="338" spans="2:13" x14ac:dyDescent="0.25">
      <c r="B338" s="46"/>
      <c r="C338" s="14"/>
      <c r="D338" s="15"/>
      <c r="E338" s="15"/>
      <c r="F338" s="24"/>
      <c r="G338" s="422"/>
      <c r="H338" s="17" t="str">
        <f t="shared" si="33"/>
        <v/>
      </c>
      <c r="J338" s="37"/>
      <c r="K338" s="399"/>
      <c r="L338" s="420" t="str">
        <f t="shared" si="31"/>
        <v/>
      </c>
      <c r="M338" s="401" t="str">
        <f t="shared" si="32"/>
        <v/>
      </c>
    </row>
    <row r="339" spans="2:13" x14ac:dyDescent="0.25">
      <c r="B339" s="46"/>
      <c r="C339" s="14"/>
      <c r="D339" s="21"/>
      <c r="E339" s="21"/>
      <c r="F339" s="24"/>
      <c r="G339" s="422"/>
      <c r="H339" s="17" t="str">
        <f t="shared" si="33"/>
        <v/>
      </c>
      <c r="J339" s="37"/>
      <c r="K339" s="400"/>
      <c r="L339" s="420" t="str">
        <f t="shared" si="31"/>
        <v/>
      </c>
      <c r="M339" s="401" t="str">
        <f t="shared" si="32"/>
        <v/>
      </c>
    </row>
    <row r="340" spans="2:13" x14ac:dyDescent="0.25">
      <c r="B340" s="46"/>
      <c r="C340" s="14"/>
      <c r="D340" s="15"/>
      <c r="E340" s="15"/>
      <c r="F340" s="24"/>
      <c r="G340" s="422"/>
      <c r="H340" s="17" t="str">
        <f t="shared" si="33"/>
        <v/>
      </c>
      <c r="J340" s="37"/>
      <c r="K340" s="399"/>
      <c r="L340" s="420" t="str">
        <f t="shared" si="31"/>
        <v/>
      </c>
      <c r="M340" s="401" t="str">
        <f t="shared" si="32"/>
        <v/>
      </c>
    </row>
    <row r="341" spans="2:13" x14ac:dyDescent="0.25">
      <c r="B341" s="58"/>
      <c r="C341" s="14"/>
      <c r="D341" s="15"/>
      <c r="E341" s="15"/>
      <c r="F341" s="24"/>
      <c r="G341" s="422"/>
      <c r="H341" s="17" t="str">
        <f t="shared" si="33"/>
        <v/>
      </c>
      <c r="J341" s="37"/>
      <c r="K341" s="399"/>
      <c r="L341" s="420" t="str">
        <f t="shared" si="31"/>
        <v/>
      </c>
      <c r="M341" s="401" t="str">
        <f t="shared" si="32"/>
        <v/>
      </c>
    </row>
    <row r="342" spans="2:13" x14ac:dyDescent="0.25">
      <c r="B342" s="46"/>
      <c r="C342" s="14"/>
      <c r="D342" s="15"/>
      <c r="E342" s="15"/>
      <c r="F342" s="24"/>
      <c r="G342" s="423"/>
      <c r="H342" s="17" t="str">
        <f t="shared" si="33"/>
        <v/>
      </c>
      <c r="J342" s="37"/>
      <c r="K342" s="399"/>
      <c r="L342" s="420" t="str">
        <f t="shared" si="31"/>
        <v/>
      </c>
      <c r="M342" s="401" t="str">
        <f t="shared" si="32"/>
        <v/>
      </c>
    </row>
    <row r="343" spans="2:13" x14ac:dyDescent="0.25">
      <c r="B343" s="46"/>
      <c r="C343" s="14"/>
      <c r="D343" s="15"/>
      <c r="E343" s="976"/>
      <c r="F343" s="152"/>
      <c r="G343" s="423"/>
      <c r="H343" s="17"/>
      <c r="J343" s="37"/>
      <c r="K343" s="402"/>
      <c r="L343" s="420" t="str">
        <f t="shared" si="31"/>
        <v/>
      </c>
      <c r="M343" s="401" t="str">
        <f t="shared" si="32"/>
        <v/>
      </c>
    </row>
    <row r="344" spans="2:13" x14ac:dyDescent="0.25">
      <c r="B344" s="137"/>
      <c r="C344" s="48"/>
      <c r="D344" s="15"/>
      <c r="E344" s="976"/>
      <c r="F344" s="149"/>
      <c r="G344" s="413"/>
      <c r="H344" s="17" t="str">
        <f t="shared" ref="H344:H356" si="34">IF(D344="","",F344*G344)</f>
        <v/>
      </c>
      <c r="J344" s="37"/>
      <c r="K344" s="402"/>
      <c r="L344" s="420" t="str">
        <f t="shared" si="31"/>
        <v/>
      </c>
      <c r="M344" s="401" t="str">
        <f t="shared" si="32"/>
        <v/>
      </c>
    </row>
    <row r="345" spans="2:13" x14ac:dyDescent="0.25">
      <c r="B345" s="46"/>
      <c r="C345" s="14"/>
      <c r="D345" s="15"/>
      <c r="E345" s="15"/>
      <c r="F345" s="15"/>
      <c r="G345" s="411"/>
      <c r="H345" s="17" t="str">
        <f t="shared" si="34"/>
        <v/>
      </c>
      <c r="J345" s="37"/>
      <c r="K345" s="402"/>
      <c r="L345" s="420" t="str">
        <f t="shared" si="31"/>
        <v/>
      </c>
      <c r="M345" s="401" t="str">
        <f t="shared" si="32"/>
        <v/>
      </c>
    </row>
    <row r="346" spans="2:13" x14ac:dyDescent="0.25">
      <c r="B346" s="46"/>
      <c r="C346" s="26"/>
      <c r="D346" s="15"/>
      <c r="E346" s="15"/>
      <c r="F346" s="15"/>
      <c r="G346" s="411"/>
      <c r="H346" s="17" t="str">
        <f t="shared" si="34"/>
        <v/>
      </c>
      <c r="J346" s="37"/>
      <c r="K346" s="402"/>
      <c r="L346" s="420" t="str">
        <f t="shared" si="31"/>
        <v/>
      </c>
      <c r="M346" s="401" t="str">
        <f t="shared" si="32"/>
        <v/>
      </c>
    </row>
    <row r="347" spans="2:13" x14ac:dyDescent="0.25">
      <c r="B347" s="46"/>
      <c r="C347" s="14"/>
      <c r="D347" s="15"/>
      <c r="E347" s="15"/>
      <c r="F347" s="15"/>
      <c r="G347" s="411"/>
      <c r="H347" s="17" t="str">
        <f t="shared" si="34"/>
        <v/>
      </c>
      <c r="J347" s="37"/>
      <c r="K347" s="402"/>
      <c r="L347" s="420" t="str">
        <f t="shared" si="31"/>
        <v/>
      </c>
      <c r="M347" s="401" t="str">
        <f t="shared" si="32"/>
        <v/>
      </c>
    </row>
    <row r="348" spans="2:13" x14ac:dyDescent="0.25">
      <c r="B348" s="150"/>
      <c r="C348" s="65"/>
      <c r="D348" s="15"/>
      <c r="E348" s="15"/>
      <c r="F348" s="15"/>
      <c r="G348" s="411"/>
      <c r="H348" s="17" t="str">
        <f t="shared" si="34"/>
        <v/>
      </c>
      <c r="J348" s="37"/>
      <c r="K348" s="402"/>
      <c r="L348" s="420" t="str">
        <f t="shared" si="31"/>
        <v/>
      </c>
      <c r="M348" s="401" t="str">
        <f t="shared" si="32"/>
        <v/>
      </c>
    </row>
    <row r="349" spans="2:13" x14ac:dyDescent="0.25">
      <c r="B349" s="58"/>
      <c r="C349" s="14"/>
      <c r="D349" s="15"/>
      <c r="E349" s="15"/>
      <c r="F349" s="15"/>
      <c r="G349" s="411"/>
      <c r="H349" s="17" t="str">
        <f t="shared" si="34"/>
        <v/>
      </c>
      <c r="J349" s="37"/>
      <c r="K349" s="399"/>
      <c r="L349" s="420" t="str">
        <f t="shared" si="31"/>
        <v/>
      </c>
      <c r="M349" s="401" t="str">
        <f t="shared" si="32"/>
        <v/>
      </c>
    </row>
    <row r="350" spans="2:13" x14ac:dyDescent="0.25">
      <c r="B350" s="85"/>
      <c r="C350" s="14"/>
      <c r="D350" s="15"/>
      <c r="E350" s="15"/>
      <c r="F350" s="22"/>
      <c r="G350" s="412"/>
      <c r="H350" s="17" t="str">
        <f t="shared" si="34"/>
        <v/>
      </c>
      <c r="J350" s="37"/>
      <c r="K350" s="399"/>
      <c r="L350" s="420" t="str">
        <f t="shared" si="31"/>
        <v/>
      </c>
      <c r="M350" s="401" t="str">
        <f t="shared" si="32"/>
        <v/>
      </c>
    </row>
    <row r="351" spans="2:13" x14ac:dyDescent="0.25">
      <c r="B351" s="58"/>
      <c r="C351" s="14"/>
      <c r="D351" s="15"/>
      <c r="E351" s="15"/>
      <c r="F351" s="24"/>
      <c r="G351" s="411"/>
      <c r="H351" s="17" t="str">
        <f t="shared" si="34"/>
        <v/>
      </c>
      <c r="J351" s="37"/>
      <c r="K351" s="400"/>
      <c r="L351" s="420" t="str">
        <f t="shared" si="31"/>
        <v/>
      </c>
      <c r="M351" s="401" t="str">
        <f t="shared" si="32"/>
        <v/>
      </c>
    </row>
    <row r="352" spans="2:13" x14ac:dyDescent="0.25">
      <c r="B352" s="58"/>
      <c r="C352" s="14"/>
      <c r="D352" s="15"/>
      <c r="E352" s="15"/>
      <c r="F352" s="24"/>
      <c r="G352" s="423"/>
      <c r="H352" s="17" t="str">
        <f t="shared" si="34"/>
        <v/>
      </c>
      <c r="J352" s="37"/>
      <c r="K352" s="399"/>
      <c r="L352" s="420" t="str">
        <f t="shared" si="31"/>
        <v/>
      </c>
      <c r="M352" s="401" t="str">
        <f t="shared" si="32"/>
        <v/>
      </c>
    </row>
    <row r="353" spans="2:23" x14ac:dyDescent="0.25">
      <c r="B353" s="58"/>
      <c r="C353" s="14"/>
      <c r="D353" s="15"/>
      <c r="E353" s="15"/>
      <c r="F353" s="24"/>
      <c r="G353" s="411"/>
      <c r="H353" s="17" t="str">
        <f t="shared" si="34"/>
        <v/>
      </c>
      <c r="J353" s="37"/>
      <c r="K353" s="399"/>
      <c r="L353" s="420" t="str">
        <f t="shared" si="31"/>
        <v/>
      </c>
      <c r="M353" s="401" t="str">
        <f t="shared" si="32"/>
        <v/>
      </c>
    </row>
    <row r="354" spans="2:23" x14ac:dyDescent="0.25">
      <c r="B354" s="46"/>
      <c r="C354" s="26"/>
      <c r="D354" s="15"/>
      <c r="E354" s="15"/>
      <c r="F354" s="24"/>
      <c r="G354" s="421"/>
      <c r="H354" s="17" t="str">
        <f t="shared" si="34"/>
        <v/>
      </c>
      <c r="J354" s="37"/>
      <c r="K354" s="399"/>
      <c r="L354" s="420" t="str">
        <f t="shared" si="31"/>
        <v/>
      </c>
      <c r="M354" s="401" t="str">
        <f t="shared" si="32"/>
        <v/>
      </c>
    </row>
    <row r="355" spans="2:23" x14ac:dyDescent="0.25">
      <c r="B355" s="46"/>
      <c r="C355" s="14"/>
      <c r="D355" s="15"/>
      <c r="E355" s="15"/>
      <c r="F355" s="24"/>
      <c r="G355" s="421"/>
      <c r="H355" s="17" t="str">
        <f t="shared" si="34"/>
        <v/>
      </c>
      <c r="J355" s="37"/>
      <c r="K355" s="399"/>
      <c r="L355" s="420" t="str">
        <f t="shared" si="31"/>
        <v/>
      </c>
      <c r="M355" s="401" t="str">
        <f t="shared" si="32"/>
        <v/>
      </c>
    </row>
    <row r="356" spans="2:23" x14ac:dyDescent="0.25">
      <c r="B356" s="58"/>
      <c r="C356" s="14"/>
      <c r="D356" s="15"/>
      <c r="E356" s="15"/>
      <c r="F356" s="24"/>
      <c r="G356" s="422"/>
      <c r="H356" s="17" t="str">
        <f t="shared" si="34"/>
        <v/>
      </c>
      <c r="J356" s="37"/>
      <c r="K356" s="399"/>
      <c r="L356" s="420" t="str">
        <f t="shared" si="31"/>
        <v/>
      </c>
      <c r="M356" s="401" t="str">
        <f t="shared" si="32"/>
        <v/>
      </c>
    </row>
    <row r="357" spans="2:23" x14ac:dyDescent="0.25">
      <c r="B357" s="58"/>
      <c r="C357" s="14"/>
      <c r="D357" s="15"/>
      <c r="E357" s="15"/>
      <c r="F357" s="24"/>
      <c r="G357" s="422"/>
      <c r="H357" s="17"/>
      <c r="J357" s="37"/>
      <c r="K357" s="400"/>
      <c r="L357" s="420" t="str">
        <f t="shared" si="31"/>
        <v/>
      </c>
      <c r="M357" s="401" t="str">
        <f t="shared" si="32"/>
        <v/>
      </c>
    </row>
    <row r="358" spans="2:23" x14ac:dyDescent="0.25">
      <c r="B358" s="58"/>
      <c r="C358" s="14"/>
      <c r="D358" s="15"/>
      <c r="E358" s="15"/>
      <c r="F358" s="24"/>
      <c r="G358" s="422"/>
      <c r="H358" s="17"/>
      <c r="J358" s="61"/>
      <c r="K358" s="399"/>
      <c r="L358" s="420" t="str">
        <f t="shared" si="31"/>
        <v/>
      </c>
      <c r="M358" s="401" t="str">
        <f t="shared" si="32"/>
        <v/>
      </c>
    </row>
    <row r="359" spans="2:23" x14ac:dyDescent="0.25">
      <c r="B359" s="58"/>
      <c r="C359" s="14"/>
      <c r="D359" s="15"/>
      <c r="E359" s="15"/>
      <c r="F359" s="24"/>
      <c r="G359" s="422"/>
      <c r="H359" s="17"/>
      <c r="J359" s="37"/>
      <c r="K359" s="399"/>
      <c r="L359" s="420" t="str">
        <f t="shared" si="31"/>
        <v/>
      </c>
      <c r="M359" s="401" t="str">
        <f t="shared" si="32"/>
        <v/>
      </c>
    </row>
    <row r="360" spans="2:23" x14ac:dyDescent="0.25">
      <c r="B360" s="58"/>
      <c r="C360" s="238"/>
      <c r="D360" s="15"/>
      <c r="E360" s="15"/>
      <c r="F360" s="24"/>
      <c r="G360" s="422"/>
      <c r="H360" s="17"/>
      <c r="J360" s="37"/>
      <c r="K360" s="399"/>
      <c r="L360" s="420" t="str">
        <f t="shared" si="31"/>
        <v/>
      </c>
      <c r="M360" s="401" t="str">
        <f t="shared" si="32"/>
        <v/>
      </c>
    </row>
    <row r="361" spans="2:23" x14ac:dyDescent="0.25">
      <c r="B361" s="58"/>
      <c r="C361" s="238"/>
      <c r="D361" s="15"/>
      <c r="E361" s="15"/>
      <c r="F361" s="24"/>
      <c r="G361" s="422"/>
      <c r="H361" s="17"/>
      <c r="J361" s="37"/>
      <c r="K361" s="399"/>
      <c r="L361" s="420" t="str">
        <f t="shared" si="31"/>
        <v/>
      </c>
      <c r="M361" s="401" t="str">
        <f t="shared" si="32"/>
        <v/>
      </c>
    </row>
    <row r="362" spans="2:23" x14ac:dyDescent="0.25">
      <c r="B362" s="58"/>
      <c r="C362" s="238"/>
      <c r="D362" s="394"/>
      <c r="E362" s="394"/>
      <c r="F362" s="568"/>
      <c r="G362" s="497"/>
      <c r="H362" s="389" t="str">
        <f t="shared" ref="H362" si="35">IF(D362="","",F362*G362)</f>
        <v/>
      </c>
      <c r="J362" s="37"/>
      <c r="K362" s="400"/>
      <c r="L362" s="420" t="str">
        <f t="shared" si="31"/>
        <v/>
      </c>
      <c r="M362" s="401" t="str">
        <f t="shared" si="32"/>
        <v/>
      </c>
      <c r="O362" s="245"/>
      <c r="P362" s="447"/>
      <c r="Q362" s="447"/>
      <c r="R362" s="429"/>
      <c r="S362" s="1140"/>
      <c r="T362" s="430"/>
      <c r="U362" s="430"/>
      <c r="V362" s="448"/>
      <c r="W362" s="430"/>
    </row>
    <row r="363" spans="2:23" x14ac:dyDescent="0.25">
      <c r="B363" s="58"/>
      <c r="C363" s="238"/>
      <c r="D363" s="15"/>
      <c r="E363" s="15"/>
      <c r="F363" s="24"/>
      <c r="G363" s="422"/>
      <c r="H363" s="17"/>
      <c r="J363" s="37"/>
      <c r="K363" s="399"/>
      <c r="L363" s="420" t="str">
        <f t="shared" si="31"/>
        <v/>
      </c>
      <c r="M363" s="401" t="str">
        <f t="shared" si="32"/>
        <v/>
      </c>
      <c r="O363" s="245"/>
      <c r="P363" s="449"/>
      <c r="Q363" s="449"/>
      <c r="R363" s="429"/>
      <c r="S363" s="1140"/>
      <c r="T363" s="430"/>
      <c r="U363" s="430"/>
      <c r="V363" s="448"/>
      <c r="W363" s="430"/>
    </row>
    <row r="364" spans="2:23" x14ac:dyDescent="0.25">
      <c r="B364" s="58"/>
      <c r="C364" s="238"/>
      <c r="D364" s="394"/>
      <c r="E364" s="394"/>
      <c r="F364" s="568"/>
      <c r="G364" s="497"/>
      <c r="H364" s="389" t="str">
        <f t="shared" ref="H364" si="36">IF(D364="","",F364*G364)</f>
        <v/>
      </c>
      <c r="J364" s="37"/>
      <c r="K364" s="400"/>
      <c r="L364" s="420" t="str">
        <f t="shared" si="31"/>
        <v/>
      </c>
      <c r="M364" s="401" t="str">
        <f t="shared" si="32"/>
        <v/>
      </c>
      <c r="O364" s="245"/>
      <c r="P364" s="447"/>
      <c r="Q364" s="447"/>
      <c r="R364" s="429"/>
      <c r="S364" s="450"/>
      <c r="T364" s="430"/>
      <c r="U364" s="430"/>
      <c r="V364" s="448"/>
      <c r="W364" s="430"/>
    </row>
    <row r="365" spans="2:23" x14ac:dyDescent="0.25">
      <c r="B365" s="58"/>
      <c r="C365" s="14"/>
      <c r="D365" s="15"/>
      <c r="E365" s="15"/>
      <c r="F365" s="24"/>
      <c r="G365" s="422"/>
      <c r="H365" s="17"/>
      <c r="J365" s="37"/>
      <c r="K365" s="399"/>
      <c r="L365" s="420" t="str">
        <f t="shared" si="31"/>
        <v/>
      </c>
      <c r="M365" s="401" t="str">
        <f t="shared" si="32"/>
        <v/>
      </c>
    </row>
    <row r="366" spans="2:23" x14ac:dyDescent="0.25">
      <c r="B366" s="58"/>
      <c r="C366" s="14"/>
      <c r="D366" s="15"/>
      <c r="E366" s="15"/>
      <c r="F366" s="24"/>
      <c r="G366" s="422"/>
      <c r="H366" s="17"/>
      <c r="J366" s="37"/>
      <c r="K366" s="399"/>
      <c r="L366" s="420" t="str">
        <f t="shared" si="31"/>
        <v/>
      </c>
      <c r="M366" s="401" t="str">
        <f t="shared" si="32"/>
        <v/>
      </c>
    </row>
    <row r="367" spans="2:23" x14ac:dyDescent="0.25">
      <c r="B367" s="58"/>
      <c r="C367" s="14"/>
      <c r="D367" s="15"/>
      <c r="E367" s="15"/>
      <c r="F367" s="24"/>
      <c r="G367" s="422"/>
      <c r="H367" s="17"/>
      <c r="J367" s="37"/>
      <c r="K367" s="399"/>
      <c r="L367" s="420" t="str">
        <f t="shared" si="31"/>
        <v/>
      </c>
      <c r="M367" s="401" t="str">
        <f t="shared" ref="M367:M393" si="37">IF(J367="","",IF(SUM(H367)=0,"",L367/H367))</f>
        <v/>
      </c>
    </row>
    <row r="368" spans="2:23" x14ac:dyDescent="0.25">
      <c r="B368" s="58"/>
      <c r="C368" s="14"/>
      <c r="D368" s="15"/>
      <c r="E368" s="15"/>
      <c r="F368" s="24"/>
      <c r="G368" s="422"/>
      <c r="H368" s="17"/>
      <c r="J368" s="37"/>
      <c r="K368" s="399"/>
      <c r="L368" s="420" t="str">
        <f t="shared" si="31"/>
        <v/>
      </c>
      <c r="M368" s="401" t="str">
        <f t="shared" si="37"/>
        <v/>
      </c>
    </row>
    <row r="369" spans="2:13" x14ac:dyDescent="0.25">
      <c r="B369" s="58"/>
      <c r="C369" s="14"/>
      <c r="D369" s="15"/>
      <c r="E369" s="15"/>
      <c r="F369" s="24"/>
      <c r="G369" s="422"/>
      <c r="H369" s="17"/>
      <c r="J369" s="37"/>
      <c r="K369" s="402"/>
      <c r="L369" s="420" t="str">
        <f t="shared" si="31"/>
        <v/>
      </c>
      <c r="M369" s="401" t="str">
        <f t="shared" si="37"/>
        <v/>
      </c>
    </row>
    <row r="370" spans="2:13" x14ac:dyDescent="0.25">
      <c r="B370" s="58"/>
      <c r="C370" s="14"/>
      <c r="D370" s="15"/>
      <c r="E370" s="15"/>
      <c r="F370" s="24"/>
      <c r="G370" s="422"/>
      <c r="H370" s="17"/>
      <c r="J370" s="37"/>
      <c r="K370" s="399"/>
      <c r="L370" s="420" t="str">
        <f t="shared" si="31"/>
        <v/>
      </c>
      <c r="M370" s="401" t="str">
        <f t="shared" si="37"/>
        <v/>
      </c>
    </row>
    <row r="371" spans="2:13" x14ac:dyDescent="0.25">
      <c r="B371" s="58"/>
      <c r="C371" s="14"/>
      <c r="D371" s="15"/>
      <c r="E371" s="15"/>
      <c r="F371" s="24"/>
      <c r="G371" s="422"/>
      <c r="H371" s="17"/>
      <c r="J371" s="37"/>
      <c r="K371" s="402"/>
      <c r="L371" s="420" t="str">
        <f t="shared" si="31"/>
        <v/>
      </c>
      <c r="M371" s="401" t="str">
        <f t="shared" si="37"/>
        <v/>
      </c>
    </row>
    <row r="372" spans="2:13" x14ac:dyDescent="0.25">
      <c r="B372" s="58"/>
      <c r="C372" s="14"/>
      <c r="D372" s="15"/>
      <c r="E372" s="15"/>
      <c r="F372" s="24"/>
      <c r="G372" s="422"/>
      <c r="H372" s="17"/>
      <c r="J372" s="37"/>
      <c r="K372" s="402"/>
      <c r="L372" s="420" t="str">
        <f t="shared" si="31"/>
        <v/>
      </c>
      <c r="M372" s="401" t="str">
        <f t="shared" si="37"/>
        <v/>
      </c>
    </row>
    <row r="373" spans="2:13" x14ac:dyDescent="0.25">
      <c r="B373" s="58"/>
      <c r="C373" s="14"/>
      <c r="D373" s="15"/>
      <c r="E373" s="15"/>
      <c r="F373" s="24"/>
      <c r="G373" s="422"/>
      <c r="H373" s="17"/>
      <c r="J373" s="42"/>
      <c r="K373" s="42"/>
      <c r="L373" s="420" t="str">
        <f t="shared" si="31"/>
        <v/>
      </c>
      <c r="M373" s="401" t="str">
        <f t="shared" si="37"/>
        <v/>
      </c>
    </row>
    <row r="374" spans="2:13" x14ac:dyDescent="0.25">
      <c r="B374" s="58"/>
      <c r="C374" s="14"/>
      <c r="D374" s="15"/>
      <c r="E374" s="15"/>
      <c r="F374" s="24"/>
      <c r="G374" s="422"/>
      <c r="H374" s="17"/>
      <c r="J374" s="42"/>
      <c r="K374" s="42"/>
      <c r="L374" s="420" t="str">
        <f t="shared" si="31"/>
        <v/>
      </c>
      <c r="M374" s="401" t="str">
        <f t="shared" si="37"/>
        <v/>
      </c>
    </row>
    <row r="375" spans="2:13" x14ac:dyDescent="0.25">
      <c r="B375" s="58"/>
      <c r="C375" s="14"/>
      <c r="D375" s="15"/>
      <c r="E375" s="15"/>
      <c r="F375" s="24"/>
      <c r="G375" s="422"/>
      <c r="H375" s="17"/>
      <c r="J375" s="42"/>
      <c r="K375" s="42"/>
      <c r="L375" s="420" t="str">
        <f t="shared" si="31"/>
        <v/>
      </c>
      <c r="M375" s="401" t="str">
        <f t="shared" si="37"/>
        <v/>
      </c>
    </row>
    <row r="376" spans="2:13" x14ac:dyDescent="0.25">
      <c r="B376" s="58"/>
      <c r="C376" s="14"/>
      <c r="D376" s="15"/>
      <c r="E376" s="15"/>
      <c r="F376" s="24"/>
      <c r="G376" s="422"/>
      <c r="H376" s="17"/>
      <c r="J376" s="42"/>
      <c r="K376" s="42"/>
      <c r="L376" s="420" t="str">
        <f t="shared" si="31"/>
        <v/>
      </c>
      <c r="M376" s="401" t="str">
        <f t="shared" si="37"/>
        <v/>
      </c>
    </row>
    <row r="377" spans="2:13" x14ac:dyDescent="0.25">
      <c r="B377" s="58"/>
      <c r="C377" s="14"/>
      <c r="D377" s="15"/>
      <c r="E377" s="15"/>
      <c r="F377" s="24"/>
      <c r="G377" s="422"/>
      <c r="H377" s="17"/>
      <c r="J377" s="42"/>
      <c r="K377" s="42"/>
      <c r="L377" s="420" t="str">
        <f t="shared" si="31"/>
        <v/>
      </c>
      <c r="M377" s="401" t="str">
        <f t="shared" si="37"/>
        <v/>
      </c>
    </row>
    <row r="378" spans="2:13" x14ac:dyDescent="0.25">
      <c r="B378" s="58"/>
      <c r="C378" s="14"/>
      <c r="D378" s="15"/>
      <c r="E378" s="15"/>
      <c r="F378" s="24"/>
      <c r="G378" s="422"/>
      <c r="H378" s="17"/>
      <c r="J378" s="42"/>
      <c r="K378" s="42"/>
      <c r="L378" s="420" t="str">
        <f t="shared" si="31"/>
        <v/>
      </c>
      <c r="M378" s="401" t="str">
        <f t="shared" si="37"/>
        <v/>
      </c>
    </row>
    <row r="379" spans="2:13" x14ac:dyDescent="0.25">
      <c r="B379" s="58"/>
      <c r="C379" s="14"/>
      <c r="D379" s="15"/>
      <c r="E379" s="15"/>
      <c r="F379" s="24"/>
      <c r="G379" s="422"/>
      <c r="H379" s="17"/>
      <c r="J379" s="42"/>
      <c r="K379" s="42"/>
      <c r="L379" s="420" t="str">
        <f t="shared" si="31"/>
        <v/>
      </c>
      <c r="M379" s="401" t="str">
        <f t="shared" si="37"/>
        <v/>
      </c>
    </row>
    <row r="380" spans="2:13" x14ac:dyDescent="0.25">
      <c r="B380" s="58"/>
      <c r="C380" s="14"/>
      <c r="D380" s="15"/>
      <c r="E380" s="15"/>
      <c r="F380" s="24"/>
      <c r="G380" s="422"/>
      <c r="H380" s="17"/>
      <c r="J380" s="42"/>
      <c r="K380" s="42"/>
      <c r="L380" s="420" t="str">
        <f t="shared" si="31"/>
        <v/>
      </c>
      <c r="M380" s="401" t="str">
        <f t="shared" si="37"/>
        <v/>
      </c>
    </row>
    <row r="381" spans="2:13" x14ac:dyDescent="0.25">
      <c r="B381" s="58"/>
      <c r="C381" s="14"/>
      <c r="D381" s="15"/>
      <c r="E381" s="15"/>
      <c r="F381" s="24"/>
      <c r="G381" s="422"/>
      <c r="H381" s="17"/>
      <c r="J381" s="42"/>
      <c r="K381" s="42"/>
      <c r="L381" s="420" t="str">
        <f t="shared" si="31"/>
        <v/>
      </c>
      <c r="M381" s="401" t="str">
        <f t="shared" si="37"/>
        <v/>
      </c>
    </row>
    <row r="382" spans="2:13" x14ac:dyDescent="0.25">
      <c r="B382" s="58"/>
      <c r="C382" s="14"/>
      <c r="D382" s="15"/>
      <c r="E382" s="15"/>
      <c r="F382" s="24"/>
      <c r="G382" s="422"/>
      <c r="H382" s="17"/>
      <c r="J382" s="42"/>
      <c r="K382" s="42"/>
      <c r="L382" s="420" t="str">
        <f t="shared" si="31"/>
        <v/>
      </c>
      <c r="M382" s="401" t="str">
        <f t="shared" si="37"/>
        <v/>
      </c>
    </row>
    <row r="383" spans="2:13" x14ac:dyDescent="0.25">
      <c r="B383" s="58"/>
      <c r="C383" s="14"/>
      <c r="D383" s="15"/>
      <c r="E383" s="15"/>
      <c r="F383" s="24"/>
      <c r="G383" s="422"/>
      <c r="H383" s="17"/>
      <c r="J383" s="42"/>
      <c r="K383" s="42"/>
      <c r="L383" s="420" t="str">
        <f t="shared" si="31"/>
        <v/>
      </c>
      <c r="M383" s="401" t="str">
        <f t="shared" si="37"/>
        <v/>
      </c>
    </row>
    <row r="384" spans="2:13" x14ac:dyDescent="0.25">
      <c r="B384" s="58"/>
      <c r="C384" s="14"/>
      <c r="D384" s="15"/>
      <c r="E384" s="15"/>
      <c r="F384" s="24"/>
      <c r="G384" s="422"/>
      <c r="H384" s="17"/>
      <c r="J384" s="42"/>
      <c r="K384" s="42"/>
      <c r="L384" s="420" t="str">
        <f t="shared" si="31"/>
        <v/>
      </c>
      <c r="M384" s="401" t="str">
        <f t="shared" si="37"/>
        <v/>
      </c>
    </row>
    <row r="385" spans="2:13" x14ac:dyDescent="0.25">
      <c r="B385" s="58"/>
      <c r="C385" s="14"/>
      <c r="D385" s="15"/>
      <c r="E385" s="15"/>
      <c r="F385" s="24"/>
      <c r="G385" s="422"/>
      <c r="H385" s="17"/>
      <c r="J385" s="42"/>
      <c r="K385" s="42"/>
      <c r="L385" s="420" t="str">
        <f t="shared" si="31"/>
        <v/>
      </c>
      <c r="M385" s="401" t="str">
        <f t="shared" si="37"/>
        <v/>
      </c>
    </row>
    <row r="386" spans="2:13" x14ac:dyDescent="0.25">
      <c r="B386" s="58"/>
      <c r="C386" s="14"/>
      <c r="D386" s="15"/>
      <c r="E386" s="15"/>
      <c r="F386" s="24"/>
      <c r="G386" s="422"/>
      <c r="H386" s="17"/>
      <c r="J386" s="42"/>
      <c r="K386" s="42"/>
      <c r="L386" s="420" t="str">
        <f t="shared" si="31"/>
        <v/>
      </c>
      <c r="M386" s="401" t="str">
        <f t="shared" si="37"/>
        <v/>
      </c>
    </row>
    <row r="387" spans="2:13" x14ac:dyDescent="0.25">
      <c r="B387" s="58"/>
      <c r="C387" s="14"/>
      <c r="D387" s="15"/>
      <c r="E387" s="15"/>
      <c r="F387" s="24"/>
      <c r="G387" s="422"/>
      <c r="H387" s="17"/>
      <c r="J387" s="42"/>
      <c r="K387" s="42"/>
      <c r="L387" s="420" t="str">
        <f t="shared" si="31"/>
        <v/>
      </c>
      <c r="M387" s="401" t="str">
        <f t="shared" si="37"/>
        <v/>
      </c>
    </row>
    <row r="388" spans="2:13" x14ac:dyDescent="0.25">
      <c r="B388" s="58"/>
      <c r="C388" s="14"/>
      <c r="D388" s="15"/>
      <c r="E388" s="15"/>
      <c r="F388" s="24"/>
      <c r="G388" s="422"/>
      <c r="H388" s="17"/>
      <c r="J388" s="42"/>
      <c r="K388" s="42"/>
      <c r="L388" s="420" t="str">
        <f t="shared" si="31"/>
        <v/>
      </c>
      <c r="M388" s="401" t="str">
        <f t="shared" si="37"/>
        <v/>
      </c>
    </row>
    <row r="389" spans="2:13" x14ac:dyDescent="0.25">
      <c r="B389" s="58"/>
      <c r="C389" s="14"/>
      <c r="D389" s="15"/>
      <c r="E389" s="15"/>
      <c r="F389" s="24"/>
      <c r="G389" s="421"/>
      <c r="H389" s="17" t="str">
        <f>IF(D389="","",F389*G389)</f>
        <v/>
      </c>
      <c r="J389" s="42"/>
      <c r="K389" s="42"/>
      <c r="L389" s="420" t="str">
        <f t="shared" si="31"/>
        <v/>
      </c>
      <c r="M389" s="401" t="str">
        <f t="shared" si="37"/>
        <v/>
      </c>
    </row>
    <row r="390" spans="2:13" x14ac:dyDescent="0.25">
      <c r="B390" s="85"/>
      <c r="C390" s="14"/>
      <c r="D390" s="15"/>
      <c r="E390" s="15"/>
      <c r="F390" s="24"/>
      <c r="G390" s="423"/>
      <c r="H390" s="17" t="str">
        <f>IF(D390="","",F390*G390)</f>
        <v/>
      </c>
      <c r="J390" s="42"/>
      <c r="K390" s="42"/>
      <c r="L390" s="420" t="str">
        <f t="shared" si="31"/>
        <v/>
      </c>
      <c r="M390" s="401" t="str">
        <f t="shared" si="37"/>
        <v/>
      </c>
    </row>
    <row r="391" spans="2:13" x14ac:dyDescent="0.25">
      <c r="B391" s="46"/>
      <c r="C391" s="14"/>
      <c r="D391" s="15"/>
      <c r="E391" s="15"/>
      <c r="F391" s="24"/>
      <c r="G391" s="422"/>
      <c r="H391" s="17" t="str">
        <f>IF(D391="","",F391*G391)</f>
        <v/>
      </c>
      <c r="J391" s="37"/>
      <c r="K391" s="42"/>
      <c r="L391" s="420" t="str">
        <f t="shared" si="31"/>
        <v/>
      </c>
      <c r="M391" s="401" t="str">
        <f t="shared" si="37"/>
        <v/>
      </c>
    </row>
    <row r="392" spans="2:13" x14ac:dyDescent="0.25">
      <c r="B392" s="20"/>
      <c r="C392" s="14"/>
      <c r="D392" s="21"/>
      <c r="E392" s="21"/>
      <c r="F392" s="24"/>
      <c r="G392" s="422"/>
      <c r="H392" s="17" t="str">
        <f>IF(D392="","",F392*G392)</f>
        <v/>
      </c>
      <c r="J392" s="37"/>
      <c r="K392" s="403"/>
      <c r="L392" s="420" t="str">
        <f t="shared" si="31"/>
        <v/>
      </c>
      <c r="M392" s="401" t="str">
        <f t="shared" si="37"/>
        <v/>
      </c>
    </row>
    <row r="393" spans="2:13" x14ac:dyDescent="0.25">
      <c r="B393" s="20"/>
      <c r="C393" s="14"/>
      <c r="D393" s="15"/>
      <c r="E393" s="15"/>
      <c r="F393" s="24"/>
      <c r="G393" s="422"/>
      <c r="H393" s="17" t="str">
        <f>IF(D393="","",F393*G393)</f>
        <v/>
      </c>
      <c r="J393" s="37"/>
      <c r="K393" s="404"/>
      <c r="L393" s="420" t="str">
        <f t="shared" si="31"/>
        <v/>
      </c>
      <c r="M393" s="401" t="str">
        <f t="shared" si="37"/>
        <v/>
      </c>
    </row>
    <row r="394" spans="2:13" s="28" customFormat="1" ht="24.75" customHeight="1" x14ac:dyDescent="0.25">
      <c r="B394" s="84" t="str">
        <f>$B$12</f>
        <v>C10.1</v>
      </c>
      <c r="C394" s="498" t="str">
        <f>"TOTAL CARRIED FORWARD"&amp;IF(H394=H$1," TO SUMMARY (Page C"&amp;Page_A&amp;")","")</f>
        <v>TOTAL CARRIED FORWARD TO SUMMARY (Page C48)</v>
      </c>
      <c r="D394" s="31"/>
      <c r="E394" s="31"/>
      <c r="F394" s="32"/>
      <c r="G394" s="31"/>
      <c r="H394" s="33">
        <f>SUM(H334:H393)</f>
        <v>0</v>
      </c>
      <c r="I394" s="34"/>
      <c r="J394" s="408"/>
      <c r="K394" s="406"/>
      <c r="L394" s="418">
        <f>SUM(L334:L393)</f>
        <v>0</v>
      </c>
      <c r="M394" s="407" t="str">
        <f>IF(F387="","",IF(SUM(I387)=0,"",L394/I378))</f>
        <v/>
      </c>
    </row>
  </sheetData>
  <mergeCells count="40">
    <mergeCell ref="S362:S363"/>
    <mergeCell ref="F3:H3"/>
    <mergeCell ref="H6:H9"/>
    <mergeCell ref="B6:G6"/>
    <mergeCell ref="B7:G9"/>
    <mergeCell ref="B73:D73"/>
    <mergeCell ref="F73:H75"/>
    <mergeCell ref="B74:D74"/>
    <mergeCell ref="B75:D75"/>
    <mergeCell ref="B76:G76"/>
    <mergeCell ref="H76:H79"/>
    <mergeCell ref="B77:G79"/>
    <mergeCell ref="B130:D130"/>
    <mergeCell ref="F130:H132"/>
    <mergeCell ref="B131:D131"/>
    <mergeCell ref="B132:D132"/>
    <mergeCell ref="B200:G200"/>
    <mergeCell ref="H200:H203"/>
    <mergeCell ref="B201:G203"/>
    <mergeCell ref="B133:G133"/>
    <mergeCell ref="H133:H136"/>
    <mergeCell ref="B134:G136"/>
    <mergeCell ref="B197:D197"/>
    <mergeCell ref="F197:H199"/>
    <mergeCell ref="B198:D198"/>
    <mergeCell ref="B199:D199"/>
    <mergeCell ref="B264:D264"/>
    <mergeCell ref="F264:H266"/>
    <mergeCell ref="B265:D265"/>
    <mergeCell ref="B266:D266"/>
    <mergeCell ref="B267:G267"/>
    <mergeCell ref="H267:H270"/>
    <mergeCell ref="B268:G270"/>
    <mergeCell ref="B326:D326"/>
    <mergeCell ref="F326:H328"/>
    <mergeCell ref="B327:D327"/>
    <mergeCell ref="B328:D328"/>
    <mergeCell ref="B329:G329"/>
    <mergeCell ref="H329:H332"/>
    <mergeCell ref="B330:G332"/>
  </mergeCells>
  <conditionalFormatting sqref="G11:H72 G81:H129 G138:H196 G205:H263">
    <cfRule type="expression" dxfId="71"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5">
    <tabColor rgb="FF0070C0"/>
  </sheetPr>
  <dimension ref="A1:N144"/>
  <sheetViews>
    <sheetView view="pageBreakPreview" zoomScale="90" zoomScaleNormal="125" zoomScaleSheetLayoutView="90" zoomScalePageLayoutView="125" workbookViewId="0">
      <pane ySplit="2" topLeftCell="A3" activePane="bottomLeft" state="frozen"/>
      <selection activeCell="G24" sqref="G24"/>
      <selection pane="bottomLeft" activeCell="G16" sqref="G16"/>
    </sheetView>
  </sheetViews>
  <sheetFormatPr defaultColWidth="8.81640625" defaultRowHeight="11.5" x14ac:dyDescent="0.25"/>
  <cols>
    <col min="1" max="1" width="0.81640625" style="97" customWidth="1"/>
    <col min="2" max="2" width="11.7265625" style="101" customWidth="1"/>
    <col min="3" max="3" width="45.7265625" style="100" customWidth="1"/>
    <col min="4" max="4" width="12.453125" style="99" customWidth="1"/>
    <col min="5" max="5" width="5" style="99" customWidth="1"/>
    <col min="6" max="6" width="15.7265625" style="99" customWidth="1"/>
    <col min="7" max="7" width="15.7265625" style="97" customWidth="1"/>
    <col min="8" max="8" width="15.7265625" style="98" customWidth="1"/>
    <col min="9" max="9" width="0.81640625" style="98" customWidth="1"/>
    <col min="10" max="10" width="0" style="97" hidden="1" customWidth="1"/>
    <col min="11" max="11" width="13.54296875" style="97" hidden="1" customWidth="1"/>
    <col min="12" max="12" width="14.1796875" style="97" hidden="1" customWidth="1"/>
    <col min="13" max="13" width="13.7265625" style="97" hidden="1" customWidth="1"/>
    <col min="14" max="14" width="13.54296875" style="97" hidden="1" customWidth="1"/>
    <col min="15" max="16384" width="8.81640625" style="97"/>
  </cols>
  <sheetData>
    <row r="1" spans="1:14" s="250" customFormat="1" x14ac:dyDescent="0.25">
      <c r="A1" s="242"/>
      <c r="B1" s="243"/>
      <c r="C1" s="244" t="s">
        <v>993</v>
      </c>
      <c r="D1" s="245"/>
      <c r="E1" s="245"/>
      <c r="F1" s="246" t="s">
        <v>994</v>
      </c>
      <c r="G1" s="244">
        <v>1</v>
      </c>
      <c r="H1" s="247">
        <f>MAX(H2:H144)</f>
        <v>10000</v>
      </c>
      <c r="I1" s="247">
        <f>MAX(I2:I206)</f>
        <v>0</v>
      </c>
      <c r="J1" s="248"/>
      <c r="K1" s="249"/>
      <c r="L1" s="417">
        <f>MAX(L2:L144)</f>
        <v>0</v>
      </c>
      <c r="M1" s="249"/>
    </row>
    <row r="2" spans="1:14" s="250" customFormat="1"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C3" s="3"/>
      <c r="D3" s="4"/>
      <c r="E3" s="4"/>
      <c r="F3" s="1124" t="str">
        <f>"Contract No. "&amp;ContractNo</f>
        <v>Contract No. ZNB 00399/00000/HOD/INF/21/T</v>
      </c>
      <c r="G3" s="1124"/>
      <c r="H3" s="1124"/>
    </row>
    <row r="4" spans="1:14" ht="13" x14ac:dyDescent="0.25">
      <c r="B4" s="87" t="str">
        <f>Client2</f>
        <v>Department of Transport</v>
      </c>
      <c r="C4" s="3"/>
      <c r="D4" s="4"/>
      <c r="E4" s="4"/>
      <c r="F4" s="4"/>
      <c r="G4" s="1"/>
      <c r="H4" s="5"/>
    </row>
    <row r="5" spans="1:14" ht="12.5" x14ac:dyDescent="0.25">
      <c r="B5" s="3"/>
      <c r="C5" s="3"/>
      <c r="D5" s="4"/>
      <c r="E5" s="4"/>
      <c r="F5" s="4"/>
      <c r="G5" s="1"/>
      <c r="H5" s="5"/>
    </row>
    <row r="6" spans="1:14" ht="12.75" customHeight="1" x14ac:dyDescent="0.25">
      <c r="B6" s="1112" t="s">
        <v>8</v>
      </c>
      <c r="C6" s="1113"/>
      <c r="D6" s="1113"/>
      <c r="E6" s="1113"/>
      <c r="F6" s="1113"/>
      <c r="G6" s="1113"/>
      <c r="H6" s="1141" t="str">
        <f>"CHAPTER "&amp;B12</f>
        <v>CHAPTER C11.8</v>
      </c>
      <c r="I6" s="12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42"/>
      <c r="I7" s="123"/>
    </row>
    <row r="8" spans="1:14" ht="12.75" customHeight="1" x14ac:dyDescent="0.25">
      <c r="B8" s="1117"/>
      <c r="C8" s="1118"/>
      <c r="D8" s="1118"/>
      <c r="E8" s="1118"/>
      <c r="F8" s="1118"/>
      <c r="G8" s="1118"/>
      <c r="H8" s="1142"/>
      <c r="I8" s="123"/>
    </row>
    <row r="9" spans="1:14" s="121" customFormat="1" ht="7.5" customHeight="1" x14ac:dyDescent="0.25">
      <c r="B9" s="1119"/>
      <c r="C9" s="1120"/>
      <c r="D9" s="1120"/>
      <c r="E9" s="1120"/>
      <c r="F9" s="1120"/>
      <c r="G9" s="1120"/>
      <c r="H9" s="1143"/>
      <c r="I9" s="122"/>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ht="12.5" x14ac:dyDescent="0.25">
      <c r="B11" s="58"/>
      <c r="C11" s="65"/>
      <c r="D11" s="15"/>
      <c r="E11" s="15"/>
      <c r="F11" s="15"/>
      <c r="G11" s="411"/>
      <c r="H11" s="715" t="str">
        <f t="shared" ref="H11:H44" si="0">IF(D11="","",F11*G11)</f>
        <v/>
      </c>
      <c r="I11" s="116"/>
      <c r="J11" s="61"/>
      <c r="K11" s="399"/>
      <c r="L11" s="420" t="str">
        <f t="shared" ref="L11" si="1">IF(J11="","",F11*K11)</f>
        <v/>
      </c>
      <c r="M11" s="401" t="str">
        <f t="shared" ref="M11" si="2">IF(J11="","",IF(SUM(H11)=0,"",L11/H11))</f>
        <v/>
      </c>
    </row>
    <row r="12" spans="1:14" ht="13" x14ac:dyDescent="0.25">
      <c r="B12" s="146" t="s">
        <v>765</v>
      </c>
      <c r="C12" s="672" t="s">
        <v>764</v>
      </c>
      <c r="D12" s="15"/>
      <c r="E12" s="15"/>
      <c r="F12" s="15"/>
      <c r="G12" s="411"/>
      <c r="H12" s="715" t="str">
        <f t="shared" si="0"/>
        <v/>
      </c>
      <c r="I12" s="116"/>
      <c r="J12" s="61"/>
      <c r="K12" s="399"/>
      <c r="L12" s="420" t="str">
        <f t="shared" ref="L12:L44" si="3">IF(J12="","",F12*K12)</f>
        <v/>
      </c>
      <c r="M12" s="401" t="str">
        <f t="shared" ref="M12:M44" si="4">IF(J12="","",IF(SUM(H12)=0,"",L12/H12))</f>
        <v/>
      </c>
    </row>
    <row r="13" spans="1:14" ht="12.5" x14ac:dyDescent="0.25">
      <c r="B13" s="58"/>
      <c r="C13" s="65"/>
      <c r="D13" s="15"/>
      <c r="E13" s="15"/>
      <c r="F13" s="15"/>
      <c r="G13" s="411"/>
      <c r="H13" s="715" t="str">
        <f t="shared" si="0"/>
        <v/>
      </c>
      <c r="I13" s="116"/>
      <c r="J13" s="61"/>
      <c r="K13" s="399"/>
      <c r="L13" s="420" t="str">
        <f t="shared" si="3"/>
        <v/>
      </c>
      <c r="M13" s="401" t="str">
        <f t="shared" si="4"/>
        <v/>
      </c>
    </row>
    <row r="14" spans="1:14" ht="13" x14ac:dyDescent="0.25">
      <c r="B14" s="146" t="s">
        <v>763</v>
      </c>
      <c r="C14" s="672" t="s">
        <v>762</v>
      </c>
      <c r="D14" s="15"/>
      <c r="E14" s="15"/>
      <c r="F14" s="15"/>
      <c r="G14" s="411"/>
      <c r="H14" s="715" t="str">
        <f t="shared" si="0"/>
        <v/>
      </c>
      <c r="I14" s="116"/>
      <c r="J14" s="61"/>
      <c r="K14" s="399"/>
      <c r="L14" s="420" t="str">
        <f t="shared" si="3"/>
        <v/>
      </c>
      <c r="M14" s="401" t="str">
        <f t="shared" si="4"/>
        <v/>
      </c>
    </row>
    <row r="15" spans="1:14" ht="12.5" x14ac:dyDescent="0.25">
      <c r="B15" s="58"/>
      <c r="C15" s="65"/>
      <c r="D15" s="15"/>
      <c r="E15" s="15"/>
      <c r="F15" s="15"/>
      <c r="G15" s="411"/>
      <c r="H15" s="715" t="str">
        <f t="shared" si="0"/>
        <v/>
      </c>
      <c r="I15" s="116"/>
      <c r="J15" s="61"/>
      <c r="K15" s="399"/>
      <c r="L15" s="420" t="str">
        <f t="shared" si="3"/>
        <v/>
      </c>
      <c r="M15" s="401" t="str">
        <f t="shared" si="4"/>
        <v/>
      </c>
    </row>
    <row r="16" spans="1:14" ht="13" x14ac:dyDescent="0.3">
      <c r="B16" s="58" t="s">
        <v>760</v>
      </c>
      <c r="C16" s="65" t="s">
        <v>759</v>
      </c>
      <c r="D16" s="15" t="s">
        <v>511</v>
      </c>
      <c r="E16" s="15" t="s">
        <v>996</v>
      </c>
      <c r="F16" s="693">
        <f>2400*2*5</f>
        <v>24000</v>
      </c>
      <c r="G16" s="423"/>
      <c r="H16" s="715">
        <f t="shared" si="0"/>
        <v>0</v>
      </c>
      <c r="I16" s="116"/>
      <c r="J16" s="61" t="s">
        <v>996</v>
      </c>
      <c r="K16" s="399">
        <f>IF(D16="","",ROUND(30%*G16,1))</f>
        <v>0</v>
      </c>
      <c r="L16" s="420">
        <f t="shared" si="3"/>
        <v>0</v>
      </c>
      <c r="M16" s="401" t="str">
        <f t="shared" si="4"/>
        <v/>
      </c>
    </row>
    <row r="17" spans="2:13" ht="12.5" x14ac:dyDescent="0.25">
      <c r="B17" s="58"/>
      <c r="C17" s="65"/>
      <c r="D17" s="15"/>
      <c r="E17" s="15"/>
      <c r="F17" s="24"/>
      <c r="G17" s="411"/>
      <c r="H17" s="715" t="str">
        <f t="shared" si="0"/>
        <v/>
      </c>
      <c r="I17" s="116"/>
      <c r="J17" s="61"/>
      <c r="K17" s="399"/>
      <c r="L17" s="420" t="str">
        <f t="shared" si="3"/>
        <v/>
      </c>
      <c r="M17" s="401" t="str">
        <f t="shared" si="4"/>
        <v/>
      </c>
    </row>
    <row r="18" spans="2:13" ht="13" x14ac:dyDescent="0.25">
      <c r="B18" s="146" t="s">
        <v>758</v>
      </c>
      <c r="C18" s="789" t="s">
        <v>757</v>
      </c>
      <c r="D18" s="15"/>
      <c r="E18" s="15"/>
      <c r="F18" s="693"/>
      <c r="G18" s="423"/>
      <c r="H18" s="715" t="str">
        <f t="shared" si="0"/>
        <v/>
      </c>
      <c r="I18" s="116"/>
      <c r="J18" s="61"/>
      <c r="K18" s="399"/>
      <c r="L18" s="420" t="str">
        <f t="shared" si="3"/>
        <v/>
      </c>
      <c r="M18" s="401" t="str">
        <f t="shared" si="4"/>
        <v/>
      </c>
    </row>
    <row r="19" spans="2:13" ht="12.5" x14ac:dyDescent="0.25">
      <c r="B19" s="58"/>
      <c r="C19" s="65"/>
      <c r="D19" s="15"/>
      <c r="E19" s="15"/>
      <c r="F19" s="24"/>
      <c r="G19" s="411"/>
      <c r="H19" s="715" t="str">
        <f t="shared" si="0"/>
        <v/>
      </c>
      <c r="I19" s="120"/>
      <c r="J19" s="61"/>
      <c r="K19" s="399"/>
      <c r="L19" s="420" t="str">
        <f t="shared" si="3"/>
        <v/>
      </c>
      <c r="M19" s="401" t="str">
        <f t="shared" si="4"/>
        <v/>
      </c>
    </row>
    <row r="20" spans="2:13" ht="25" x14ac:dyDescent="0.25">
      <c r="B20" s="58" t="s">
        <v>756</v>
      </c>
      <c r="C20" s="65" t="s">
        <v>755</v>
      </c>
      <c r="D20" s="15"/>
      <c r="E20" s="15"/>
      <c r="F20" s="24"/>
      <c r="G20" s="423"/>
      <c r="H20" s="715" t="str">
        <f t="shared" si="0"/>
        <v/>
      </c>
      <c r="I20" s="116"/>
      <c r="J20" s="61"/>
      <c r="K20" s="62"/>
      <c r="L20" s="420" t="str">
        <f t="shared" si="3"/>
        <v/>
      </c>
      <c r="M20" s="401" t="str">
        <f t="shared" si="4"/>
        <v/>
      </c>
    </row>
    <row r="21" spans="2:13" ht="12.5" x14ac:dyDescent="0.25">
      <c r="B21" s="58"/>
      <c r="C21" s="65"/>
      <c r="D21" s="15"/>
      <c r="E21" s="15"/>
      <c r="F21" s="24"/>
      <c r="G21" s="411"/>
      <c r="H21" s="715" t="str">
        <f t="shared" si="0"/>
        <v/>
      </c>
      <c r="I21" s="116"/>
      <c r="J21" s="61"/>
      <c r="K21" s="62"/>
      <c r="L21" s="420" t="str">
        <f t="shared" si="3"/>
        <v/>
      </c>
      <c r="M21" s="401" t="str">
        <f t="shared" si="4"/>
        <v/>
      </c>
    </row>
    <row r="22" spans="2:13" ht="25" x14ac:dyDescent="0.3">
      <c r="B22" s="58" t="s">
        <v>39</v>
      </c>
      <c r="C22" s="65" t="s">
        <v>754</v>
      </c>
      <c r="D22" s="15" t="s">
        <v>512</v>
      </c>
      <c r="E22" s="15" t="s">
        <v>996</v>
      </c>
      <c r="F22" s="24">
        <v>400</v>
      </c>
      <c r="G22" s="411"/>
      <c r="H22" s="715">
        <f t="shared" si="0"/>
        <v>0</v>
      </c>
      <c r="I22" s="116"/>
      <c r="J22" s="61" t="s">
        <v>996</v>
      </c>
      <c r="K22" s="399">
        <f>IF(D22="","",ROUND(20%*G22,1))</f>
        <v>0</v>
      </c>
      <c r="L22" s="420">
        <f t="shared" si="3"/>
        <v>0</v>
      </c>
      <c r="M22" s="401" t="str">
        <f t="shared" si="4"/>
        <v/>
      </c>
    </row>
    <row r="23" spans="2:13" ht="12.5" x14ac:dyDescent="0.25">
      <c r="B23" s="58"/>
      <c r="C23" s="68"/>
      <c r="D23" s="61"/>
      <c r="E23" s="61"/>
      <c r="F23" s="24"/>
      <c r="G23" s="421"/>
      <c r="H23" s="715" t="str">
        <f t="shared" si="0"/>
        <v/>
      </c>
      <c r="I23" s="117"/>
      <c r="J23" s="61"/>
      <c r="K23" s="402"/>
      <c r="L23" s="420" t="str">
        <f t="shared" si="3"/>
        <v/>
      </c>
      <c r="M23" s="401" t="str">
        <f t="shared" si="4"/>
        <v/>
      </c>
    </row>
    <row r="24" spans="2:13" ht="25" x14ac:dyDescent="0.25">
      <c r="B24" s="58" t="s">
        <v>753</v>
      </c>
      <c r="C24" s="65" t="s">
        <v>752</v>
      </c>
      <c r="D24" s="15"/>
      <c r="E24" s="15"/>
      <c r="F24" s="15"/>
      <c r="G24" s="422"/>
      <c r="H24" s="715" t="str">
        <f t="shared" si="0"/>
        <v/>
      </c>
      <c r="I24" s="116"/>
      <c r="J24" s="61"/>
      <c r="K24" s="399"/>
      <c r="L24" s="420" t="str">
        <f t="shared" si="3"/>
        <v/>
      </c>
      <c r="M24" s="401" t="str">
        <f t="shared" si="4"/>
        <v/>
      </c>
    </row>
    <row r="25" spans="2:13" ht="12.5" x14ac:dyDescent="0.25">
      <c r="B25" s="58"/>
      <c r="C25" s="65"/>
      <c r="D25" s="15"/>
      <c r="E25" s="15"/>
      <c r="F25" s="15"/>
      <c r="G25" s="422"/>
      <c r="H25" s="715" t="str">
        <f t="shared" si="0"/>
        <v/>
      </c>
      <c r="I25" s="116"/>
      <c r="J25" s="61"/>
      <c r="K25" s="399"/>
      <c r="L25" s="420" t="str">
        <f t="shared" si="3"/>
        <v/>
      </c>
      <c r="M25" s="401" t="str">
        <f t="shared" si="4"/>
        <v/>
      </c>
    </row>
    <row r="26" spans="2:13" ht="12.5" x14ac:dyDescent="0.25">
      <c r="B26" s="58" t="s">
        <v>39</v>
      </c>
      <c r="C26" s="70" t="s">
        <v>751</v>
      </c>
      <c r="D26" s="15" t="s">
        <v>7</v>
      </c>
      <c r="E26" s="15" t="s">
        <v>996</v>
      </c>
      <c r="F26" s="15">
        <v>0.5</v>
      </c>
      <c r="G26" s="422"/>
      <c r="H26" s="715">
        <f t="shared" si="0"/>
        <v>0</v>
      </c>
      <c r="I26" s="116"/>
      <c r="J26" s="61" t="s">
        <v>996</v>
      </c>
      <c r="K26" s="399">
        <f>IF(D26="","",ROUND(20%*G26,1))</f>
        <v>0</v>
      </c>
      <c r="L26" s="420">
        <f t="shared" si="3"/>
        <v>0</v>
      </c>
      <c r="M26" s="401" t="str">
        <f t="shared" si="4"/>
        <v/>
      </c>
    </row>
    <row r="27" spans="2:13" ht="12.5" x14ac:dyDescent="0.25">
      <c r="B27" s="58"/>
      <c r="C27" s="70"/>
      <c r="D27" s="15"/>
      <c r="E27" s="15"/>
      <c r="F27" s="24"/>
      <c r="G27" s="411"/>
      <c r="H27" s="715" t="str">
        <f t="shared" si="0"/>
        <v/>
      </c>
      <c r="I27" s="116"/>
      <c r="J27" s="61"/>
      <c r="K27" s="399"/>
      <c r="L27" s="420" t="str">
        <f t="shared" si="3"/>
        <v/>
      </c>
      <c r="M27" s="401" t="str">
        <f t="shared" si="4"/>
        <v/>
      </c>
    </row>
    <row r="28" spans="2:13" ht="12.5" x14ac:dyDescent="0.25">
      <c r="B28" s="58" t="s">
        <v>43</v>
      </c>
      <c r="C28" s="65" t="s">
        <v>750</v>
      </c>
      <c r="D28" s="61" t="s">
        <v>7</v>
      </c>
      <c r="E28" s="61" t="s">
        <v>996</v>
      </c>
      <c r="F28" s="61">
        <v>0.5</v>
      </c>
      <c r="G28" s="422"/>
      <c r="H28" s="715">
        <f t="shared" si="0"/>
        <v>0</v>
      </c>
      <c r="I28" s="117"/>
      <c r="J28" s="61" t="s">
        <v>996</v>
      </c>
      <c r="K28" s="399">
        <f>IF(D28="","",ROUND(20%*G28,1))</f>
        <v>0</v>
      </c>
      <c r="L28" s="420">
        <f t="shared" si="3"/>
        <v>0</v>
      </c>
      <c r="M28" s="401" t="str">
        <f t="shared" si="4"/>
        <v/>
      </c>
    </row>
    <row r="29" spans="2:13" ht="12.5" x14ac:dyDescent="0.25">
      <c r="B29" s="58"/>
      <c r="C29" s="65"/>
      <c r="D29" s="15"/>
      <c r="E29" s="15"/>
      <c r="F29" s="24"/>
      <c r="G29" s="411"/>
      <c r="H29" s="715" t="str">
        <f t="shared" si="0"/>
        <v/>
      </c>
      <c r="I29" s="116"/>
      <c r="J29" s="61"/>
      <c r="K29" s="62"/>
      <c r="L29" s="420" t="str">
        <f t="shared" si="3"/>
        <v/>
      </c>
      <c r="M29" s="401" t="str">
        <f t="shared" si="4"/>
        <v/>
      </c>
    </row>
    <row r="30" spans="2:13" ht="13" x14ac:dyDescent="0.25">
      <c r="B30" s="146" t="s">
        <v>749</v>
      </c>
      <c r="C30" s="672" t="s">
        <v>748</v>
      </c>
      <c r="D30" s="15"/>
      <c r="E30" s="15"/>
      <c r="F30" s="24"/>
      <c r="G30" s="422"/>
      <c r="H30" s="715" t="str">
        <f t="shared" si="0"/>
        <v/>
      </c>
      <c r="I30" s="119"/>
      <c r="J30" s="61"/>
      <c r="K30" s="62"/>
      <c r="L30" s="420" t="str">
        <f t="shared" si="3"/>
        <v/>
      </c>
      <c r="M30" s="401" t="str">
        <f t="shared" si="4"/>
        <v/>
      </c>
    </row>
    <row r="31" spans="2:13" ht="12.5" x14ac:dyDescent="0.25">
      <c r="B31" s="58"/>
      <c r="C31" s="65"/>
      <c r="D31" s="15"/>
      <c r="E31" s="15"/>
      <c r="F31" s="24"/>
      <c r="G31" s="422"/>
      <c r="H31" s="715" t="str">
        <f t="shared" si="0"/>
        <v/>
      </c>
      <c r="I31" s="116"/>
      <c r="J31" s="61"/>
      <c r="K31" s="62"/>
      <c r="L31" s="420" t="str">
        <f t="shared" si="3"/>
        <v/>
      </c>
      <c r="M31" s="401" t="str">
        <f t="shared" si="4"/>
        <v/>
      </c>
    </row>
    <row r="32" spans="2:13" ht="12.5" x14ac:dyDescent="0.25">
      <c r="B32" s="58" t="s">
        <v>747</v>
      </c>
      <c r="C32" s="65" t="s">
        <v>746</v>
      </c>
      <c r="D32" s="15"/>
      <c r="E32" s="15"/>
      <c r="F32" s="15"/>
      <c r="G32" s="411"/>
      <c r="H32" s="715" t="str">
        <f t="shared" si="0"/>
        <v/>
      </c>
      <c r="I32" s="117"/>
      <c r="J32" s="61"/>
      <c r="K32" s="62"/>
      <c r="L32" s="420" t="str">
        <f t="shared" si="3"/>
        <v/>
      </c>
      <c r="M32" s="401" t="str">
        <f t="shared" si="4"/>
        <v/>
      </c>
    </row>
    <row r="33" spans="2:13" ht="12.5" x14ac:dyDescent="0.25">
      <c r="B33" s="58"/>
      <c r="C33" s="65"/>
      <c r="D33" s="15"/>
      <c r="E33" s="15"/>
      <c r="F33" s="15"/>
      <c r="G33" s="411"/>
      <c r="H33" s="715" t="str">
        <f t="shared" si="0"/>
        <v/>
      </c>
      <c r="I33" s="117"/>
      <c r="J33" s="61"/>
      <c r="K33" s="62"/>
      <c r="L33" s="420" t="str">
        <f t="shared" si="3"/>
        <v/>
      </c>
      <c r="M33" s="401" t="str">
        <f t="shared" si="4"/>
        <v/>
      </c>
    </row>
    <row r="34" spans="2:13" ht="13" x14ac:dyDescent="0.3">
      <c r="B34" s="58" t="s">
        <v>39</v>
      </c>
      <c r="C34" s="65" t="s">
        <v>745</v>
      </c>
      <c r="D34" s="15" t="s">
        <v>511</v>
      </c>
      <c r="E34" s="15" t="s">
        <v>996</v>
      </c>
      <c r="F34" s="24">
        <v>400</v>
      </c>
      <c r="G34" s="422"/>
      <c r="H34" s="715">
        <f t="shared" si="0"/>
        <v>0</v>
      </c>
      <c r="I34" s="117"/>
      <c r="J34" s="61" t="s">
        <v>996</v>
      </c>
      <c r="K34" s="399">
        <f>IF(D34="","",ROUND(20%*G34,1))</f>
        <v>0</v>
      </c>
      <c r="L34" s="420">
        <f t="shared" si="3"/>
        <v>0</v>
      </c>
      <c r="M34" s="401" t="str">
        <f t="shared" si="4"/>
        <v/>
      </c>
    </row>
    <row r="35" spans="2:13" ht="12.5" x14ac:dyDescent="0.25">
      <c r="B35" s="58"/>
      <c r="C35" s="65"/>
      <c r="D35" s="15"/>
      <c r="E35" s="15"/>
      <c r="F35" s="24"/>
      <c r="G35" s="411"/>
      <c r="H35" s="715" t="str">
        <f t="shared" si="0"/>
        <v/>
      </c>
      <c r="I35" s="116"/>
      <c r="J35" s="61"/>
      <c r="K35" s="62"/>
      <c r="L35" s="420" t="str">
        <f t="shared" si="3"/>
        <v/>
      </c>
      <c r="M35" s="401" t="str">
        <f t="shared" si="4"/>
        <v/>
      </c>
    </row>
    <row r="36" spans="2:13" ht="26" x14ac:dyDescent="0.25">
      <c r="B36" s="146" t="s">
        <v>744</v>
      </c>
      <c r="C36" s="672" t="s">
        <v>743</v>
      </c>
      <c r="D36" s="15" t="s">
        <v>513</v>
      </c>
      <c r="E36" s="15" t="s">
        <v>996</v>
      </c>
      <c r="F36" s="24">
        <v>20</v>
      </c>
      <c r="G36" s="423"/>
      <c r="H36" s="715">
        <f t="shared" si="0"/>
        <v>0</v>
      </c>
      <c r="I36" s="117"/>
      <c r="J36" s="61" t="s">
        <v>996</v>
      </c>
      <c r="K36" s="399">
        <f>IF(D36="","",ROUND(20%*G36,1))</f>
        <v>0</v>
      </c>
      <c r="L36" s="420">
        <f t="shared" si="3"/>
        <v>0</v>
      </c>
      <c r="M36" s="401" t="str">
        <f t="shared" si="4"/>
        <v/>
      </c>
    </row>
    <row r="37" spans="2:13" ht="12.5" x14ac:dyDescent="0.25">
      <c r="B37" s="58"/>
      <c r="C37" s="65"/>
      <c r="D37" s="15"/>
      <c r="E37" s="15"/>
      <c r="F37" s="24"/>
      <c r="G37" s="411"/>
      <c r="H37" s="715" t="str">
        <f t="shared" si="0"/>
        <v/>
      </c>
      <c r="I37" s="116"/>
      <c r="J37" s="61"/>
      <c r="K37" s="399"/>
      <c r="L37" s="420" t="str">
        <f t="shared" si="3"/>
        <v/>
      </c>
      <c r="M37" s="401" t="str">
        <f t="shared" si="4"/>
        <v/>
      </c>
    </row>
    <row r="38" spans="2:13" ht="13" x14ac:dyDescent="0.25">
      <c r="B38" s="146" t="s">
        <v>1895</v>
      </c>
      <c r="C38" s="790" t="s">
        <v>742</v>
      </c>
      <c r="D38" s="666" t="s">
        <v>556</v>
      </c>
      <c r="E38" s="666"/>
      <c r="F38" s="647">
        <v>10000</v>
      </c>
      <c r="G38" s="424">
        <v>1</v>
      </c>
      <c r="H38" s="773">
        <f t="shared" ref="H38" si="5">IF(D38="","",F38*G38)</f>
        <v>10000</v>
      </c>
      <c r="I38" s="116"/>
      <c r="J38" s="61"/>
      <c r="K38" s="62"/>
      <c r="L38" s="420" t="str">
        <f t="shared" si="3"/>
        <v/>
      </c>
      <c r="M38" s="401" t="str">
        <f t="shared" si="4"/>
        <v/>
      </c>
    </row>
    <row r="39" spans="2:13" ht="12.5" x14ac:dyDescent="0.25">
      <c r="B39" s="689"/>
      <c r="C39" s="667"/>
      <c r="D39" s="666"/>
      <c r="E39" s="666"/>
      <c r="F39" s="647"/>
      <c r="G39" s="424"/>
      <c r="H39" s="773" t="str">
        <f t="shared" si="0"/>
        <v/>
      </c>
      <c r="I39" s="116"/>
      <c r="J39" s="61"/>
      <c r="K39" s="62"/>
      <c r="L39" s="420" t="str">
        <f t="shared" si="3"/>
        <v/>
      </c>
      <c r="M39" s="401" t="str">
        <f t="shared" si="4"/>
        <v/>
      </c>
    </row>
    <row r="40" spans="2:13" ht="26" x14ac:dyDescent="0.25">
      <c r="B40" s="146" t="s">
        <v>1948</v>
      </c>
      <c r="C40" s="672" t="s">
        <v>182</v>
      </c>
      <c r="D40" s="15"/>
      <c r="E40" s="15"/>
      <c r="F40" s="15"/>
      <c r="G40" s="424"/>
      <c r="H40" s="773" t="str">
        <f t="shared" si="0"/>
        <v/>
      </c>
      <c r="I40" s="116"/>
      <c r="J40" s="61"/>
      <c r="K40" s="62"/>
      <c r="L40" s="420" t="str">
        <f t="shared" si="3"/>
        <v/>
      </c>
      <c r="M40" s="401" t="str">
        <f t="shared" si="4"/>
        <v/>
      </c>
    </row>
    <row r="41" spans="2:13" ht="12.5" x14ac:dyDescent="0.25">
      <c r="B41" s="58"/>
      <c r="C41" s="65"/>
      <c r="D41" s="15"/>
      <c r="E41" s="15"/>
      <c r="F41" s="15"/>
      <c r="G41" s="424"/>
      <c r="H41" s="773" t="str">
        <f t="shared" si="0"/>
        <v/>
      </c>
      <c r="I41" s="116"/>
      <c r="J41" s="61"/>
      <c r="K41" s="62"/>
      <c r="L41" s="420" t="str">
        <f t="shared" si="3"/>
        <v/>
      </c>
      <c r="M41" s="401" t="str">
        <f t="shared" si="4"/>
        <v/>
      </c>
    </row>
    <row r="42" spans="2:13" ht="25" x14ac:dyDescent="0.25">
      <c r="B42" s="58" t="s">
        <v>183</v>
      </c>
      <c r="C42" s="65" t="s">
        <v>185</v>
      </c>
      <c r="D42" s="15"/>
      <c r="E42" s="15"/>
      <c r="F42" s="61"/>
      <c r="G42" s="424"/>
      <c r="H42" s="773" t="str">
        <f t="shared" si="0"/>
        <v/>
      </c>
      <c r="I42" s="117"/>
      <c r="J42" s="61"/>
      <c r="K42" s="399"/>
      <c r="L42" s="420" t="str">
        <f t="shared" si="3"/>
        <v/>
      </c>
      <c r="M42" s="401" t="str">
        <f t="shared" si="4"/>
        <v/>
      </c>
    </row>
    <row r="43" spans="2:13" ht="12.5" x14ac:dyDescent="0.25">
      <c r="B43" s="58"/>
      <c r="C43" s="65"/>
      <c r="D43" s="15"/>
      <c r="E43" s="15"/>
      <c r="F43" s="15"/>
      <c r="G43" s="424"/>
      <c r="H43" s="773" t="str">
        <f t="shared" si="0"/>
        <v/>
      </c>
      <c r="I43" s="116"/>
      <c r="J43" s="61"/>
      <c r="K43" s="62"/>
      <c r="L43" s="420" t="str">
        <f t="shared" si="3"/>
        <v/>
      </c>
      <c r="M43" s="401" t="str">
        <f t="shared" si="4"/>
        <v/>
      </c>
    </row>
    <row r="44" spans="2:13" ht="25" x14ac:dyDescent="0.25">
      <c r="B44" s="58" t="s">
        <v>39</v>
      </c>
      <c r="C44" s="65" t="s">
        <v>186</v>
      </c>
      <c r="D44" s="15" t="s">
        <v>2211</v>
      </c>
      <c r="E44" s="15"/>
      <c r="F44" s="61">
        <v>1000</v>
      </c>
      <c r="G44" s="424"/>
      <c r="H44" s="773">
        <f t="shared" si="0"/>
        <v>0</v>
      </c>
      <c r="I44" s="118"/>
      <c r="J44" s="61"/>
      <c r="K44" s="62"/>
      <c r="L44" s="420" t="str">
        <f t="shared" si="3"/>
        <v/>
      </c>
      <c r="M44" s="401" t="str">
        <f t="shared" si="4"/>
        <v/>
      </c>
    </row>
    <row r="45" spans="2:13" ht="12.5" x14ac:dyDescent="0.25">
      <c r="B45" s="58"/>
      <c r="C45" s="68"/>
      <c r="D45" s="61"/>
      <c r="E45" s="61"/>
      <c r="F45" s="61"/>
      <c r="G45" s="422"/>
      <c r="H45" s="715" t="str">
        <f t="shared" ref="H45:H72" si="6">IF(D45="","",F45*G45)</f>
        <v/>
      </c>
      <c r="I45" s="117"/>
      <c r="J45" s="61"/>
      <c r="K45" s="62"/>
      <c r="L45" s="420" t="str">
        <f t="shared" ref="L45:L72" si="7">IF(J45="","",F45*K45)</f>
        <v/>
      </c>
      <c r="M45" s="401" t="str">
        <f t="shared" ref="M45:M72" si="8">IF(J45="","",IF(SUM(H45)=0,"",L45/H45))</f>
        <v/>
      </c>
    </row>
    <row r="46" spans="2:13" ht="12.5" x14ac:dyDescent="0.25">
      <c r="B46" s="58"/>
      <c r="C46" s="65"/>
      <c r="D46" s="15"/>
      <c r="E46" s="15"/>
      <c r="F46" s="15"/>
      <c r="G46" s="422"/>
      <c r="H46" s="715" t="str">
        <f t="shared" si="6"/>
        <v/>
      </c>
      <c r="I46" s="116"/>
      <c r="J46" s="61"/>
      <c r="K46" s="62"/>
      <c r="L46" s="420" t="str">
        <f t="shared" si="7"/>
        <v/>
      </c>
      <c r="M46" s="401" t="str">
        <f t="shared" si="8"/>
        <v/>
      </c>
    </row>
    <row r="47" spans="2:13" ht="12.5" x14ac:dyDescent="0.25">
      <c r="B47" s="58"/>
      <c r="C47" s="65"/>
      <c r="D47" s="15"/>
      <c r="E47" s="15"/>
      <c r="F47" s="15"/>
      <c r="G47" s="422"/>
      <c r="H47" s="715" t="str">
        <f t="shared" si="6"/>
        <v/>
      </c>
      <c r="I47" s="116"/>
      <c r="J47" s="61"/>
      <c r="K47" s="62"/>
      <c r="L47" s="420" t="str">
        <f t="shared" si="7"/>
        <v/>
      </c>
      <c r="M47" s="401" t="str">
        <f t="shared" si="8"/>
        <v/>
      </c>
    </row>
    <row r="48" spans="2:13" ht="12.5" x14ac:dyDescent="0.25">
      <c r="B48" s="58"/>
      <c r="C48" s="65"/>
      <c r="D48" s="15"/>
      <c r="E48" s="15"/>
      <c r="F48" s="15"/>
      <c r="G48" s="422"/>
      <c r="H48" s="715" t="str">
        <f t="shared" si="6"/>
        <v/>
      </c>
      <c r="I48" s="116"/>
      <c r="J48" s="61"/>
      <c r="K48" s="62"/>
      <c r="L48" s="420" t="str">
        <f t="shared" si="7"/>
        <v/>
      </c>
      <c r="M48" s="401" t="str">
        <f t="shared" si="8"/>
        <v/>
      </c>
    </row>
    <row r="49" spans="2:13" ht="12.5" x14ac:dyDescent="0.25">
      <c r="B49" s="58"/>
      <c r="C49" s="65"/>
      <c r="D49" s="15"/>
      <c r="E49" s="15"/>
      <c r="F49" s="15"/>
      <c r="G49" s="422"/>
      <c r="H49" s="715" t="str">
        <f t="shared" si="6"/>
        <v/>
      </c>
      <c r="I49" s="116"/>
      <c r="J49" s="61"/>
      <c r="K49" s="62"/>
      <c r="L49" s="420" t="str">
        <f t="shared" si="7"/>
        <v/>
      </c>
      <c r="M49" s="401" t="str">
        <f t="shared" si="8"/>
        <v/>
      </c>
    </row>
    <row r="50" spans="2:13" ht="12.5" x14ac:dyDescent="0.25">
      <c r="B50" s="58"/>
      <c r="C50" s="65"/>
      <c r="D50" s="15"/>
      <c r="E50" s="15"/>
      <c r="F50" s="15"/>
      <c r="G50" s="411"/>
      <c r="H50" s="715" t="str">
        <f t="shared" si="6"/>
        <v/>
      </c>
      <c r="I50" s="116"/>
      <c r="J50" s="61"/>
      <c r="K50" s="62"/>
      <c r="L50" s="420" t="str">
        <f t="shared" si="7"/>
        <v/>
      </c>
      <c r="M50" s="401" t="str">
        <f t="shared" si="8"/>
        <v/>
      </c>
    </row>
    <row r="51" spans="2:13" ht="12.5" x14ac:dyDescent="0.25">
      <c r="B51" s="58"/>
      <c r="C51" s="65"/>
      <c r="D51" s="15"/>
      <c r="E51" s="15"/>
      <c r="F51" s="15"/>
      <c r="G51" s="411"/>
      <c r="H51" s="715" t="str">
        <f t="shared" si="6"/>
        <v/>
      </c>
      <c r="I51" s="117"/>
      <c r="J51" s="61"/>
      <c r="K51" s="62"/>
      <c r="L51" s="420" t="str">
        <f t="shared" si="7"/>
        <v/>
      </c>
      <c r="M51" s="401" t="str">
        <f t="shared" si="8"/>
        <v/>
      </c>
    </row>
    <row r="52" spans="2:13" ht="12.5" x14ac:dyDescent="0.25">
      <c r="B52" s="58"/>
      <c r="C52" s="65"/>
      <c r="D52" s="15"/>
      <c r="E52" s="15"/>
      <c r="F52" s="15"/>
      <c r="G52" s="411"/>
      <c r="H52" s="715" t="str">
        <f t="shared" si="6"/>
        <v/>
      </c>
      <c r="I52" s="117"/>
      <c r="J52" s="61"/>
      <c r="K52" s="62"/>
      <c r="L52" s="420" t="str">
        <f t="shared" si="7"/>
        <v/>
      </c>
      <c r="M52" s="401" t="str">
        <f t="shared" si="8"/>
        <v/>
      </c>
    </row>
    <row r="53" spans="2:13" ht="12.5" x14ac:dyDescent="0.25">
      <c r="B53" s="58"/>
      <c r="C53" s="65"/>
      <c r="D53" s="15"/>
      <c r="E53" s="15"/>
      <c r="F53" s="15"/>
      <c r="G53" s="411"/>
      <c r="H53" s="715" t="str">
        <f t="shared" si="6"/>
        <v/>
      </c>
      <c r="I53" s="117"/>
      <c r="J53" s="61"/>
      <c r="K53" s="62"/>
      <c r="L53" s="420" t="str">
        <f t="shared" si="7"/>
        <v/>
      </c>
      <c r="M53" s="401" t="str">
        <f t="shared" si="8"/>
        <v/>
      </c>
    </row>
    <row r="54" spans="2:13" ht="12.5" x14ac:dyDescent="0.25">
      <c r="B54" s="58"/>
      <c r="C54" s="65"/>
      <c r="D54" s="15"/>
      <c r="E54" s="15"/>
      <c r="F54" s="15"/>
      <c r="G54" s="411"/>
      <c r="H54" s="715" t="str">
        <f t="shared" si="6"/>
        <v/>
      </c>
      <c r="I54" s="117"/>
      <c r="J54" s="61"/>
      <c r="K54" s="62"/>
      <c r="L54" s="420" t="str">
        <f t="shared" si="7"/>
        <v/>
      </c>
      <c r="M54" s="401" t="str">
        <f t="shared" si="8"/>
        <v/>
      </c>
    </row>
    <row r="55" spans="2:13" ht="12.5" x14ac:dyDescent="0.25">
      <c r="B55" s="58"/>
      <c r="C55" s="65"/>
      <c r="D55" s="15"/>
      <c r="E55" s="15"/>
      <c r="F55" s="15"/>
      <c r="G55" s="411"/>
      <c r="H55" s="715" t="str">
        <f t="shared" si="6"/>
        <v/>
      </c>
      <c r="I55" s="117"/>
      <c r="J55" s="61"/>
      <c r="K55" s="62"/>
      <c r="L55" s="420" t="str">
        <f t="shared" si="7"/>
        <v/>
      </c>
      <c r="M55" s="401" t="str">
        <f t="shared" si="8"/>
        <v/>
      </c>
    </row>
    <row r="56" spans="2:13" ht="12.5" x14ac:dyDescent="0.25">
      <c r="B56" s="58"/>
      <c r="C56" s="65"/>
      <c r="D56" s="15"/>
      <c r="E56" s="15"/>
      <c r="F56" s="15"/>
      <c r="G56" s="411"/>
      <c r="H56" s="715" t="str">
        <f t="shared" si="6"/>
        <v/>
      </c>
      <c r="I56" s="117"/>
      <c r="J56" s="61"/>
      <c r="K56" s="62"/>
      <c r="L56" s="420" t="str">
        <f t="shared" si="7"/>
        <v/>
      </c>
      <c r="M56" s="401" t="str">
        <f t="shared" si="8"/>
        <v/>
      </c>
    </row>
    <row r="57" spans="2:13" ht="12.5" x14ac:dyDescent="0.25">
      <c r="B57" s="58"/>
      <c r="C57" s="65"/>
      <c r="D57" s="15"/>
      <c r="E57" s="15"/>
      <c r="F57" s="15"/>
      <c r="G57" s="411"/>
      <c r="H57" s="715" t="str">
        <f t="shared" si="6"/>
        <v/>
      </c>
      <c r="I57" s="117"/>
      <c r="J57" s="61"/>
      <c r="K57" s="62"/>
      <c r="L57" s="420" t="str">
        <f t="shared" si="7"/>
        <v/>
      </c>
      <c r="M57" s="401" t="str">
        <f t="shared" si="8"/>
        <v/>
      </c>
    </row>
    <row r="58" spans="2:13" ht="12.5" x14ac:dyDescent="0.25">
      <c r="B58" s="58"/>
      <c r="C58" s="65"/>
      <c r="D58" s="15"/>
      <c r="E58" s="15"/>
      <c r="F58" s="15"/>
      <c r="G58" s="411"/>
      <c r="H58" s="715" t="str">
        <f t="shared" si="6"/>
        <v/>
      </c>
      <c r="I58" s="117"/>
      <c r="J58" s="61"/>
      <c r="K58" s="62"/>
      <c r="L58" s="420" t="str">
        <f t="shared" si="7"/>
        <v/>
      </c>
      <c r="M58" s="401" t="str">
        <f t="shared" si="8"/>
        <v/>
      </c>
    </row>
    <row r="59" spans="2:13" ht="12.5" x14ac:dyDescent="0.25">
      <c r="B59" s="58"/>
      <c r="C59" s="65"/>
      <c r="D59" s="15"/>
      <c r="E59" s="15"/>
      <c r="F59" s="15"/>
      <c r="G59" s="411"/>
      <c r="H59" s="715" t="str">
        <f t="shared" si="6"/>
        <v/>
      </c>
      <c r="I59" s="117"/>
      <c r="J59" s="61"/>
      <c r="K59" s="62"/>
      <c r="L59" s="420" t="str">
        <f t="shared" si="7"/>
        <v/>
      </c>
      <c r="M59" s="401" t="str">
        <f t="shared" si="8"/>
        <v/>
      </c>
    </row>
    <row r="60" spans="2:13" ht="12.5" x14ac:dyDescent="0.25">
      <c r="B60" s="58"/>
      <c r="C60" s="65"/>
      <c r="D60" s="15"/>
      <c r="E60" s="15"/>
      <c r="F60" s="15"/>
      <c r="G60" s="411"/>
      <c r="H60" s="715" t="str">
        <f t="shared" si="6"/>
        <v/>
      </c>
      <c r="I60" s="117"/>
      <c r="J60" s="61"/>
      <c r="K60" s="62"/>
      <c r="L60" s="420" t="str">
        <f t="shared" si="7"/>
        <v/>
      </c>
      <c r="M60" s="401" t="str">
        <f t="shared" si="8"/>
        <v/>
      </c>
    </row>
    <row r="61" spans="2:13" ht="12.5" x14ac:dyDescent="0.25">
      <c r="B61" s="58"/>
      <c r="C61" s="65"/>
      <c r="D61" s="15"/>
      <c r="E61" s="15"/>
      <c r="F61" s="15"/>
      <c r="G61" s="411"/>
      <c r="H61" s="715" t="str">
        <f t="shared" si="6"/>
        <v/>
      </c>
      <c r="I61" s="117"/>
      <c r="J61" s="61"/>
      <c r="K61" s="62"/>
      <c r="L61" s="420" t="str">
        <f t="shared" si="7"/>
        <v/>
      </c>
      <c r="M61" s="401" t="str">
        <f t="shared" si="8"/>
        <v/>
      </c>
    </row>
    <row r="62" spans="2:13" ht="12.5" x14ac:dyDescent="0.25">
      <c r="B62" s="58"/>
      <c r="C62" s="65"/>
      <c r="D62" s="15"/>
      <c r="E62" s="15"/>
      <c r="F62" s="15"/>
      <c r="G62" s="411"/>
      <c r="H62" s="715" t="str">
        <f t="shared" si="6"/>
        <v/>
      </c>
      <c r="I62" s="117"/>
      <c r="J62" s="61"/>
      <c r="K62" s="62"/>
      <c r="L62" s="420" t="str">
        <f t="shared" si="7"/>
        <v/>
      </c>
      <c r="M62" s="401" t="str">
        <f t="shared" si="8"/>
        <v/>
      </c>
    </row>
    <row r="63" spans="2:13" ht="12.5" x14ac:dyDescent="0.25">
      <c r="B63" s="58"/>
      <c r="C63" s="65"/>
      <c r="D63" s="15"/>
      <c r="E63" s="15"/>
      <c r="F63" s="24"/>
      <c r="G63" s="422"/>
      <c r="H63" s="715" t="str">
        <f t="shared" si="6"/>
        <v/>
      </c>
      <c r="I63" s="117"/>
      <c r="J63" s="61"/>
      <c r="K63" s="399"/>
      <c r="L63" s="420" t="str">
        <f t="shared" si="7"/>
        <v/>
      </c>
      <c r="M63" s="401" t="str">
        <f t="shared" si="8"/>
        <v/>
      </c>
    </row>
    <row r="64" spans="2:13" ht="12.5" x14ac:dyDescent="0.25">
      <c r="B64" s="58"/>
      <c r="C64" s="65"/>
      <c r="D64" s="15"/>
      <c r="E64" s="15"/>
      <c r="F64" s="24"/>
      <c r="G64" s="411"/>
      <c r="H64" s="715" t="str">
        <f t="shared" si="6"/>
        <v/>
      </c>
      <c r="I64" s="117"/>
      <c r="J64" s="61"/>
      <c r="K64" s="62"/>
      <c r="L64" s="420" t="str">
        <f t="shared" si="7"/>
        <v/>
      </c>
      <c r="M64" s="401" t="str">
        <f t="shared" si="8"/>
        <v/>
      </c>
    </row>
    <row r="65" spans="2:13" ht="12.5" x14ac:dyDescent="0.25">
      <c r="B65" s="58"/>
      <c r="C65" s="65"/>
      <c r="D65" s="15"/>
      <c r="E65" s="15"/>
      <c r="F65" s="24"/>
      <c r="G65" s="423"/>
      <c r="H65" s="715" t="str">
        <f t="shared" si="6"/>
        <v/>
      </c>
      <c r="I65" s="117"/>
      <c r="J65" s="61"/>
      <c r="K65" s="62"/>
      <c r="L65" s="420" t="str">
        <f t="shared" si="7"/>
        <v/>
      </c>
      <c r="M65" s="401" t="str">
        <f t="shared" si="8"/>
        <v/>
      </c>
    </row>
    <row r="66" spans="2:13" ht="12.5" x14ac:dyDescent="0.25">
      <c r="B66" s="58"/>
      <c r="C66" s="65"/>
      <c r="D66" s="15"/>
      <c r="E66" s="15"/>
      <c r="F66" s="24"/>
      <c r="G66" s="411"/>
      <c r="H66" s="715" t="str">
        <f t="shared" si="6"/>
        <v/>
      </c>
      <c r="I66" s="117"/>
      <c r="J66" s="61"/>
      <c r="K66" s="62"/>
      <c r="L66" s="420" t="str">
        <f t="shared" si="7"/>
        <v/>
      </c>
      <c r="M66" s="401" t="str">
        <f t="shared" si="8"/>
        <v/>
      </c>
    </row>
    <row r="67" spans="2:13" ht="12.5" x14ac:dyDescent="0.25">
      <c r="B67" s="58"/>
      <c r="C67" s="70"/>
      <c r="D67" s="15"/>
      <c r="E67" s="15"/>
      <c r="F67" s="24"/>
      <c r="G67" s="421"/>
      <c r="H67" s="715" t="str">
        <f t="shared" si="6"/>
        <v/>
      </c>
      <c r="I67" s="117"/>
      <c r="J67" s="61"/>
      <c r="K67" s="62"/>
      <c r="L67" s="420" t="str">
        <f t="shared" si="7"/>
        <v/>
      </c>
      <c r="M67" s="401" t="str">
        <f t="shared" si="8"/>
        <v/>
      </c>
    </row>
    <row r="68" spans="2:13" ht="12.5" x14ac:dyDescent="0.25">
      <c r="B68" s="58"/>
      <c r="C68" s="65"/>
      <c r="D68" s="15"/>
      <c r="E68" s="15"/>
      <c r="F68" s="24"/>
      <c r="G68" s="421"/>
      <c r="H68" s="715" t="str">
        <f t="shared" si="6"/>
        <v/>
      </c>
      <c r="I68" s="117"/>
      <c r="J68" s="61"/>
      <c r="K68" s="62"/>
      <c r="L68" s="420" t="str">
        <f t="shared" si="7"/>
        <v/>
      </c>
      <c r="M68" s="401" t="str">
        <f t="shared" si="8"/>
        <v/>
      </c>
    </row>
    <row r="69" spans="2:13" s="98" customFormat="1" ht="12.5" x14ac:dyDescent="0.25">
      <c r="B69" s="58"/>
      <c r="C69" s="65"/>
      <c r="D69" s="15"/>
      <c r="E69" s="15"/>
      <c r="F69" s="24"/>
      <c r="G69" s="423"/>
      <c r="H69" s="715" t="str">
        <f t="shared" si="6"/>
        <v/>
      </c>
      <c r="I69" s="117"/>
      <c r="J69" s="61"/>
      <c r="K69" s="138"/>
      <c r="L69" s="420" t="str">
        <f t="shared" si="7"/>
        <v/>
      </c>
      <c r="M69" s="401" t="str">
        <f t="shared" si="8"/>
        <v/>
      </c>
    </row>
    <row r="70" spans="2:13" s="98" customFormat="1" ht="12.5" x14ac:dyDescent="0.25">
      <c r="B70" s="58"/>
      <c r="C70" s="65"/>
      <c r="D70" s="15"/>
      <c r="E70" s="15"/>
      <c r="F70" s="24"/>
      <c r="G70" s="411"/>
      <c r="H70" s="715" t="str">
        <f t="shared" si="6"/>
        <v/>
      </c>
      <c r="I70" s="117"/>
      <c r="J70" s="104"/>
      <c r="K70" s="721"/>
      <c r="L70" s="420" t="str">
        <f t="shared" si="7"/>
        <v/>
      </c>
      <c r="M70" s="401" t="str">
        <f t="shared" si="8"/>
        <v/>
      </c>
    </row>
    <row r="71" spans="2:13" s="98" customFormat="1" ht="12.5" x14ac:dyDescent="0.25">
      <c r="B71" s="58"/>
      <c r="C71" s="65"/>
      <c r="D71" s="15"/>
      <c r="E71" s="15"/>
      <c r="F71" s="24"/>
      <c r="G71" s="411"/>
      <c r="H71" s="715" t="str">
        <f t="shared" si="6"/>
        <v/>
      </c>
      <c r="I71" s="117"/>
      <c r="J71" s="104"/>
      <c r="K71" s="721"/>
      <c r="L71" s="420" t="str">
        <f t="shared" si="7"/>
        <v/>
      </c>
      <c r="M71" s="401" t="str">
        <f t="shared" si="8"/>
        <v/>
      </c>
    </row>
    <row r="72" spans="2:13" s="98" customFormat="1" ht="12.5" x14ac:dyDescent="0.25">
      <c r="B72" s="58"/>
      <c r="C72" s="65"/>
      <c r="D72" s="15"/>
      <c r="E72" s="15"/>
      <c r="F72" s="24"/>
      <c r="G72" s="411"/>
      <c r="H72" s="715" t="str">
        <f t="shared" si="6"/>
        <v/>
      </c>
      <c r="I72" s="117"/>
      <c r="J72" s="592"/>
      <c r="K72" s="711"/>
      <c r="L72" s="420" t="str">
        <f t="shared" si="7"/>
        <v/>
      </c>
      <c r="M72" s="401" t="str">
        <f t="shared" si="8"/>
        <v/>
      </c>
    </row>
    <row r="73" spans="2:13" s="28" customFormat="1" ht="19.5" customHeight="1" x14ac:dyDescent="0.25">
      <c r="B73" s="135" t="str">
        <f>$B$12</f>
        <v>C11.8</v>
      </c>
      <c r="C73" s="30" t="str">
        <f>"TOTAL CARRIED FORWARD"&amp;IF(H73=H$1," TO SUMMARY (Page C"&amp;Page_A&amp;")","")</f>
        <v>TOTAL CARRIED FORWARD TO SUMMARY (Page C48)</v>
      </c>
      <c r="D73" s="31"/>
      <c r="E73" s="31"/>
      <c r="F73" s="32"/>
      <c r="G73" s="31"/>
      <c r="H73" s="33">
        <f>SUM(H11:H72)</f>
        <v>10000</v>
      </c>
      <c r="I73" s="34"/>
      <c r="J73" s="408"/>
      <c r="K73" s="406"/>
      <c r="L73" s="418">
        <f>SUM(L11:L72)</f>
        <v>0</v>
      </c>
      <c r="M73" s="407" t="str">
        <f t="shared" ref="M73" si="9">IF(J73="","",IF(SUM(H73)=0,"",L73/H73))</f>
        <v/>
      </c>
    </row>
    <row r="74" spans="2:13" s="1" customFormat="1" ht="13" x14ac:dyDescent="0.25">
      <c r="B74" s="1108" t="str">
        <f>Client1</f>
        <v>Province of KwaZulu-Natal</v>
      </c>
      <c r="C74" s="1108"/>
      <c r="D74" s="1108"/>
      <c r="E74" s="87"/>
      <c r="F74" s="1109" t="str">
        <f>"Contract No. "&amp;ContractNo</f>
        <v>Contract No. ZNB 00399/00000/HOD/INF/21/T</v>
      </c>
      <c r="G74" s="1109"/>
      <c r="H74" s="1109"/>
      <c r="I74" s="5"/>
    </row>
    <row r="75" spans="2:13" s="1" customFormat="1" ht="13" x14ac:dyDescent="0.25">
      <c r="B75" s="1108" t="str">
        <f>Client2</f>
        <v>Department of Transport</v>
      </c>
      <c r="C75" s="1108"/>
      <c r="D75" s="1108"/>
      <c r="E75" s="87"/>
      <c r="F75" s="1109"/>
      <c r="G75" s="1109"/>
      <c r="H75" s="1109"/>
      <c r="I75" s="5"/>
    </row>
    <row r="76" spans="2:13" s="1" customFormat="1" ht="12.5" x14ac:dyDescent="0.25">
      <c r="B76" s="1111"/>
      <c r="C76" s="1111"/>
      <c r="D76" s="1111"/>
      <c r="E76" s="78"/>
      <c r="F76" s="1110"/>
      <c r="G76" s="1110"/>
      <c r="H76" s="1110"/>
      <c r="I76" s="5"/>
    </row>
    <row r="77" spans="2:13" s="1" customFormat="1" ht="13" x14ac:dyDescent="0.25">
      <c r="B77" s="1112" t="s">
        <v>8</v>
      </c>
      <c r="C77" s="1113"/>
      <c r="D77" s="1113"/>
      <c r="E77" s="1113"/>
      <c r="F77" s="1113"/>
      <c r="G77" s="1113"/>
      <c r="H77" s="1125" t="str">
        <f>$H$6</f>
        <v>CHAPTER C11.8</v>
      </c>
      <c r="I77" s="6"/>
    </row>
    <row r="78" spans="2:13" s="1" customFormat="1" ht="13" x14ac:dyDescent="0.25">
      <c r="B78" s="1117" t="str">
        <f>ContractDescription</f>
        <v>THE CONSTRUCTION OF EARTHWORKS, LAYERWORKS, SURFACING, CULVERTS AND CWAKA RIVER BRIDGE FROM KM 11.600 TO KM 14.000 ON MAIN ROAD P494 IN THE KING CETSHWAYO DISTRICT UNDER EMPANGENI REGION</v>
      </c>
      <c r="C78" s="1118"/>
      <c r="D78" s="1118"/>
      <c r="E78" s="1118"/>
      <c r="F78" s="1118"/>
      <c r="G78" s="1118"/>
      <c r="H78" s="1126"/>
      <c r="I78" s="8"/>
    </row>
    <row r="79" spans="2:13" s="1" customFormat="1" ht="13" x14ac:dyDescent="0.25">
      <c r="B79" s="1117"/>
      <c r="C79" s="1118"/>
      <c r="D79" s="1118"/>
      <c r="E79" s="1118"/>
      <c r="F79" s="1118"/>
      <c r="G79" s="1118"/>
      <c r="H79" s="1126"/>
      <c r="I79" s="8"/>
    </row>
    <row r="80" spans="2:13" s="1" customFormat="1" ht="13" x14ac:dyDescent="0.25">
      <c r="B80" s="1119"/>
      <c r="C80" s="1120"/>
      <c r="D80" s="1120"/>
      <c r="E80" s="1120"/>
      <c r="F80" s="1120"/>
      <c r="G80" s="1120"/>
      <c r="H80" s="1127"/>
      <c r="I80" s="8"/>
    </row>
    <row r="81" spans="2:13" s="9" customFormat="1" ht="25" customHeight="1" x14ac:dyDescent="0.25">
      <c r="B81" s="74" t="s">
        <v>0</v>
      </c>
      <c r="C81" s="11" t="s">
        <v>1</v>
      </c>
      <c r="D81" s="11" t="s">
        <v>2</v>
      </c>
      <c r="E81" s="11"/>
      <c r="F81" s="11" t="s">
        <v>3</v>
      </c>
      <c r="G81" s="11" t="s">
        <v>4</v>
      </c>
      <c r="H81" s="11" t="s">
        <v>5</v>
      </c>
      <c r="I81" s="12"/>
      <c r="J81" s="408" t="s">
        <v>996</v>
      </c>
      <c r="K81" s="253" t="s">
        <v>997</v>
      </c>
      <c r="L81" s="253" t="s">
        <v>998</v>
      </c>
      <c r="M81" s="253" t="s">
        <v>999</v>
      </c>
    </row>
    <row r="82" spans="2:13" s="28" customFormat="1" ht="19.5" customHeight="1" x14ac:dyDescent="0.25">
      <c r="B82" s="80"/>
      <c r="C82" s="30" t="s">
        <v>27</v>
      </c>
      <c r="D82" s="31"/>
      <c r="E82" s="31"/>
      <c r="F82" s="32"/>
      <c r="G82" s="31"/>
      <c r="H82" s="33">
        <f>H73</f>
        <v>10000</v>
      </c>
      <c r="I82" s="34"/>
      <c r="J82" s="416"/>
      <c r="K82" s="409"/>
      <c r="L82" s="419">
        <f>L73</f>
        <v>0</v>
      </c>
      <c r="M82" s="410" t="str">
        <f t="shared" ref="M82:M83" si="10">IF(J82="","",IF(SUM(H82)=0,"",L82/H82))</f>
        <v/>
      </c>
    </row>
    <row r="83" spans="2:13" s="98" customFormat="1" ht="12.5" x14ac:dyDescent="0.25">
      <c r="B83" s="115"/>
      <c r="C83" s="106"/>
      <c r="D83" s="105"/>
      <c r="E83" s="105"/>
      <c r="F83" s="103"/>
      <c r="G83" s="569"/>
      <c r="H83" s="112"/>
      <c r="I83" s="117"/>
      <c r="J83" s="61"/>
      <c r="K83" s="399"/>
      <c r="L83" s="420" t="str">
        <f t="shared" ref="L83" si="11">IF(J83="","",F83*K83)</f>
        <v/>
      </c>
      <c r="M83" s="401" t="str">
        <f t="shared" si="10"/>
        <v/>
      </c>
    </row>
    <row r="84" spans="2:13" s="98" customFormat="1" ht="12.5" x14ac:dyDescent="0.25">
      <c r="B84" s="115"/>
      <c r="C84" s="106"/>
      <c r="D84" s="105"/>
      <c r="E84" s="105"/>
      <c r="F84" s="103"/>
      <c r="G84" s="420"/>
      <c r="H84" s="112"/>
      <c r="I84" s="117"/>
      <c r="J84" s="61"/>
      <c r="K84" s="399"/>
      <c r="L84" s="420" t="str">
        <f t="shared" ref="L84:L143" si="12">IF(J84="","",F84*K84)</f>
        <v/>
      </c>
      <c r="M84" s="401" t="str">
        <f t="shared" ref="M84:M143" si="13">IF(J84="","",IF(SUM(H84)=0,"",L84/H84))</f>
        <v/>
      </c>
    </row>
    <row r="85" spans="2:13" s="98" customFormat="1" ht="12.5" x14ac:dyDescent="0.25">
      <c r="B85" s="115"/>
      <c r="C85" s="106"/>
      <c r="D85" s="105"/>
      <c r="E85" s="105"/>
      <c r="F85" s="103"/>
      <c r="G85" s="569"/>
      <c r="H85" s="112"/>
      <c r="I85" s="117"/>
      <c r="J85" s="61"/>
      <c r="K85" s="399"/>
      <c r="L85" s="420" t="str">
        <f t="shared" si="12"/>
        <v/>
      </c>
      <c r="M85" s="401" t="str">
        <f t="shared" si="13"/>
        <v/>
      </c>
    </row>
    <row r="86" spans="2:13" s="98" customFormat="1" ht="12.5" x14ac:dyDescent="0.25">
      <c r="B86" s="115"/>
      <c r="C86" s="106"/>
      <c r="D86" s="105"/>
      <c r="E86" s="105"/>
      <c r="F86" s="103"/>
      <c r="G86" s="571"/>
      <c r="H86" s="112"/>
      <c r="I86" s="117"/>
      <c r="J86" s="61"/>
      <c r="K86" s="399"/>
      <c r="L86" s="420" t="str">
        <f t="shared" si="12"/>
        <v/>
      </c>
      <c r="M86" s="401" t="str">
        <f t="shared" si="13"/>
        <v/>
      </c>
    </row>
    <row r="87" spans="2:13" s="98" customFormat="1" ht="12.5" x14ac:dyDescent="0.25">
      <c r="B87" s="115"/>
      <c r="C87" s="106"/>
      <c r="D87" s="105"/>
      <c r="E87" s="105"/>
      <c r="F87" s="105"/>
      <c r="G87" s="569"/>
      <c r="H87" s="112"/>
      <c r="I87" s="117"/>
      <c r="J87" s="61"/>
      <c r="K87" s="400"/>
      <c r="L87" s="420" t="str">
        <f t="shared" si="12"/>
        <v/>
      </c>
      <c r="M87" s="401" t="str">
        <f t="shared" si="13"/>
        <v/>
      </c>
    </row>
    <row r="88" spans="2:13" s="98" customFormat="1" ht="12.5" x14ac:dyDescent="0.25">
      <c r="B88" s="115"/>
      <c r="C88" s="113"/>
      <c r="D88" s="104"/>
      <c r="E88" s="104"/>
      <c r="F88" s="105"/>
      <c r="G88" s="420"/>
      <c r="H88" s="112"/>
      <c r="I88" s="117"/>
      <c r="J88" s="61"/>
      <c r="K88" s="399"/>
      <c r="L88" s="420" t="str">
        <f t="shared" si="12"/>
        <v/>
      </c>
      <c r="M88" s="401" t="str">
        <f t="shared" si="13"/>
        <v/>
      </c>
    </row>
    <row r="89" spans="2:13" s="98" customFormat="1" ht="12.5" x14ac:dyDescent="0.25">
      <c r="B89" s="115"/>
      <c r="C89" s="113"/>
      <c r="D89" s="104"/>
      <c r="E89" s="104"/>
      <c r="F89" s="105"/>
      <c r="G89" s="420"/>
      <c r="H89" s="112"/>
      <c r="I89" s="117"/>
      <c r="J89" s="61"/>
      <c r="K89" s="399"/>
      <c r="L89" s="420" t="str">
        <f t="shared" si="12"/>
        <v/>
      </c>
      <c r="M89" s="401" t="str">
        <f t="shared" si="13"/>
        <v/>
      </c>
    </row>
    <row r="90" spans="2:13" s="98" customFormat="1" ht="12.5" x14ac:dyDescent="0.25">
      <c r="B90" s="115"/>
      <c r="C90" s="106"/>
      <c r="D90" s="105"/>
      <c r="E90" s="105"/>
      <c r="F90" s="105"/>
      <c r="G90" s="420"/>
      <c r="H90" s="112"/>
      <c r="I90" s="117"/>
      <c r="J90" s="61"/>
      <c r="K90" s="399"/>
      <c r="L90" s="420" t="str">
        <f t="shared" si="12"/>
        <v/>
      </c>
      <c r="M90" s="401" t="str">
        <f t="shared" si="13"/>
        <v/>
      </c>
    </row>
    <row r="91" spans="2:13" s="98" customFormat="1" ht="12.5" x14ac:dyDescent="0.25">
      <c r="B91" s="115"/>
      <c r="C91" s="106"/>
      <c r="D91" s="105"/>
      <c r="E91" s="105"/>
      <c r="F91" s="105"/>
      <c r="G91" s="420"/>
      <c r="H91" s="112"/>
      <c r="I91" s="117"/>
      <c r="J91" s="61"/>
      <c r="K91" s="577"/>
      <c r="L91" s="420" t="str">
        <f t="shared" si="12"/>
        <v/>
      </c>
      <c r="M91" s="401" t="str">
        <f t="shared" si="13"/>
        <v/>
      </c>
    </row>
    <row r="92" spans="2:13" s="98" customFormat="1" ht="12.5" x14ac:dyDescent="0.25">
      <c r="B92" s="115"/>
      <c r="C92" s="106"/>
      <c r="D92" s="105"/>
      <c r="E92" s="105"/>
      <c r="F92" s="105"/>
      <c r="G92" s="573"/>
      <c r="H92" s="112"/>
      <c r="I92" s="117"/>
      <c r="J92" s="61"/>
      <c r="K92" s="402"/>
      <c r="L92" s="420" t="str">
        <f t="shared" si="12"/>
        <v/>
      </c>
      <c r="M92" s="401" t="str">
        <f t="shared" si="13"/>
        <v/>
      </c>
    </row>
    <row r="93" spans="2:13" s="98" customFormat="1" ht="12.5" x14ac:dyDescent="0.25">
      <c r="B93" s="115"/>
      <c r="C93" s="106"/>
      <c r="D93" s="105"/>
      <c r="E93" s="105"/>
      <c r="F93" s="105"/>
      <c r="G93" s="420"/>
      <c r="H93" s="112"/>
      <c r="I93" s="117"/>
      <c r="J93" s="61"/>
      <c r="K93" s="402"/>
      <c r="L93" s="420" t="str">
        <f t="shared" si="12"/>
        <v/>
      </c>
      <c r="M93" s="401" t="str">
        <f t="shared" si="13"/>
        <v/>
      </c>
    </row>
    <row r="94" spans="2:13" s="98" customFormat="1" ht="12.5" x14ac:dyDescent="0.25">
      <c r="B94" s="115"/>
      <c r="C94" s="109"/>
      <c r="D94" s="104"/>
      <c r="E94" s="104"/>
      <c r="F94" s="105"/>
      <c r="G94" s="420"/>
      <c r="H94" s="112"/>
      <c r="I94" s="117"/>
      <c r="J94" s="61"/>
      <c r="K94" s="402"/>
      <c r="L94" s="420" t="str">
        <f t="shared" si="12"/>
        <v/>
      </c>
      <c r="M94" s="401" t="str">
        <f t="shared" si="13"/>
        <v/>
      </c>
    </row>
    <row r="95" spans="2:13" s="98" customFormat="1" ht="12.5" x14ac:dyDescent="0.25">
      <c r="B95" s="115"/>
      <c r="C95" s="113"/>
      <c r="D95" s="104"/>
      <c r="E95" s="104"/>
      <c r="F95" s="105"/>
      <c r="G95" s="420"/>
      <c r="H95" s="112"/>
      <c r="I95" s="117"/>
      <c r="J95" s="61"/>
      <c r="K95" s="402"/>
      <c r="L95" s="420" t="str">
        <f t="shared" si="12"/>
        <v/>
      </c>
      <c r="M95" s="401" t="str">
        <f t="shared" si="13"/>
        <v/>
      </c>
    </row>
    <row r="96" spans="2:13" s="98" customFormat="1" ht="12.5" x14ac:dyDescent="0.25">
      <c r="B96" s="115"/>
      <c r="C96" s="106"/>
      <c r="D96" s="105"/>
      <c r="E96" s="105"/>
      <c r="F96" s="104"/>
      <c r="G96" s="420"/>
      <c r="H96" s="112"/>
      <c r="I96" s="117"/>
      <c r="J96" s="61"/>
      <c r="K96" s="402"/>
      <c r="L96" s="420" t="str">
        <f t="shared" si="12"/>
        <v/>
      </c>
      <c r="M96" s="401" t="str">
        <f t="shared" si="13"/>
        <v/>
      </c>
    </row>
    <row r="97" spans="2:13" s="98" customFormat="1" ht="12.5" x14ac:dyDescent="0.25">
      <c r="B97" s="115"/>
      <c r="C97" s="106"/>
      <c r="D97" s="105"/>
      <c r="E97" s="105"/>
      <c r="F97" s="105"/>
      <c r="G97" s="420"/>
      <c r="H97" s="112"/>
      <c r="I97" s="117"/>
      <c r="J97" s="62"/>
      <c r="K97" s="62"/>
      <c r="L97" s="420" t="str">
        <f t="shared" si="12"/>
        <v/>
      </c>
      <c r="M97" s="401" t="str">
        <f t="shared" si="13"/>
        <v/>
      </c>
    </row>
    <row r="98" spans="2:13" s="98" customFormat="1" ht="12.5" x14ac:dyDescent="0.25">
      <c r="B98" s="115"/>
      <c r="C98" s="106"/>
      <c r="D98" s="105"/>
      <c r="E98" s="105"/>
      <c r="F98" s="104"/>
      <c r="G98" s="420"/>
      <c r="H98" s="112"/>
      <c r="I98" s="117"/>
      <c r="J98" s="62"/>
      <c r="K98" s="62"/>
      <c r="L98" s="420" t="str">
        <f t="shared" si="12"/>
        <v/>
      </c>
      <c r="M98" s="401" t="str">
        <f t="shared" si="13"/>
        <v/>
      </c>
    </row>
    <row r="99" spans="2:13" s="98" customFormat="1" ht="12.5" x14ac:dyDescent="0.25">
      <c r="B99" s="115"/>
      <c r="C99" s="113"/>
      <c r="D99" s="104"/>
      <c r="E99" s="104"/>
      <c r="F99" s="104"/>
      <c r="G99" s="420"/>
      <c r="H99" s="112"/>
      <c r="I99" s="117"/>
      <c r="J99" s="62"/>
      <c r="K99" s="62"/>
      <c r="L99" s="420" t="str">
        <f t="shared" si="12"/>
        <v/>
      </c>
      <c r="M99" s="401" t="str">
        <f t="shared" si="13"/>
        <v/>
      </c>
    </row>
    <row r="100" spans="2:13" s="98" customFormat="1" ht="12.5" x14ac:dyDescent="0.25">
      <c r="B100" s="115"/>
      <c r="C100" s="109"/>
      <c r="D100" s="104"/>
      <c r="E100" s="104"/>
      <c r="F100" s="105"/>
      <c r="G100" s="420"/>
      <c r="H100" s="112"/>
      <c r="I100" s="117"/>
      <c r="J100" s="62"/>
      <c r="K100" s="62"/>
      <c r="L100" s="420" t="str">
        <f t="shared" si="12"/>
        <v/>
      </c>
      <c r="M100" s="401" t="str">
        <f t="shared" si="13"/>
        <v/>
      </c>
    </row>
    <row r="101" spans="2:13" s="98" customFormat="1" ht="12.5" x14ac:dyDescent="0.25">
      <c r="B101" s="115"/>
      <c r="C101" s="113"/>
      <c r="D101" s="104"/>
      <c r="E101" s="104"/>
      <c r="F101" s="105"/>
      <c r="G101" s="420"/>
      <c r="H101" s="112"/>
      <c r="I101" s="117"/>
      <c r="J101" s="62"/>
      <c r="K101" s="62"/>
      <c r="L101" s="420" t="str">
        <f t="shared" si="12"/>
        <v/>
      </c>
      <c r="M101" s="401" t="str">
        <f t="shared" si="13"/>
        <v/>
      </c>
    </row>
    <row r="102" spans="2:13" s="98" customFormat="1" ht="12.5" x14ac:dyDescent="0.25">
      <c r="B102" s="115"/>
      <c r="C102" s="106"/>
      <c r="D102" s="105"/>
      <c r="E102" s="105"/>
      <c r="F102" s="105"/>
      <c r="G102" s="420"/>
      <c r="H102" s="112"/>
      <c r="I102" s="117"/>
      <c r="J102" s="62"/>
      <c r="K102" s="62"/>
      <c r="L102" s="420" t="str">
        <f t="shared" si="12"/>
        <v/>
      </c>
      <c r="M102" s="401" t="str">
        <f t="shared" si="13"/>
        <v/>
      </c>
    </row>
    <row r="103" spans="2:13" s="98" customFormat="1" ht="12.5" x14ac:dyDescent="0.25">
      <c r="B103" s="115"/>
      <c r="C103" s="106"/>
      <c r="D103" s="105"/>
      <c r="E103" s="105"/>
      <c r="F103" s="105"/>
      <c r="G103" s="420"/>
      <c r="H103" s="112"/>
      <c r="I103" s="117"/>
      <c r="J103" s="62"/>
      <c r="K103" s="62"/>
      <c r="L103" s="420" t="str">
        <f t="shared" si="12"/>
        <v/>
      </c>
      <c r="M103" s="401" t="str">
        <f t="shared" si="13"/>
        <v/>
      </c>
    </row>
    <row r="104" spans="2:13" s="98" customFormat="1" ht="12.5" x14ac:dyDescent="0.25">
      <c r="B104" s="115"/>
      <c r="C104" s="106"/>
      <c r="D104" s="105"/>
      <c r="E104" s="105"/>
      <c r="F104" s="105"/>
      <c r="G104" s="569"/>
      <c r="H104" s="112"/>
      <c r="I104" s="117"/>
      <c r="J104" s="62"/>
      <c r="K104" s="62"/>
      <c r="L104" s="420" t="str">
        <f t="shared" si="12"/>
        <v/>
      </c>
      <c r="M104" s="401" t="str">
        <f t="shared" si="13"/>
        <v/>
      </c>
    </row>
    <row r="105" spans="2:13" s="98" customFormat="1" ht="12.5" x14ac:dyDescent="0.25">
      <c r="B105" s="115"/>
      <c r="C105" s="106"/>
      <c r="D105" s="105"/>
      <c r="E105" s="105"/>
      <c r="F105" s="105"/>
      <c r="G105" s="569"/>
      <c r="H105" s="112"/>
      <c r="I105" s="117"/>
      <c r="J105" s="62"/>
      <c r="K105" s="62"/>
      <c r="L105" s="420" t="str">
        <f t="shared" si="12"/>
        <v/>
      </c>
      <c r="M105" s="401" t="str">
        <f t="shared" si="13"/>
        <v/>
      </c>
    </row>
    <row r="106" spans="2:13" s="98" customFormat="1" ht="12.5" x14ac:dyDescent="0.25">
      <c r="B106" s="115"/>
      <c r="C106" s="109"/>
      <c r="D106" s="105"/>
      <c r="E106" s="105"/>
      <c r="F106" s="105"/>
      <c r="G106" s="569"/>
      <c r="H106" s="112"/>
      <c r="I106" s="117"/>
      <c r="J106" s="62"/>
      <c r="K106" s="62"/>
      <c r="L106" s="420" t="str">
        <f t="shared" si="12"/>
        <v/>
      </c>
      <c r="M106" s="401" t="str">
        <f t="shared" si="13"/>
        <v/>
      </c>
    </row>
    <row r="107" spans="2:13" s="98" customFormat="1" ht="12.5" x14ac:dyDescent="0.25">
      <c r="B107" s="115"/>
      <c r="C107" s="106"/>
      <c r="D107" s="105"/>
      <c r="E107" s="105"/>
      <c r="F107" s="105"/>
      <c r="G107" s="569"/>
      <c r="H107" s="112"/>
      <c r="I107" s="117"/>
      <c r="J107" s="62"/>
      <c r="K107" s="62"/>
      <c r="L107" s="420" t="str">
        <f t="shared" si="12"/>
        <v/>
      </c>
      <c r="M107" s="401" t="str">
        <f t="shared" si="13"/>
        <v/>
      </c>
    </row>
    <row r="108" spans="2:13" s="98" customFormat="1" ht="12.5" x14ac:dyDescent="0.25">
      <c r="B108" s="115"/>
      <c r="C108" s="106"/>
      <c r="D108" s="105"/>
      <c r="E108" s="105"/>
      <c r="F108" s="105"/>
      <c r="G108" s="569"/>
      <c r="H108" s="112"/>
      <c r="I108" s="117"/>
      <c r="J108" s="62"/>
      <c r="K108" s="62"/>
      <c r="L108" s="420" t="str">
        <f t="shared" si="12"/>
        <v/>
      </c>
      <c r="M108" s="401" t="str">
        <f t="shared" si="13"/>
        <v/>
      </c>
    </row>
    <row r="109" spans="2:13" s="98" customFormat="1" ht="12.5" x14ac:dyDescent="0.25">
      <c r="B109" s="115"/>
      <c r="C109" s="106"/>
      <c r="D109" s="105"/>
      <c r="E109" s="105"/>
      <c r="F109" s="105"/>
      <c r="G109" s="569"/>
      <c r="H109" s="112"/>
      <c r="I109" s="117"/>
      <c r="J109" s="62"/>
      <c r="K109" s="62"/>
      <c r="L109" s="420" t="str">
        <f t="shared" si="12"/>
        <v/>
      </c>
      <c r="M109" s="401" t="str">
        <f t="shared" si="13"/>
        <v/>
      </c>
    </row>
    <row r="110" spans="2:13" s="98" customFormat="1" ht="12.5" x14ac:dyDescent="0.25">
      <c r="B110" s="115"/>
      <c r="C110" s="106"/>
      <c r="D110" s="105"/>
      <c r="E110" s="105"/>
      <c r="F110" s="103"/>
      <c r="G110" s="722"/>
      <c r="H110" s="112"/>
      <c r="I110" s="117"/>
      <c r="J110" s="62"/>
      <c r="K110" s="62"/>
      <c r="L110" s="420" t="str">
        <f t="shared" si="12"/>
        <v/>
      </c>
      <c r="M110" s="401" t="str">
        <f t="shared" si="13"/>
        <v/>
      </c>
    </row>
    <row r="111" spans="2:13" s="98" customFormat="1" ht="12.5" x14ac:dyDescent="0.25">
      <c r="B111" s="115"/>
      <c r="C111" s="106"/>
      <c r="D111" s="105"/>
      <c r="E111" s="105"/>
      <c r="F111" s="103"/>
      <c r="G111" s="722"/>
      <c r="H111" s="112"/>
      <c r="I111" s="117"/>
      <c r="J111" s="62"/>
      <c r="K111" s="399"/>
      <c r="L111" s="420" t="str">
        <f t="shared" si="12"/>
        <v/>
      </c>
      <c r="M111" s="401" t="str">
        <f t="shared" si="13"/>
        <v/>
      </c>
    </row>
    <row r="112" spans="2:13" s="98" customFormat="1" ht="12.5" x14ac:dyDescent="0.25">
      <c r="B112" s="597"/>
      <c r="C112" s="566"/>
      <c r="D112" s="587"/>
      <c r="E112" s="587"/>
      <c r="F112" s="103"/>
      <c r="G112" s="722"/>
      <c r="H112" s="112"/>
      <c r="I112" s="117"/>
      <c r="J112" s="62"/>
      <c r="K112" s="399"/>
      <c r="L112" s="420" t="str">
        <f t="shared" si="12"/>
        <v/>
      </c>
      <c r="M112" s="401" t="str">
        <f t="shared" si="13"/>
        <v/>
      </c>
    </row>
    <row r="113" spans="2:13" s="98" customFormat="1" ht="12.5" x14ac:dyDescent="0.25">
      <c r="B113" s="575"/>
      <c r="C113" s="583"/>
      <c r="D113" s="587"/>
      <c r="E113" s="587"/>
      <c r="F113" s="103"/>
      <c r="G113" s="722"/>
      <c r="H113" s="112"/>
      <c r="I113" s="117"/>
      <c r="J113" s="62"/>
      <c r="K113" s="402"/>
      <c r="L113" s="420" t="str">
        <f t="shared" si="12"/>
        <v/>
      </c>
      <c r="M113" s="401" t="str">
        <f t="shared" si="13"/>
        <v/>
      </c>
    </row>
    <row r="114" spans="2:13" s="98" customFormat="1" ht="12.5" x14ac:dyDescent="0.25">
      <c r="B114" s="598"/>
      <c r="C114" s="599"/>
      <c r="D114" s="587"/>
      <c r="E114" s="587"/>
      <c r="F114" s="103"/>
      <c r="G114" s="722"/>
      <c r="H114" s="112"/>
      <c r="I114" s="117"/>
      <c r="J114" s="62"/>
      <c r="K114" s="62"/>
      <c r="L114" s="420" t="str">
        <f t="shared" si="12"/>
        <v/>
      </c>
      <c r="M114" s="401" t="str">
        <f t="shared" si="13"/>
        <v/>
      </c>
    </row>
    <row r="115" spans="2:13" s="98" customFormat="1" ht="12.5" x14ac:dyDescent="0.25">
      <c r="B115" s="575"/>
      <c r="C115" s="583"/>
      <c r="D115" s="587"/>
      <c r="E115" s="587"/>
      <c r="F115" s="103"/>
      <c r="G115" s="722"/>
      <c r="H115" s="112"/>
      <c r="I115" s="117"/>
      <c r="J115" s="62"/>
      <c r="K115" s="62"/>
      <c r="L115" s="420" t="str">
        <f t="shared" si="12"/>
        <v/>
      </c>
      <c r="M115" s="401" t="str">
        <f t="shared" si="13"/>
        <v/>
      </c>
    </row>
    <row r="116" spans="2:13" s="98" customFormat="1" ht="12.5" x14ac:dyDescent="0.25">
      <c r="B116" s="598"/>
      <c r="C116" s="599"/>
      <c r="D116" s="587"/>
      <c r="E116" s="587"/>
      <c r="F116" s="103"/>
      <c r="G116" s="723"/>
      <c r="H116" s="112"/>
      <c r="I116" s="117"/>
      <c r="J116" s="62"/>
      <c r="K116" s="62"/>
      <c r="L116" s="420" t="str">
        <f t="shared" si="12"/>
        <v/>
      </c>
      <c r="M116" s="401" t="str">
        <f t="shared" si="13"/>
        <v/>
      </c>
    </row>
    <row r="117" spans="2:13" s="98" customFormat="1" ht="12.5" x14ac:dyDescent="0.25">
      <c r="B117" s="575"/>
      <c r="C117" s="595"/>
      <c r="D117" s="587"/>
      <c r="E117" s="587"/>
      <c r="F117" s="103"/>
      <c r="G117" s="722"/>
      <c r="H117" s="112"/>
      <c r="I117" s="117"/>
      <c r="J117" s="62"/>
      <c r="K117" s="62"/>
      <c r="L117" s="420" t="str">
        <f t="shared" si="12"/>
        <v/>
      </c>
      <c r="M117" s="401" t="str">
        <f t="shared" si="13"/>
        <v/>
      </c>
    </row>
    <row r="118" spans="2:13" s="98" customFormat="1" ht="12.5" x14ac:dyDescent="0.25">
      <c r="B118" s="594"/>
      <c r="C118" s="599"/>
      <c r="D118" s="587"/>
      <c r="E118" s="587"/>
      <c r="F118" s="103"/>
      <c r="G118" s="722"/>
      <c r="H118" s="112"/>
      <c r="I118" s="117"/>
      <c r="J118" s="62"/>
      <c r="K118" s="62"/>
      <c r="L118" s="420" t="str">
        <f t="shared" si="12"/>
        <v/>
      </c>
      <c r="M118" s="401" t="str">
        <f t="shared" si="13"/>
        <v/>
      </c>
    </row>
    <row r="119" spans="2:13" s="98" customFormat="1" ht="12.5" x14ac:dyDescent="0.25">
      <c r="B119" s="594"/>
      <c r="C119" s="583"/>
      <c r="D119" s="587"/>
      <c r="E119" s="587"/>
      <c r="F119" s="103"/>
      <c r="G119" s="722"/>
      <c r="H119" s="112"/>
      <c r="I119" s="117"/>
      <c r="J119" s="62"/>
      <c r="K119" s="62"/>
      <c r="L119" s="420" t="str">
        <f t="shared" si="12"/>
        <v/>
      </c>
      <c r="M119" s="401" t="str">
        <f t="shared" si="13"/>
        <v/>
      </c>
    </row>
    <row r="120" spans="2:13" s="98" customFormat="1" ht="12.5" x14ac:dyDescent="0.25">
      <c r="B120" s="115"/>
      <c r="C120" s="106"/>
      <c r="D120" s="105"/>
      <c r="E120" s="105"/>
      <c r="F120" s="103"/>
      <c r="G120" s="722"/>
      <c r="H120" s="112"/>
      <c r="I120" s="117"/>
      <c r="J120" s="62"/>
      <c r="K120" s="62"/>
      <c r="L120" s="420" t="str">
        <f t="shared" si="12"/>
        <v/>
      </c>
      <c r="M120" s="401" t="str">
        <f t="shared" si="13"/>
        <v/>
      </c>
    </row>
    <row r="121" spans="2:13" s="98" customFormat="1" ht="12.5" x14ac:dyDescent="0.25">
      <c r="B121" s="115"/>
      <c r="C121" s="106"/>
      <c r="D121" s="105"/>
      <c r="E121" s="105"/>
      <c r="F121" s="103"/>
      <c r="G121" s="722"/>
      <c r="H121" s="112"/>
      <c r="I121" s="117"/>
      <c r="J121" s="62"/>
      <c r="K121" s="62"/>
      <c r="L121" s="420" t="str">
        <f t="shared" si="12"/>
        <v/>
      </c>
      <c r="M121" s="401" t="str">
        <f t="shared" si="13"/>
        <v/>
      </c>
    </row>
    <row r="122" spans="2:13" s="98" customFormat="1" ht="12.5" x14ac:dyDescent="0.25">
      <c r="B122" s="115"/>
      <c r="C122" s="106"/>
      <c r="D122" s="105"/>
      <c r="E122" s="105"/>
      <c r="F122" s="103"/>
      <c r="G122" s="722"/>
      <c r="H122" s="112"/>
      <c r="I122" s="117"/>
      <c r="J122" s="62"/>
      <c r="K122" s="62"/>
      <c r="L122" s="420" t="str">
        <f t="shared" si="12"/>
        <v/>
      </c>
      <c r="M122" s="401" t="str">
        <f t="shared" si="13"/>
        <v/>
      </c>
    </row>
    <row r="123" spans="2:13" s="98" customFormat="1" ht="12.5" x14ac:dyDescent="0.25">
      <c r="B123" s="115"/>
      <c r="C123" s="106"/>
      <c r="D123" s="105"/>
      <c r="E123" s="105"/>
      <c r="F123" s="103"/>
      <c r="G123" s="722"/>
      <c r="H123" s="112"/>
      <c r="I123" s="117"/>
      <c r="J123" s="62"/>
      <c r="K123" s="62"/>
      <c r="L123" s="420" t="str">
        <f t="shared" si="12"/>
        <v/>
      </c>
      <c r="M123" s="401" t="str">
        <f t="shared" si="13"/>
        <v/>
      </c>
    </row>
    <row r="124" spans="2:13" s="98" customFormat="1" ht="12.5" x14ac:dyDescent="0.25">
      <c r="B124" s="115"/>
      <c r="C124" s="106"/>
      <c r="D124" s="105"/>
      <c r="E124" s="105"/>
      <c r="F124" s="103"/>
      <c r="G124" s="722"/>
      <c r="H124" s="112"/>
      <c r="I124" s="117"/>
      <c r="J124" s="62"/>
      <c r="K124" s="62"/>
      <c r="L124" s="420" t="str">
        <f t="shared" si="12"/>
        <v/>
      </c>
      <c r="M124" s="401" t="str">
        <f t="shared" si="13"/>
        <v/>
      </c>
    </row>
    <row r="125" spans="2:13" s="98" customFormat="1" ht="12.5" x14ac:dyDescent="0.25">
      <c r="B125" s="115"/>
      <c r="C125" s="106"/>
      <c r="D125" s="105"/>
      <c r="E125" s="105"/>
      <c r="F125" s="103"/>
      <c r="G125" s="722"/>
      <c r="H125" s="112"/>
      <c r="I125" s="117"/>
      <c r="J125" s="62"/>
      <c r="K125" s="62"/>
      <c r="L125" s="420" t="str">
        <f t="shared" si="12"/>
        <v/>
      </c>
      <c r="M125" s="401" t="str">
        <f t="shared" si="13"/>
        <v/>
      </c>
    </row>
    <row r="126" spans="2:13" s="98" customFormat="1" ht="12.5" x14ac:dyDescent="0.25">
      <c r="B126" s="115"/>
      <c r="C126" s="106"/>
      <c r="D126" s="105"/>
      <c r="E126" s="105"/>
      <c r="F126" s="103"/>
      <c r="G126" s="722"/>
      <c r="H126" s="112"/>
      <c r="I126" s="117"/>
      <c r="J126" s="62"/>
      <c r="K126" s="62"/>
      <c r="L126" s="420" t="str">
        <f t="shared" si="12"/>
        <v/>
      </c>
      <c r="M126" s="401" t="str">
        <f t="shared" si="13"/>
        <v/>
      </c>
    </row>
    <row r="127" spans="2:13" s="98" customFormat="1" ht="12.5" x14ac:dyDescent="0.25">
      <c r="B127" s="115"/>
      <c r="C127" s="106"/>
      <c r="D127" s="105"/>
      <c r="E127" s="105"/>
      <c r="F127" s="103"/>
      <c r="G127" s="722"/>
      <c r="H127" s="112"/>
      <c r="I127" s="117"/>
      <c r="J127" s="62"/>
      <c r="K127" s="62"/>
      <c r="L127" s="420" t="str">
        <f t="shared" si="12"/>
        <v/>
      </c>
      <c r="M127" s="401" t="str">
        <f t="shared" si="13"/>
        <v/>
      </c>
    </row>
    <row r="128" spans="2:13" s="98" customFormat="1" ht="12.5" x14ac:dyDescent="0.25">
      <c r="B128" s="115"/>
      <c r="C128" s="106"/>
      <c r="D128" s="105"/>
      <c r="E128" s="105"/>
      <c r="F128" s="103"/>
      <c r="G128" s="722"/>
      <c r="H128" s="112"/>
      <c r="I128" s="117"/>
      <c r="J128" s="62"/>
      <c r="K128" s="62"/>
      <c r="L128" s="420" t="str">
        <f t="shared" si="12"/>
        <v/>
      </c>
      <c r="M128" s="401" t="str">
        <f t="shared" si="13"/>
        <v/>
      </c>
    </row>
    <row r="129" spans="2:13" s="98" customFormat="1" ht="12.5" x14ac:dyDescent="0.25">
      <c r="B129" s="115"/>
      <c r="C129" s="106"/>
      <c r="D129" s="105"/>
      <c r="E129" s="105"/>
      <c r="F129" s="103"/>
      <c r="G129" s="722"/>
      <c r="H129" s="112"/>
      <c r="I129" s="117"/>
      <c r="J129" s="62"/>
      <c r="K129" s="62"/>
      <c r="L129" s="420" t="str">
        <f t="shared" si="12"/>
        <v/>
      </c>
      <c r="M129" s="401" t="str">
        <f t="shared" si="13"/>
        <v/>
      </c>
    </row>
    <row r="130" spans="2:13" s="98" customFormat="1" ht="12.5" x14ac:dyDescent="0.25">
      <c r="B130" s="115"/>
      <c r="C130" s="106"/>
      <c r="D130" s="105"/>
      <c r="E130" s="105"/>
      <c r="F130" s="103"/>
      <c r="G130" s="722"/>
      <c r="H130" s="112"/>
      <c r="I130" s="117"/>
      <c r="J130" s="62"/>
      <c r="K130" s="62"/>
      <c r="L130" s="420" t="str">
        <f t="shared" si="12"/>
        <v/>
      </c>
      <c r="M130" s="401" t="str">
        <f t="shared" si="13"/>
        <v/>
      </c>
    </row>
    <row r="131" spans="2:13" s="98" customFormat="1" ht="12.5" x14ac:dyDescent="0.25">
      <c r="B131" s="115"/>
      <c r="C131" s="106"/>
      <c r="D131" s="105"/>
      <c r="E131" s="105"/>
      <c r="F131" s="103"/>
      <c r="G131" s="722"/>
      <c r="H131" s="112"/>
      <c r="I131" s="117"/>
      <c r="J131" s="62"/>
      <c r="K131" s="62"/>
      <c r="L131" s="420" t="str">
        <f t="shared" si="12"/>
        <v/>
      </c>
      <c r="M131" s="401" t="str">
        <f t="shared" si="13"/>
        <v/>
      </c>
    </row>
    <row r="132" spans="2:13" s="98" customFormat="1" ht="12.5" x14ac:dyDescent="0.25">
      <c r="B132" s="115"/>
      <c r="C132" s="106"/>
      <c r="D132" s="105"/>
      <c r="E132" s="105"/>
      <c r="F132" s="103"/>
      <c r="G132" s="722"/>
      <c r="H132" s="112"/>
      <c r="I132" s="117"/>
      <c r="J132" s="62"/>
      <c r="K132" s="62"/>
      <c r="L132" s="420" t="str">
        <f t="shared" si="12"/>
        <v/>
      </c>
      <c r="M132" s="401" t="str">
        <f t="shared" si="13"/>
        <v/>
      </c>
    </row>
    <row r="133" spans="2:13" s="98" customFormat="1" ht="12.5" x14ac:dyDescent="0.25">
      <c r="B133" s="115"/>
      <c r="C133" s="106"/>
      <c r="D133" s="105"/>
      <c r="E133" s="105"/>
      <c r="F133" s="103"/>
      <c r="G133" s="722"/>
      <c r="H133" s="112"/>
      <c r="I133" s="117"/>
      <c r="J133" s="62"/>
      <c r="K133" s="62"/>
      <c r="L133" s="420" t="str">
        <f t="shared" si="12"/>
        <v/>
      </c>
      <c r="M133" s="401" t="str">
        <f t="shared" si="13"/>
        <v/>
      </c>
    </row>
    <row r="134" spans="2:13" s="98" customFormat="1" ht="12.5" x14ac:dyDescent="0.25">
      <c r="B134" s="115"/>
      <c r="C134" s="106"/>
      <c r="D134" s="105"/>
      <c r="E134" s="105"/>
      <c r="F134" s="103"/>
      <c r="G134" s="722"/>
      <c r="H134" s="112"/>
      <c r="I134" s="117"/>
      <c r="J134" s="62"/>
      <c r="K134" s="62"/>
      <c r="L134" s="420" t="str">
        <f t="shared" si="12"/>
        <v/>
      </c>
      <c r="M134" s="401" t="str">
        <f t="shared" si="13"/>
        <v/>
      </c>
    </row>
    <row r="135" spans="2:13" s="98" customFormat="1" ht="12.5" x14ac:dyDescent="0.25">
      <c r="B135" s="115"/>
      <c r="C135" s="106"/>
      <c r="D135" s="105"/>
      <c r="E135" s="105"/>
      <c r="F135" s="103"/>
      <c r="G135" s="722"/>
      <c r="H135" s="112"/>
      <c r="I135" s="117"/>
      <c r="J135" s="62"/>
      <c r="K135" s="62"/>
      <c r="L135" s="420" t="str">
        <f t="shared" si="12"/>
        <v/>
      </c>
      <c r="M135" s="401" t="str">
        <f t="shared" si="13"/>
        <v/>
      </c>
    </row>
    <row r="136" spans="2:13" s="98" customFormat="1" ht="12.5" x14ac:dyDescent="0.25">
      <c r="B136" s="115"/>
      <c r="C136" s="106"/>
      <c r="D136" s="105"/>
      <c r="E136" s="105"/>
      <c r="F136" s="103"/>
      <c r="G136" s="722"/>
      <c r="H136" s="112"/>
      <c r="I136" s="117"/>
      <c r="J136" s="62"/>
      <c r="K136" s="62"/>
      <c r="L136" s="420" t="str">
        <f t="shared" si="12"/>
        <v/>
      </c>
      <c r="M136" s="401" t="str">
        <f t="shared" si="13"/>
        <v/>
      </c>
    </row>
    <row r="137" spans="2:13" s="98" customFormat="1" ht="12.5" x14ac:dyDescent="0.25">
      <c r="B137" s="115"/>
      <c r="C137" s="106"/>
      <c r="D137" s="105"/>
      <c r="E137" s="105"/>
      <c r="F137" s="103"/>
      <c r="G137" s="722"/>
      <c r="H137" s="112"/>
      <c r="I137" s="117"/>
      <c r="J137" s="138"/>
      <c r="K137" s="138"/>
      <c r="L137" s="420" t="str">
        <f t="shared" si="12"/>
        <v/>
      </c>
      <c r="M137" s="401" t="str">
        <f t="shared" si="13"/>
        <v/>
      </c>
    </row>
    <row r="138" spans="2:13" s="98" customFormat="1" ht="12.5" x14ac:dyDescent="0.25">
      <c r="B138" s="115"/>
      <c r="C138" s="106"/>
      <c r="D138" s="105"/>
      <c r="E138" s="105"/>
      <c r="F138" s="103"/>
      <c r="G138" s="722"/>
      <c r="H138" s="112"/>
      <c r="I138" s="117"/>
      <c r="J138" s="138"/>
      <c r="K138" s="138"/>
      <c r="L138" s="420" t="str">
        <f t="shared" si="12"/>
        <v/>
      </c>
      <c r="M138" s="401" t="str">
        <f t="shared" si="13"/>
        <v/>
      </c>
    </row>
    <row r="139" spans="2:13" s="98" customFormat="1" x14ac:dyDescent="0.25">
      <c r="B139" s="115"/>
      <c r="C139" s="106"/>
      <c r="D139" s="105"/>
      <c r="E139" s="105"/>
      <c r="F139" s="103"/>
      <c r="G139" s="722"/>
      <c r="H139" s="112"/>
      <c r="I139" s="117"/>
      <c r="J139" s="721"/>
      <c r="K139" s="721"/>
      <c r="L139" s="420" t="str">
        <f t="shared" si="12"/>
        <v/>
      </c>
      <c r="M139" s="401" t="str">
        <f t="shared" si="13"/>
        <v/>
      </c>
    </row>
    <row r="140" spans="2:13" s="98" customFormat="1" x14ac:dyDescent="0.25">
      <c r="B140" s="115"/>
      <c r="C140" s="106"/>
      <c r="D140" s="105"/>
      <c r="E140" s="105"/>
      <c r="F140" s="103"/>
      <c r="G140" s="722"/>
      <c r="H140" s="112"/>
      <c r="I140" s="117"/>
      <c r="J140" s="721"/>
      <c r="K140" s="721"/>
      <c r="L140" s="420" t="str">
        <f t="shared" si="12"/>
        <v/>
      </c>
      <c r="M140" s="401" t="str">
        <f t="shared" si="13"/>
        <v/>
      </c>
    </row>
    <row r="141" spans="2:13" s="98" customFormat="1" x14ac:dyDescent="0.25">
      <c r="B141" s="115"/>
      <c r="C141" s="106"/>
      <c r="D141" s="105"/>
      <c r="E141" s="105"/>
      <c r="F141" s="103"/>
      <c r="G141" s="722"/>
      <c r="H141" s="112"/>
      <c r="I141" s="117"/>
      <c r="J141" s="721"/>
      <c r="K141" s="721"/>
      <c r="L141" s="420" t="str">
        <f t="shared" si="12"/>
        <v/>
      </c>
      <c r="M141" s="401" t="str">
        <f t="shared" si="13"/>
        <v/>
      </c>
    </row>
    <row r="142" spans="2:13" s="98" customFormat="1" x14ac:dyDescent="0.25">
      <c r="B142" s="115"/>
      <c r="C142" s="106"/>
      <c r="D142" s="105"/>
      <c r="E142" s="105"/>
      <c r="F142" s="103"/>
      <c r="G142" s="722"/>
      <c r="H142" s="112"/>
      <c r="I142" s="117"/>
      <c r="J142" s="721"/>
      <c r="K142" s="721"/>
      <c r="L142" s="420" t="str">
        <f t="shared" si="12"/>
        <v/>
      </c>
      <c r="M142" s="401" t="str">
        <f t="shared" si="13"/>
        <v/>
      </c>
    </row>
    <row r="143" spans="2:13" s="98" customFormat="1" ht="12.5" x14ac:dyDescent="0.25">
      <c r="B143" s="115"/>
      <c r="C143" s="106"/>
      <c r="D143" s="105"/>
      <c r="E143" s="105"/>
      <c r="F143" s="103"/>
      <c r="G143" s="569"/>
      <c r="H143" s="112"/>
      <c r="I143" s="117"/>
      <c r="J143" s="711"/>
      <c r="K143" s="711"/>
      <c r="L143" s="420" t="str">
        <f t="shared" si="12"/>
        <v/>
      </c>
      <c r="M143" s="401" t="str">
        <f t="shared" si="13"/>
        <v/>
      </c>
    </row>
    <row r="144" spans="2:13" s="28" customFormat="1" ht="24.75" customHeight="1" x14ac:dyDescent="0.25">
      <c r="B144" s="84" t="str">
        <f>$B$12</f>
        <v>C11.8</v>
      </c>
      <c r="C144" s="30" t="str">
        <f>"TOTAL CARRIED FORWARD"&amp;IF(H144=H$1," TO SUMMARY (Page C"&amp;Page_A&amp;")","")</f>
        <v>TOTAL CARRIED FORWARD TO SUMMARY (Page C48)</v>
      </c>
      <c r="D144" s="31"/>
      <c r="E144" s="31"/>
      <c r="F144" s="32"/>
      <c r="G144" s="31"/>
      <c r="H144" s="33">
        <f>SUM(H82:H143)</f>
        <v>10000</v>
      </c>
      <c r="I144" s="34"/>
      <c r="J144" s="408"/>
      <c r="K144" s="406"/>
      <c r="L144" s="418">
        <f>SUM(L82:L143)</f>
        <v>0</v>
      </c>
      <c r="M144" s="407" t="str">
        <f t="shared" ref="M144" si="14">IF(J144="","",IF(SUM(H144)=0,"",L144/H144))</f>
        <v/>
      </c>
    </row>
  </sheetData>
  <mergeCells count="11">
    <mergeCell ref="B77:G77"/>
    <mergeCell ref="H77:H80"/>
    <mergeCell ref="B78:G80"/>
    <mergeCell ref="F3:H3"/>
    <mergeCell ref="B6:G6"/>
    <mergeCell ref="H6:H9"/>
    <mergeCell ref="B7:G9"/>
    <mergeCell ref="B74:D74"/>
    <mergeCell ref="F74:H76"/>
    <mergeCell ref="B75:D75"/>
    <mergeCell ref="B76:D76"/>
  </mergeCells>
  <conditionalFormatting sqref="G11:H73 G82:H144">
    <cfRule type="expression" dxfId="70"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73"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6">
    <tabColor rgb="FF0070C0"/>
  </sheetPr>
  <dimension ref="A1:N78"/>
  <sheetViews>
    <sheetView view="pageBreakPreview" zoomScale="90" zoomScaleNormal="125" zoomScaleSheetLayoutView="90" zoomScalePageLayoutView="125" workbookViewId="0">
      <selection activeCell="G16" sqref="G16"/>
    </sheetView>
  </sheetViews>
  <sheetFormatPr defaultColWidth="8.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8.81640625" style="1"/>
  </cols>
  <sheetData>
    <row r="1" spans="1:14" s="250" customFormat="1" ht="11.5" x14ac:dyDescent="0.25">
      <c r="A1" s="242"/>
      <c r="B1" s="243"/>
      <c r="C1" s="244" t="s">
        <v>993</v>
      </c>
      <c r="D1" s="245"/>
      <c r="E1" s="245"/>
      <c r="F1" s="246" t="s">
        <v>994</v>
      </c>
      <c r="G1" s="244">
        <v>1</v>
      </c>
      <c r="H1" s="247">
        <f>MAX(H2:H78)</f>
        <v>0</v>
      </c>
      <c r="I1" s="247">
        <f>MAX(I2:I211)</f>
        <v>0</v>
      </c>
      <c r="J1" s="248"/>
      <c r="K1" s="249"/>
      <c r="L1" s="417">
        <f>MAX(L2:L78)</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3"/>
    </row>
    <row r="6" spans="1:14" ht="12.75" customHeight="1" x14ac:dyDescent="0.25">
      <c r="B6" s="1112" t="s">
        <v>8</v>
      </c>
      <c r="C6" s="1113"/>
      <c r="D6" s="1113"/>
      <c r="E6" s="1113"/>
      <c r="F6" s="1113"/>
      <c r="G6" s="1113"/>
      <c r="H6" s="1121" t="str">
        <f>"CHAPTER "&amp;B12</f>
        <v>CHAPTER C11.9</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s="9" customFormat="1" ht="7.5" customHeight="1" x14ac:dyDescent="0.25">
      <c r="B9" s="1119"/>
      <c r="C9" s="1120"/>
      <c r="D9" s="1120"/>
      <c r="E9" s="1120"/>
      <c r="F9" s="1120"/>
      <c r="G9" s="1120"/>
      <c r="H9" s="1123"/>
      <c r="I9" s="12"/>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6"/>
      <c r="C11" s="14"/>
      <c r="D11" s="15"/>
      <c r="E11" s="15"/>
      <c r="F11" s="15"/>
      <c r="G11" s="411"/>
      <c r="H11" s="17" t="str">
        <f t="shared" ref="H11:H76" si="0">IF(D11="","",F11*G11)</f>
        <v/>
      </c>
      <c r="I11" s="18"/>
      <c r="J11" s="61"/>
      <c r="K11" s="399"/>
      <c r="L11" s="420" t="str">
        <f t="shared" ref="L11" si="1">IF(J11="","",F11*K11)</f>
        <v/>
      </c>
      <c r="M11" s="401" t="str">
        <f>IF(J11="","",IF(SUM(H11)=0,"",L11/H11))</f>
        <v/>
      </c>
    </row>
    <row r="12" spans="1:14" ht="26" x14ac:dyDescent="0.25">
      <c r="B12" s="146" t="s">
        <v>771</v>
      </c>
      <c r="C12" s="19" t="s">
        <v>770</v>
      </c>
      <c r="D12" s="15"/>
      <c r="E12" s="15"/>
      <c r="F12" s="15"/>
      <c r="G12" s="411"/>
      <c r="H12" s="17" t="str">
        <f t="shared" si="0"/>
        <v/>
      </c>
      <c r="I12" s="18"/>
      <c r="J12" s="61"/>
      <c r="K12" s="399"/>
      <c r="L12" s="420" t="str">
        <f t="shared" ref="L12:L75" si="2">IF(J12="","",F12*K12)</f>
        <v/>
      </c>
      <c r="M12" s="401" t="str">
        <f t="shared" ref="M12:M75" si="3">IF(J12="","",IF(SUM(H12)=0,"",L12/H12))</f>
        <v/>
      </c>
    </row>
    <row r="13" spans="1:14" x14ac:dyDescent="0.25">
      <c r="B13" s="58"/>
      <c r="C13" s="14"/>
      <c r="D13" s="15"/>
      <c r="E13" s="15"/>
      <c r="F13" s="15"/>
      <c r="G13" s="411"/>
      <c r="H13" s="17" t="str">
        <f t="shared" si="0"/>
        <v/>
      </c>
      <c r="I13" s="18"/>
      <c r="J13" s="61"/>
      <c r="K13" s="399"/>
      <c r="L13" s="420" t="str">
        <f t="shared" si="2"/>
        <v/>
      </c>
      <c r="M13" s="401" t="str">
        <f t="shared" si="3"/>
        <v/>
      </c>
    </row>
    <row r="14" spans="1:14" ht="13" x14ac:dyDescent="0.25">
      <c r="B14" s="146" t="s">
        <v>769</v>
      </c>
      <c r="C14" s="19" t="s">
        <v>768</v>
      </c>
      <c r="D14" s="15"/>
      <c r="E14" s="15"/>
      <c r="F14" s="15"/>
      <c r="G14" s="411"/>
      <c r="H14" s="17" t="str">
        <f t="shared" si="0"/>
        <v/>
      </c>
      <c r="I14" s="18"/>
      <c r="J14" s="61"/>
      <c r="K14" s="399"/>
      <c r="L14" s="420" t="str">
        <f t="shared" si="2"/>
        <v/>
      </c>
      <c r="M14" s="401" t="str">
        <f t="shared" si="3"/>
        <v/>
      </c>
    </row>
    <row r="15" spans="1:14" x14ac:dyDescent="0.25">
      <c r="B15" s="58"/>
      <c r="C15" s="14"/>
      <c r="D15" s="15"/>
      <c r="E15" s="15"/>
      <c r="F15" s="15"/>
      <c r="G15" s="411"/>
      <c r="H15" s="17" t="str">
        <f t="shared" si="0"/>
        <v/>
      </c>
      <c r="I15" s="18"/>
      <c r="J15" s="61"/>
      <c r="K15" s="399"/>
      <c r="L15" s="420" t="str">
        <f t="shared" si="2"/>
        <v/>
      </c>
      <c r="M15" s="401" t="str">
        <f t="shared" si="3"/>
        <v/>
      </c>
    </row>
    <row r="16" spans="1:14" x14ac:dyDescent="0.25">
      <c r="B16" s="58" t="s">
        <v>767</v>
      </c>
      <c r="C16" s="14" t="s">
        <v>766</v>
      </c>
      <c r="D16" s="15" t="s">
        <v>22</v>
      </c>
      <c r="E16" s="15"/>
      <c r="F16" s="582">
        <v>2.4</v>
      </c>
      <c r="G16" s="422"/>
      <c r="H16" s="17">
        <f t="shared" si="0"/>
        <v>0</v>
      </c>
      <c r="I16" s="18"/>
      <c r="J16" s="61" t="s">
        <v>1721</v>
      </c>
      <c r="K16" s="400">
        <f>IF(D16="","",ROUND(6%*G16,1))</f>
        <v>0</v>
      </c>
      <c r="L16" s="420">
        <f t="shared" si="2"/>
        <v>0</v>
      </c>
      <c r="M16" s="401" t="str">
        <f t="shared" si="3"/>
        <v/>
      </c>
    </row>
    <row r="17" spans="2:13" x14ac:dyDescent="0.25">
      <c r="B17" s="58"/>
      <c r="C17" s="14"/>
      <c r="D17" s="15"/>
      <c r="E17" s="15"/>
      <c r="F17" s="24"/>
      <c r="G17" s="411"/>
      <c r="H17" s="17" t="str">
        <f t="shared" si="0"/>
        <v/>
      </c>
      <c r="I17" s="60"/>
      <c r="J17" s="61"/>
      <c r="K17" s="399"/>
      <c r="L17" s="420" t="str">
        <f t="shared" si="2"/>
        <v/>
      </c>
      <c r="M17" s="401" t="str">
        <f t="shared" si="3"/>
        <v/>
      </c>
    </row>
    <row r="18" spans="2:13" ht="13" x14ac:dyDescent="0.25">
      <c r="B18" s="146"/>
      <c r="C18" s="7"/>
      <c r="D18" s="15"/>
      <c r="E18" s="15"/>
      <c r="F18" s="647"/>
      <c r="G18" s="421"/>
      <c r="H18" s="17" t="str">
        <f t="shared" si="0"/>
        <v/>
      </c>
      <c r="I18" s="63"/>
      <c r="J18" s="61"/>
      <c r="K18" s="402"/>
      <c r="L18" s="420" t="str">
        <f t="shared" si="2"/>
        <v/>
      </c>
      <c r="M18" s="401" t="str">
        <f t="shared" si="3"/>
        <v/>
      </c>
    </row>
    <row r="19" spans="2:13" x14ac:dyDescent="0.25">
      <c r="B19" s="58"/>
      <c r="C19" s="25"/>
      <c r="D19" s="61"/>
      <c r="E19" s="61"/>
      <c r="F19" s="647"/>
      <c r="G19" s="421"/>
      <c r="H19" s="17" t="str">
        <f t="shared" si="0"/>
        <v/>
      </c>
      <c r="I19" s="63"/>
      <c r="J19" s="61"/>
      <c r="K19" s="402"/>
      <c r="L19" s="420" t="str">
        <f t="shared" si="2"/>
        <v/>
      </c>
      <c r="M19" s="401" t="str">
        <f t="shared" si="3"/>
        <v/>
      </c>
    </row>
    <row r="20" spans="2:13" x14ac:dyDescent="0.25">
      <c r="B20" s="58"/>
      <c r="C20" s="14"/>
      <c r="D20" s="15"/>
      <c r="E20" s="15"/>
      <c r="F20" s="756"/>
      <c r="G20" s="422"/>
      <c r="H20" s="17" t="str">
        <f t="shared" si="0"/>
        <v/>
      </c>
      <c r="I20" s="63"/>
      <c r="J20" s="61"/>
      <c r="K20" s="400"/>
      <c r="L20" s="420" t="str">
        <f t="shared" si="2"/>
        <v/>
      </c>
      <c r="M20" s="401" t="str">
        <f t="shared" si="3"/>
        <v/>
      </c>
    </row>
    <row r="21" spans="2:13" x14ac:dyDescent="0.25">
      <c r="B21" s="58"/>
      <c r="C21" s="25"/>
      <c r="D21" s="61"/>
      <c r="E21" s="61"/>
      <c r="F21" s="647"/>
      <c r="G21" s="421"/>
      <c r="H21" s="17" t="str">
        <f t="shared" si="0"/>
        <v/>
      </c>
      <c r="I21" s="63"/>
      <c r="J21" s="61"/>
      <c r="K21" s="402"/>
      <c r="L21" s="420" t="str">
        <f t="shared" si="2"/>
        <v/>
      </c>
      <c r="M21" s="401" t="str">
        <f t="shared" si="3"/>
        <v/>
      </c>
    </row>
    <row r="22" spans="2:13" x14ac:dyDescent="0.25">
      <c r="B22" s="58"/>
      <c r="C22" s="14"/>
      <c r="D22" s="15"/>
      <c r="E22" s="15"/>
      <c r="F22" s="647"/>
      <c r="G22" s="423"/>
      <c r="H22" s="17" t="str">
        <f t="shared" si="0"/>
        <v/>
      </c>
      <c r="I22" s="63"/>
      <c r="J22" s="61"/>
      <c r="K22" s="402"/>
      <c r="L22" s="420" t="str">
        <f t="shared" si="2"/>
        <v/>
      </c>
      <c r="M22" s="401" t="str">
        <f t="shared" si="3"/>
        <v/>
      </c>
    </row>
    <row r="23" spans="2:13" x14ac:dyDescent="0.25">
      <c r="B23" s="58"/>
      <c r="C23" s="14"/>
      <c r="D23" s="15"/>
      <c r="E23" s="15"/>
      <c r="F23" s="647"/>
      <c r="G23" s="753"/>
      <c r="H23" s="743" t="str">
        <f t="shared" si="0"/>
        <v/>
      </c>
      <c r="I23" s="63"/>
      <c r="J23" s="61"/>
      <c r="K23" s="402"/>
      <c r="L23" s="420" t="str">
        <f t="shared" si="2"/>
        <v/>
      </c>
      <c r="M23" s="401" t="str">
        <f t="shared" si="3"/>
        <v/>
      </c>
    </row>
    <row r="24" spans="2:13" ht="13" x14ac:dyDescent="0.25">
      <c r="B24" s="146"/>
      <c r="C24" s="19"/>
      <c r="D24" s="15"/>
      <c r="E24" s="15"/>
      <c r="F24" s="15"/>
      <c r="G24" s="424"/>
      <c r="H24" s="743" t="str">
        <f t="shared" si="0"/>
        <v/>
      </c>
      <c r="I24" s="63"/>
      <c r="J24" s="61"/>
      <c r="K24" s="399"/>
      <c r="L24" s="420" t="str">
        <f t="shared" si="2"/>
        <v/>
      </c>
      <c r="M24" s="401" t="str">
        <f t="shared" si="3"/>
        <v/>
      </c>
    </row>
    <row r="25" spans="2:13" ht="13" x14ac:dyDescent="0.25">
      <c r="B25" s="146"/>
      <c r="C25" s="19"/>
      <c r="D25" s="15"/>
      <c r="E25" s="15"/>
      <c r="F25" s="15"/>
      <c r="G25" s="424"/>
      <c r="H25" s="743" t="str">
        <f t="shared" si="0"/>
        <v/>
      </c>
      <c r="I25" s="63"/>
      <c r="J25" s="61"/>
      <c r="K25" s="399"/>
      <c r="L25" s="420" t="str">
        <f t="shared" si="2"/>
        <v/>
      </c>
      <c r="M25" s="401" t="str">
        <f t="shared" si="3"/>
        <v/>
      </c>
    </row>
    <row r="26" spans="2:13" ht="13" x14ac:dyDescent="0.25">
      <c r="B26" s="146"/>
      <c r="C26" s="19"/>
      <c r="D26" s="15"/>
      <c r="E26" s="15"/>
      <c r="F26" s="15"/>
      <c r="G26" s="424"/>
      <c r="H26" s="743" t="str">
        <f t="shared" si="0"/>
        <v/>
      </c>
      <c r="I26" s="63"/>
      <c r="J26" s="61"/>
      <c r="K26" s="399"/>
      <c r="L26" s="420" t="str">
        <f t="shared" si="2"/>
        <v/>
      </c>
      <c r="M26" s="401" t="str">
        <f t="shared" si="3"/>
        <v/>
      </c>
    </row>
    <row r="27" spans="2:13" ht="13" x14ac:dyDescent="0.25">
      <c r="B27" s="146"/>
      <c r="C27" s="19"/>
      <c r="D27" s="15"/>
      <c r="E27" s="15"/>
      <c r="F27" s="15"/>
      <c r="G27" s="424"/>
      <c r="H27" s="743" t="str">
        <f t="shared" si="0"/>
        <v/>
      </c>
      <c r="I27" s="63"/>
      <c r="J27" s="61"/>
      <c r="K27" s="399"/>
      <c r="L27" s="420" t="str">
        <f t="shared" si="2"/>
        <v/>
      </c>
      <c r="M27" s="401" t="str">
        <f t="shared" si="3"/>
        <v/>
      </c>
    </row>
    <row r="28" spans="2:13" x14ac:dyDescent="0.25">
      <c r="B28" s="58"/>
      <c r="C28" s="14"/>
      <c r="D28" s="15"/>
      <c r="E28" s="15"/>
      <c r="F28" s="15"/>
      <c r="G28" s="424"/>
      <c r="H28" s="743" t="str">
        <f t="shared" si="0"/>
        <v/>
      </c>
      <c r="I28" s="63"/>
      <c r="J28" s="61"/>
      <c r="K28" s="399"/>
      <c r="L28" s="420" t="str">
        <f t="shared" si="2"/>
        <v/>
      </c>
      <c r="M28" s="401" t="str">
        <f t="shared" si="3"/>
        <v/>
      </c>
    </row>
    <row r="29" spans="2:13" x14ac:dyDescent="0.25">
      <c r="B29" s="58"/>
      <c r="C29" s="14"/>
      <c r="D29" s="15"/>
      <c r="E29" s="15"/>
      <c r="F29" s="15"/>
      <c r="G29" s="424"/>
      <c r="H29" s="743" t="str">
        <f t="shared" si="0"/>
        <v/>
      </c>
      <c r="I29" s="63"/>
      <c r="J29" s="61"/>
      <c r="K29" s="400"/>
      <c r="L29" s="420" t="str">
        <f t="shared" si="2"/>
        <v/>
      </c>
      <c r="M29" s="401" t="str">
        <f t="shared" si="3"/>
        <v/>
      </c>
    </row>
    <row r="30" spans="2:13" x14ac:dyDescent="0.25">
      <c r="B30" s="58"/>
      <c r="C30" s="14"/>
      <c r="D30" s="15"/>
      <c r="E30" s="15"/>
      <c r="F30" s="15"/>
      <c r="G30" s="424"/>
      <c r="H30" s="743" t="str">
        <f t="shared" si="0"/>
        <v/>
      </c>
      <c r="I30" s="63"/>
      <c r="J30" s="61"/>
      <c r="K30" s="399"/>
      <c r="L30" s="420" t="str">
        <f t="shared" si="2"/>
        <v/>
      </c>
      <c r="M30" s="401" t="str">
        <f t="shared" si="3"/>
        <v/>
      </c>
    </row>
    <row r="31" spans="2:13" x14ac:dyDescent="0.25">
      <c r="B31" s="58"/>
      <c r="C31" s="14"/>
      <c r="D31" s="15"/>
      <c r="E31" s="15"/>
      <c r="F31" s="15"/>
      <c r="G31" s="424"/>
      <c r="H31" s="743" t="str">
        <f t="shared" si="0"/>
        <v/>
      </c>
      <c r="I31" s="63"/>
      <c r="J31" s="61"/>
      <c r="K31" s="399"/>
      <c r="L31" s="420" t="str">
        <f t="shared" si="2"/>
        <v/>
      </c>
      <c r="M31" s="401" t="str">
        <f t="shared" si="3"/>
        <v/>
      </c>
    </row>
    <row r="32" spans="2:13" x14ac:dyDescent="0.25">
      <c r="B32" s="58"/>
      <c r="C32" s="14"/>
      <c r="D32" s="15"/>
      <c r="E32" s="15"/>
      <c r="F32" s="647"/>
      <c r="G32" s="753"/>
      <c r="H32" s="743" t="str">
        <f t="shared" si="0"/>
        <v/>
      </c>
      <c r="I32" s="63"/>
      <c r="J32" s="61"/>
      <c r="K32" s="399"/>
      <c r="L32" s="420" t="str">
        <f t="shared" si="2"/>
        <v/>
      </c>
      <c r="M32" s="401" t="str">
        <f t="shared" si="3"/>
        <v/>
      </c>
    </row>
    <row r="33" spans="2:13" x14ac:dyDescent="0.25">
      <c r="B33" s="58"/>
      <c r="C33" s="14"/>
      <c r="D33" s="15"/>
      <c r="E33" s="15"/>
      <c r="F33" s="647"/>
      <c r="G33" s="753"/>
      <c r="H33" s="743" t="str">
        <f t="shared" si="0"/>
        <v/>
      </c>
      <c r="I33" s="63"/>
      <c r="J33" s="61"/>
      <c r="K33" s="399"/>
      <c r="L33" s="420" t="str">
        <f t="shared" si="2"/>
        <v/>
      </c>
      <c r="M33" s="401" t="str">
        <f t="shared" si="3"/>
        <v/>
      </c>
    </row>
    <row r="34" spans="2:13" x14ac:dyDescent="0.25">
      <c r="B34" s="58"/>
      <c r="C34" s="14"/>
      <c r="D34" s="15"/>
      <c r="E34" s="15"/>
      <c r="F34" s="647"/>
      <c r="G34" s="753"/>
      <c r="H34" s="743" t="str">
        <f t="shared" si="0"/>
        <v/>
      </c>
      <c r="I34" s="63"/>
      <c r="J34" s="61"/>
      <c r="K34" s="399"/>
      <c r="L34" s="420" t="str">
        <f t="shared" si="2"/>
        <v/>
      </c>
      <c r="M34" s="401" t="str">
        <f t="shared" si="3"/>
        <v/>
      </c>
    </row>
    <row r="35" spans="2:13" x14ac:dyDescent="0.25">
      <c r="B35" s="58"/>
      <c r="C35" s="14"/>
      <c r="D35" s="15"/>
      <c r="E35" s="15"/>
      <c r="F35" s="647"/>
      <c r="G35" s="753"/>
      <c r="H35" s="743" t="str">
        <f t="shared" si="0"/>
        <v/>
      </c>
      <c r="I35" s="63"/>
      <c r="J35" s="61"/>
      <c r="K35" s="400"/>
      <c r="L35" s="420" t="str">
        <f t="shared" si="2"/>
        <v/>
      </c>
      <c r="M35" s="401" t="str">
        <f t="shared" si="3"/>
        <v/>
      </c>
    </row>
    <row r="36" spans="2:13" x14ac:dyDescent="0.25">
      <c r="B36" s="58"/>
      <c r="C36" s="14"/>
      <c r="D36" s="15"/>
      <c r="E36" s="15"/>
      <c r="F36" s="647"/>
      <c r="G36" s="753"/>
      <c r="H36" s="743" t="str">
        <f t="shared" si="0"/>
        <v/>
      </c>
      <c r="I36" s="63"/>
      <c r="J36" s="61"/>
      <c r="K36" s="399"/>
      <c r="L36" s="420" t="str">
        <f t="shared" si="2"/>
        <v/>
      </c>
      <c r="M36" s="401" t="str">
        <f t="shared" si="3"/>
        <v/>
      </c>
    </row>
    <row r="37" spans="2:13" x14ac:dyDescent="0.25">
      <c r="B37" s="58"/>
      <c r="C37" s="14"/>
      <c r="D37" s="15"/>
      <c r="E37" s="15"/>
      <c r="F37" s="647"/>
      <c r="G37" s="753"/>
      <c r="H37" s="743" t="str">
        <f t="shared" si="0"/>
        <v/>
      </c>
      <c r="I37" s="63"/>
      <c r="J37" s="61"/>
      <c r="K37" s="399"/>
      <c r="L37" s="420" t="str">
        <f t="shared" si="2"/>
        <v/>
      </c>
      <c r="M37" s="401" t="str">
        <f t="shared" si="3"/>
        <v/>
      </c>
    </row>
    <row r="38" spans="2:13" x14ac:dyDescent="0.25">
      <c r="B38" s="58"/>
      <c r="C38" s="14"/>
      <c r="D38" s="15"/>
      <c r="E38" s="15"/>
      <c r="F38" s="647"/>
      <c r="G38" s="753"/>
      <c r="H38" s="743" t="str">
        <f t="shared" si="0"/>
        <v/>
      </c>
      <c r="I38" s="63"/>
      <c r="J38" s="61"/>
      <c r="K38" s="399"/>
      <c r="L38" s="420" t="str">
        <f t="shared" si="2"/>
        <v/>
      </c>
      <c r="M38" s="401" t="str">
        <f t="shared" si="3"/>
        <v/>
      </c>
    </row>
    <row r="39" spans="2:13" x14ac:dyDescent="0.25">
      <c r="B39" s="58"/>
      <c r="C39" s="14"/>
      <c r="D39" s="15"/>
      <c r="E39" s="15"/>
      <c r="F39" s="24"/>
      <c r="G39" s="423"/>
      <c r="H39" s="17" t="str">
        <f t="shared" si="0"/>
        <v/>
      </c>
      <c r="I39" s="63"/>
      <c r="J39" s="61"/>
      <c r="K39" s="399"/>
      <c r="L39" s="420" t="str">
        <f t="shared" si="2"/>
        <v/>
      </c>
      <c r="M39" s="401" t="str">
        <f t="shared" si="3"/>
        <v/>
      </c>
    </row>
    <row r="40" spans="2:13" x14ac:dyDescent="0.25">
      <c r="B40" s="58"/>
      <c r="C40" s="14"/>
      <c r="D40" s="15"/>
      <c r="E40" s="15"/>
      <c r="F40" s="24"/>
      <c r="G40" s="423"/>
      <c r="H40" s="17" t="str">
        <f t="shared" si="0"/>
        <v/>
      </c>
      <c r="I40" s="63"/>
      <c r="J40" s="61"/>
      <c r="K40" s="399"/>
      <c r="L40" s="420" t="str">
        <f t="shared" si="2"/>
        <v/>
      </c>
      <c r="M40" s="401" t="str">
        <f t="shared" si="3"/>
        <v/>
      </c>
    </row>
    <row r="41" spans="2:13" x14ac:dyDescent="0.25">
      <c r="B41" s="58"/>
      <c r="C41" s="14"/>
      <c r="D41" s="15"/>
      <c r="E41" s="15"/>
      <c r="F41" s="24"/>
      <c r="G41" s="423"/>
      <c r="H41" s="17" t="str">
        <f t="shared" si="0"/>
        <v/>
      </c>
      <c r="I41" s="63"/>
      <c r="J41" s="61"/>
      <c r="K41" s="399"/>
      <c r="L41" s="420" t="str">
        <f t="shared" si="2"/>
        <v/>
      </c>
      <c r="M41" s="401" t="str">
        <f t="shared" si="3"/>
        <v/>
      </c>
    </row>
    <row r="42" spans="2:13" x14ac:dyDescent="0.25">
      <c r="B42" s="58"/>
      <c r="C42" s="14"/>
      <c r="D42" s="15"/>
      <c r="E42" s="15"/>
      <c r="F42" s="24"/>
      <c r="G42" s="423"/>
      <c r="H42" s="17" t="str">
        <f t="shared" si="0"/>
        <v/>
      </c>
      <c r="I42" s="63"/>
      <c r="J42" s="61"/>
      <c r="K42" s="399"/>
      <c r="L42" s="420" t="str">
        <f t="shared" si="2"/>
        <v/>
      </c>
      <c r="M42" s="401" t="str">
        <f t="shared" si="3"/>
        <v/>
      </c>
    </row>
    <row r="43" spans="2:13" x14ac:dyDescent="0.25">
      <c r="B43" s="58"/>
      <c r="C43" s="14"/>
      <c r="D43" s="15"/>
      <c r="E43" s="15"/>
      <c r="F43" s="24"/>
      <c r="G43" s="423"/>
      <c r="H43" s="17" t="str">
        <f t="shared" si="0"/>
        <v/>
      </c>
      <c r="I43" s="63"/>
      <c r="J43" s="61"/>
      <c r="K43" s="399"/>
      <c r="L43" s="420" t="str">
        <f t="shared" si="2"/>
        <v/>
      </c>
      <c r="M43" s="401" t="str">
        <f t="shared" si="3"/>
        <v/>
      </c>
    </row>
    <row r="44" spans="2:13" x14ac:dyDescent="0.25">
      <c r="B44" s="58"/>
      <c r="C44" s="14"/>
      <c r="D44" s="15"/>
      <c r="E44" s="15"/>
      <c r="F44" s="24"/>
      <c r="G44" s="423"/>
      <c r="H44" s="17" t="str">
        <f t="shared" si="0"/>
        <v/>
      </c>
      <c r="I44" s="63"/>
      <c r="J44" s="61"/>
      <c r="K44" s="399"/>
      <c r="L44" s="420" t="str">
        <f t="shared" si="2"/>
        <v/>
      </c>
      <c r="M44" s="401" t="str">
        <f t="shared" si="3"/>
        <v/>
      </c>
    </row>
    <row r="45" spans="2:13" x14ac:dyDescent="0.25">
      <c r="B45" s="58"/>
      <c r="C45" s="14"/>
      <c r="D45" s="15"/>
      <c r="E45" s="15"/>
      <c r="F45" s="24"/>
      <c r="G45" s="423"/>
      <c r="H45" s="17" t="str">
        <f t="shared" si="0"/>
        <v/>
      </c>
      <c r="I45" s="63"/>
      <c r="J45" s="61"/>
      <c r="K45" s="399"/>
      <c r="L45" s="420" t="str">
        <f t="shared" si="2"/>
        <v/>
      </c>
      <c r="M45" s="401" t="str">
        <f t="shared" si="3"/>
        <v/>
      </c>
    </row>
    <row r="46" spans="2:13" x14ac:dyDescent="0.25">
      <c r="B46" s="58"/>
      <c r="C46" s="14"/>
      <c r="D46" s="15"/>
      <c r="E46" s="15"/>
      <c r="F46" s="24"/>
      <c r="G46" s="423"/>
      <c r="H46" s="17" t="str">
        <f t="shared" si="0"/>
        <v/>
      </c>
      <c r="I46" s="63"/>
      <c r="J46" s="61"/>
      <c r="K46" s="399"/>
      <c r="L46" s="420" t="str">
        <f t="shared" si="2"/>
        <v/>
      </c>
      <c r="M46" s="401" t="str">
        <f t="shared" si="3"/>
        <v/>
      </c>
    </row>
    <row r="47" spans="2:13" x14ac:dyDescent="0.25">
      <c r="B47" s="58"/>
      <c r="C47" s="14"/>
      <c r="D47" s="15"/>
      <c r="E47" s="15"/>
      <c r="F47" s="24"/>
      <c r="G47" s="423"/>
      <c r="H47" s="17" t="str">
        <f t="shared" si="0"/>
        <v/>
      </c>
      <c r="I47" s="63"/>
      <c r="J47" s="61"/>
      <c r="K47" s="402"/>
      <c r="L47" s="420" t="str">
        <f t="shared" si="2"/>
        <v/>
      </c>
      <c r="M47" s="401" t="str">
        <f t="shared" si="3"/>
        <v/>
      </c>
    </row>
    <row r="48" spans="2:13" x14ac:dyDescent="0.25">
      <c r="B48" s="58"/>
      <c r="C48" s="14"/>
      <c r="D48" s="15"/>
      <c r="E48" s="15"/>
      <c r="F48" s="24"/>
      <c r="G48" s="423"/>
      <c r="H48" s="17" t="str">
        <f t="shared" si="0"/>
        <v/>
      </c>
      <c r="I48" s="63"/>
      <c r="J48" s="61"/>
      <c r="K48" s="399"/>
      <c r="L48" s="420" t="str">
        <f t="shared" si="2"/>
        <v/>
      </c>
      <c r="M48" s="401" t="str">
        <f t="shared" si="3"/>
        <v/>
      </c>
    </row>
    <row r="49" spans="2:13" x14ac:dyDescent="0.25">
      <c r="B49" s="58"/>
      <c r="C49" s="14"/>
      <c r="D49" s="15"/>
      <c r="E49" s="15"/>
      <c r="F49" s="24"/>
      <c r="G49" s="423"/>
      <c r="H49" s="17" t="str">
        <f t="shared" si="0"/>
        <v/>
      </c>
      <c r="I49" s="63"/>
      <c r="J49" s="61"/>
      <c r="K49" s="402"/>
      <c r="L49" s="420" t="str">
        <f t="shared" si="2"/>
        <v/>
      </c>
      <c r="M49" s="401" t="str">
        <f t="shared" si="3"/>
        <v/>
      </c>
    </row>
    <row r="50" spans="2:13" x14ac:dyDescent="0.25">
      <c r="B50" s="58"/>
      <c r="C50" s="14"/>
      <c r="D50" s="15"/>
      <c r="E50" s="15"/>
      <c r="F50" s="24"/>
      <c r="G50" s="423"/>
      <c r="H50" s="17" t="str">
        <f t="shared" si="0"/>
        <v/>
      </c>
      <c r="I50" s="63"/>
      <c r="J50" s="61"/>
      <c r="K50" s="402"/>
      <c r="L50" s="420" t="str">
        <f t="shared" si="2"/>
        <v/>
      </c>
      <c r="M50" s="401" t="str">
        <f t="shared" si="3"/>
        <v/>
      </c>
    </row>
    <row r="51" spans="2:13" x14ac:dyDescent="0.25">
      <c r="B51" s="58"/>
      <c r="C51" s="14"/>
      <c r="D51" s="15"/>
      <c r="E51" s="15"/>
      <c r="F51" s="24"/>
      <c r="G51" s="423"/>
      <c r="H51" s="17" t="str">
        <f t="shared" si="0"/>
        <v/>
      </c>
      <c r="I51" s="63"/>
      <c r="J51" s="61"/>
      <c r="K51" s="399"/>
      <c r="L51" s="420" t="str">
        <f t="shared" si="2"/>
        <v/>
      </c>
      <c r="M51" s="401" t="str">
        <f t="shared" si="3"/>
        <v/>
      </c>
    </row>
    <row r="52" spans="2:13" x14ac:dyDescent="0.25">
      <c r="B52" s="58"/>
      <c r="C52" s="14"/>
      <c r="D52" s="15"/>
      <c r="E52" s="15"/>
      <c r="F52" s="24"/>
      <c r="G52" s="423"/>
      <c r="H52" s="17" t="str">
        <f t="shared" si="0"/>
        <v/>
      </c>
      <c r="I52" s="63"/>
      <c r="J52" s="61"/>
      <c r="K52" s="399"/>
      <c r="L52" s="420" t="str">
        <f t="shared" si="2"/>
        <v/>
      </c>
      <c r="M52" s="401" t="str">
        <f t="shared" si="3"/>
        <v/>
      </c>
    </row>
    <row r="53" spans="2:13" x14ac:dyDescent="0.25">
      <c r="B53" s="58"/>
      <c r="C53" s="14"/>
      <c r="D53" s="15"/>
      <c r="E53" s="15"/>
      <c r="F53" s="24"/>
      <c r="G53" s="423"/>
      <c r="H53" s="17" t="str">
        <f t="shared" si="0"/>
        <v/>
      </c>
      <c r="I53" s="63"/>
      <c r="J53" s="61"/>
      <c r="K53" s="399"/>
      <c r="L53" s="420" t="str">
        <f t="shared" si="2"/>
        <v/>
      </c>
      <c r="M53" s="401" t="str">
        <f t="shared" si="3"/>
        <v/>
      </c>
    </row>
    <row r="54" spans="2:13" x14ac:dyDescent="0.25">
      <c r="B54" s="58"/>
      <c r="C54" s="14"/>
      <c r="D54" s="15"/>
      <c r="E54" s="15"/>
      <c r="F54" s="24"/>
      <c r="G54" s="423"/>
      <c r="H54" s="17" t="str">
        <f t="shared" si="0"/>
        <v/>
      </c>
      <c r="I54" s="63"/>
      <c r="J54" s="61"/>
      <c r="K54" s="399"/>
      <c r="L54" s="420" t="str">
        <f t="shared" si="2"/>
        <v/>
      </c>
      <c r="M54" s="401" t="str">
        <f t="shared" si="3"/>
        <v/>
      </c>
    </row>
    <row r="55" spans="2:13" x14ac:dyDescent="0.25">
      <c r="B55" s="58"/>
      <c r="C55" s="14"/>
      <c r="D55" s="15"/>
      <c r="E55" s="15"/>
      <c r="F55" s="24"/>
      <c r="G55" s="423"/>
      <c r="H55" s="17" t="str">
        <f t="shared" si="0"/>
        <v/>
      </c>
      <c r="I55" s="63"/>
      <c r="J55" s="62"/>
      <c r="K55" s="62"/>
      <c r="L55" s="420" t="str">
        <f t="shared" si="2"/>
        <v/>
      </c>
      <c r="M55" s="401" t="str">
        <f t="shared" si="3"/>
        <v/>
      </c>
    </row>
    <row r="56" spans="2:13" x14ac:dyDescent="0.25">
      <c r="B56" s="58"/>
      <c r="C56" s="14"/>
      <c r="D56" s="15"/>
      <c r="E56" s="15"/>
      <c r="F56" s="24"/>
      <c r="G56" s="423"/>
      <c r="H56" s="17" t="str">
        <f t="shared" si="0"/>
        <v/>
      </c>
      <c r="I56" s="63"/>
      <c r="J56" s="61"/>
      <c r="K56" s="62"/>
      <c r="L56" s="420" t="str">
        <f t="shared" si="2"/>
        <v/>
      </c>
      <c r="M56" s="401" t="str">
        <f t="shared" si="3"/>
        <v/>
      </c>
    </row>
    <row r="57" spans="2:13" x14ac:dyDescent="0.25">
      <c r="B57" s="58"/>
      <c r="C57" s="14"/>
      <c r="D57" s="15"/>
      <c r="E57" s="15"/>
      <c r="F57" s="24"/>
      <c r="G57" s="423"/>
      <c r="H57" s="17" t="str">
        <f t="shared" si="0"/>
        <v/>
      </c>
      <c r="I57" s="63"/>
      <c r="J57" s="61"/>
      <c r="K57" s="62"/>
      <c r="L57" s="420" t="str">
        <f t="shared" si="2"/>
        <v/>
      </c>
      <c r="M57" s="401" t="str">
        <f t="shared" si="3"/>
        <v/>
      </c>
    </row>
    <row r="58" spans="2:13" x14ac:dyDescent="0.25">
      <c r="B58" s="58"/>
      <c r="C58" s="14"/>
      <c r="D58" s="15"/>
      <c r="E58" s="15"/>
      <c r="F58" s="24"/>
      <c r="G58" s="423"/>
      <c r="H58" s="17" t="str">
        <f t="shared" si="0"/>
        <v/>
      </c>
      <c r="I58" s="63"/>
      <c r="J58" s="61"/>
      <c r="K58" s="62"/>
      <c r="L58" s="420" t="str">
        <f t="shared" si="2"/>
        <v/>
      </c>
      <c r="M58" s="401" t="str">
        <f t="shared" si="3"/>
        <v/>
      </c>
    </row>
    <row r="59" spans="2:13" x14ac:dyDescent="0.25">
      <c r="B59" s="58"/>
      <c r="C59" s="14"/>
      <c r="D59" s="15"/>
      <c r="E59" s="15"/>
      <c r="F59" s="24"/>
      <c r="G59" s="423"/>
      <c r="H59" s="17" t="str">
        <f t="shared" si="0"/>
        <v/>
      </c>
      <c r="I59" s="63"/>
      <c r="J59" s="61"/>
      <c r="K59" s="62"/>
      <c r="L59" s="420" t="str">
        <f t="shared" si="2"/>
        <v/>
      </c>
      <c r="M59" s="401" t="str">
        <f t="shared" si="3"/>
        <v/>
      </c>
    </row>
    <row r="60" spans="2:13" x14ac:dyDescent="0.25">
      <c r="B60" s="58"/>
      <c r="C60" s="14"/>
      <c r="D60" s="15"/>
      <c r="E60" s="15"/>
      <c r="F60" s="24"/>
      <c r="G60" s="423"/>
      <c r="H60" s="17" t="str">
        <f t="shared" si="0"/>
        <v/>
      </c>
      <c r="I60" s="63"/>
      <c r="J60" s="62"/>
      <c r="K60" s="62"/>
      <c r="L60" s="420" t="str">
        <f t="shared" si="2"/>
        <v/>
      </c>
      <c r="M60" s="401" t="str">
        <f t="shared" si="3"/>
        <v/>
      </c>
    </row>
    <row r="61" spans="2:13" x14ac:dyDescent="0.25">
      <c r="B61" s="58"/>
      <c r="C61" s="14"/>
      <c r="D61" s="15"/>
      <c r="E61" s="15"/>
      <c r="F61" s="24"/>
      <c r="G61" s="423"/>
      <c r="H61" s="17" t="str">
        <f t="shared" si="0"/>
        <v/>
      </c>
      <c r="I61" s="63"/>
      <c r="J61" s="62"/>
      <c r="K61" s="62"/>
      <c r="L61" s="420" t="str">
        <f t="shared" si="2"/>
        <v/>
      </c>
      <c r="M61" s="401" t="str">
        <f t="shared" si="3"/>
        <v/>
      </c>
    </row>
    <row r="62" spans="2:13" x14ac:dyDescent="0.25">
      <c r="B62" s="58"/>
      <c r="C62" s="14"/>
      <c r="D62" s="15"/>
      <c r="E62" s="15"/>
      <c r="F62" s="24"/>
      <c r="G62" s="423"/>
      <c r="H62" s="17" t="str">
        <f t="shared" si="0"/>
        <v/>
      </c>
      <c r="I62" s="63"/>
      <c r="J62" s="62"/>
      <c r="K62" s="62"/>
      <c r="L62" s="420" t="str">
        <f t="shared" si="2"/>
        <v/>
      </c>
      <c r="M62" s="401" t="str">
        <f t="shared" si="3"/>
        <v/>
      </c>
    </row>
    <row r="63" spans="2:13" x14ac:dyDescent="0.25">
      <c r="B63" s="58"/>
      <c r="C63" s="14"/>
      <c r="D63" s="15"/>
      <c r="E63" s="15"/>
      <c r="F63" s="24"/>
      <c r="G63" s="423"/>
      <c r="H63" s="17" t="str">
        <f t="shared" si="0"/>
        <v/>
      </c>
      <c r="I63" s="63"/>
      <c r="J63" s="62"/>
      <c r="K63" s="62"/>
      <c r="L63" s="420" t="str">
        <f t="shared" si="2"/>
        <v/>
      </c>
      <c r="M63" s="401" t="str">
        <f t="shared" si="3"/>
        <v/>
      </c>
    </row>
    <row r="64" spans="2:13" x14ac:dyDescent="0.25">
      <c r="B64" s="58"/>
      <c r="C64" s="14"/>
      <c r="D64" s="15"/>
      <c r="E64" s="15"/>
      <c r="F64" s="24"/>
      <c r="G64" s="423"/>
      <c r="H64" s="17" t="str">
        <f t="shared" si="0"/>
        <v/>
      </c>
      <c r="I64" s="63"/>
      <c r="J64" s="62"/>
      <c r="K64" s="62"/>
      <c r="L64" s="420" t="str">
        <f t="shared" si="2"/>
        <v/>
      </c>
      <c r="M64" s="401" t="str">
        <f t="shared" si="3"/>
        <v/>
      </c>
    </row>
    <row r="65" spans="2:13" x14ac:dyDescent="0.25">
      <c r="B65" s="58"/>
      <c r="C65" s="14"/>
      <c r="D65" s="15"/>
      <c r="E65" s="15"/>
      <c r="F65" s="24"/>
      <c r="G65" s="423"/>
      <c r="H65" s="17" t="str">
        <f t="shared" si="0"/>
        <v/>
      </c>
      <c r="I65" s="63"/>
      <c r="J65" s="62"/>
      <c r="K65" s="62"/>
      <c r="L65" s="420" t="str">
        <f t="shared" si="2"/>
        <v/>
      </c>
      <c r="M65" s="401" t="str">
        <f t="shared" si="3"/>
        <v/>
      </c>
    </row>
    <row r="66" spans="2:13" x14ac:dyDescent="0.25">
      <c r="B66" s="58"/>
      <c r="C66" s="14"/>
      <c r="D66" s="15"/>
      <c r="E66" s="15"/>
      <c r="F66" s="24"/>
      <c r="G66" s="423"/>
      <c r="H66" s="17" t="str">
        <f t="shared" si="0"/>
        <v/>
      </c>
      <c r="I66" s="63"/>
      <c r="J66" s="62"/>
      <c r="K66" s="62"/>
      <c r="L66" s="420" t="str">
        <f t="shared" si="2"/>
        <v/>
      </c>
      <c r="M66" s="401" t="str">
        <f t="shared" si="3"/>
        <v/>
      </c>
    </row>
    <row r="67" spans="2:13" x14ac:dyDescent="0.25">
      <c r="B67" s="58"/>
      <c r="C67" s="14"/>
      <c r="D67" s="15"/>
      <c r="E67" s="15"/>
      <c r="F67" s="24"/>
      <c r="G67" s="423"/>
      <c r="H67" s="17" t="str">
        <f t="shared" si="0"/>
        <v/>
      </c>
      <c r="I67" s="63"/>
      <c r="J67" s="62"/>
      <c r="K67" s="62"/>
      <c r="L67" s="420" t="str">
        <f t="shared" si="2"/>
        <v/>
      </c>
      <c r="M67" s="401" t="str">
        <f t="shared" si="3"/>
        <v/>
      </c>
    </row>
    <row r="68" spans="2:13" x14ac:dyDescent="0.25">
      <c r="B68" s="58"/>
      <c r="C68" s="14"/>
      <c r="D68" s="15"/>
      <c r="E68" s="15"/>
      <c r="F68" s="24"/>
      <c r="G68" s="423"/>
      <c r="H68" s="17" t="str">
        <f t="shared" si="0"/>
        <v/>
      </c>
      <c r="I68" s="63"/>
      <c r="J68" s="62"/>
      <c r="K68" s="62"/>
      <c r="L68" s="420" t="str">
        <f t="shared" si="2"/>
        <v/>
      </c>
      <c r="M68" s="401" t="str">
        <f t="shared" si="3"/>
        <v/>
      </c>
    </row>
    <row r="69" spans="2:13" x14ac:dyDescent="0.25">
      <c r="B69" s="58"/>
      <c r="C69" s="14"/>
      <c r="D69" s="15"/>
      <c r="E69" s="15"/>
      <c r="F69" s="24"/>
      <c r="G69" s="423"/>
      <c r="H69" s="17" t="str">
        <f t="shared" si="0"/>
        <v/>
      </c>
      <c r="I69" s="63"/>
      <c r="J69" s="62"/>
      <c r="K69" s="62"/>
      <c r="L69" s="420" t="str">
        <f t="shared" si="2"/>
        <v/>
      </c>
      <c r="M69" s="401" t="str">
        <f t="shared" si="3"/>
        <v/>
      </c>
    </row>
    <row r="70" spans="2:13" x14ac:dyDescent="0.25">
      <c r="B70" s="58"/>
      <c r="C70" s="14"/>
      <c r="D70" s="15"/>
      <c r="E70" s="15"/>
      <c r="F70" s="24"/>
      <c r="G70" s="423"/>
      <c r="H70" s="17" t="str">
        <f t="shared" ref="H70:H73" si="4">IF(D70="","",F70*G70)</f>
        <v/>
      </c>
      <c r="I70" s="63"/>
      <c r="J70" s="62"/>
      <c r="K70" s="62"/>
      <c r="L70" s="420" t="str">
        <f t="shared" ref="L70:L73" si="5">IF(J70="","",F70*K70)</f>
        <v/>
      </c>
      <c r="M70" s="401" t="str">
        <f t="shared" ref="M70:M73" si="6">IF(J70="","",IF(SUM(H70)=0,"",L70/H70))</f>
        <v/>
      </c>
    </row>
    <row r="71" spans="2:13" x14ac:dyDescent="0.25">
      <c r="B71" s="58"/>
      <c r="C71" s="14"/>
      <c r="D71" s="15"/>
      <c r="E71" s="15"/>
      <c r="F71" s="24"/>
      <c r="G71" s="423"/>
      <c r="H71" s="17" t="str">
        <f t="shared" si="4"/>
        <v/>
      </c>
      <c r="I71" s="63"/>
      <c r="J71" s="62"/>
      <c r="K71" s="62"/>
      <c r="L71" s="420" t="str">
        <f t="shared" si="5"/>
        <v/>
      </c>
      <c r="M71" s="401" t="str">
        <f t="shared" si="6"/>
        <v/>
      </c>
    </row>
    <row r="72" spans="2:13" x14ac:dyDescent="0.25">
      <c r="B72" s="58"/>
      <c r="C72" s="14"/>
      <c r="D72" s="15"/>
      <c r="E72" s="15"/>
      <c r="F72" s="24"/>
      <c r="G72" s="423"/>
      <c r="H72" s="17" t="str">
        <f t="shared" si="4"/>
        <v/>
      </c>
      <c r="I72" s="63"/>
      <c r="J72" s="62"/>
      <c r="K72" s="62"/>
      <c r="L72" s="420" t="str">
        <f t="shared" si="5"/>
        <v/>
      </c>
      <c r="M72" s="401" t="str">
        <f t="shared" si="6"/>
        <v/>
      </c>
    </row>
    <row r="73" spans="2:13" x14ac:dyDescent="0.25">
      <c r="B73" s="58"/>
      <c r="C73" s="14"/>
      <c r="D73" s="15"/>
      <c r="E73" s="15"/>
      <c r="F73" s="24"/>
      <c r="G73" s="423"/>
      <c r="H73" s="17" t="str">
        <f t="shared" si="4"/>
        <v/>
      </c>
      <c r="I73" s="63"/>
      <c r="J73" s="62"/>
      <c r="K73" s="62"/>
      <c r="L73" s="420" t="str">
        <f t="shared" si="5"/>
        <v/>
      </c>
      <c r="M73" s="401" t="str">
        <f t="shared" si="6"/>
        <v/>
      </c>
    </row>
    <row r="74" spans="2:13" x14ac:dyDescent="0.25">
      <c r="B74" s="58"/>
      <c r="C74" s="14"/>
      <c r="D74" s="15"/>
      <c r="E74" s="15"/>
      <c r="F74" s="24"/>
      <c r="G74" s="423"/>
      <c r="H74" s="17" t="str">
        <f t="shared" si="0"/>
        <v/>
      </c>
      <c r="I74" s="63"/>
      <c r="J74" s="62"/>
      <c r="K74" s="62"/>
      <c r="L74" s="420" t="str">
        <f t="shared" si="2"/>
        <v/>
      </c>
      <c r="M74" s="401" t="str">
        <f t="shared" si="3"/>
        <v/>
      </c>
    </row>
    <row r="75" spans="2:13" x14ac:dyDescent="0.25">
      <c r="B75" s="58"/>
      <c r="C75" s="14"/>
      <c r="D75" s="15"/>
      <c r="E75" s="15"/>
      <c r="F75" s="24"/>
      <c r="G75" s="423"/>
      <c r="H75" s="17" t="str">
        <f t="shared" si="0"/>
        <v/>
      </c>
      <c r="I75" s="63"/>
      <c r="J75" s="62"/>
      <c r="K75" s="62"/>
      <c r="L75" s="420" t="str">
        <f t="shared" si="2"/>
        <v/>
      </c>
      <c r="M75" s="401" t="str">
        <f t="shared" si="3"/>
        <v/>
      </c>
    </row>
    <row r="76" spans="2:13" x14ac:dyDescent="0.25">
      <c r="B76" s="58"/>
      <c r="C76" s="14"/>
      <c r="D76" s="15"/>
      <c r="E76" s="15"/>
      <c r="F76" s="24"/>
      <c r="G76" s="423"/>
      <c r="H76" s="17" t="str">
        <f t="shared" si="0"/>
        <v/>
      </c>
      <c r="I76" s="63"/>
      <c r="J76" s="61"/>
      <c r="K76" s="695"/>
      <c r="L76" s="420" t="str">
        <f t="shared" ref="L76:L77" si="7">IF(J76="","",F76*K76)</f>
        <v/>
      </c>
      <c r="M76" s="401" t="str">
        <f t="shared" ref="M76:M77" si="8">IF(J76="","",IF(SUM(H76)=0,"",L76/H76))</f>
        <v/>
      </c>
    </row>
    <row r="77" spans="2:13" x14ac:dyDescent="0.25">
      <c r="B77" s="58"/>
      <c r="C77" s="14"/>
      <c r="D77" s="15"/>
      <c r="E77" s="15"/>
      <c r="F77" s="24"/>
      <c r="G77" s="423"/>
      <c r="H77" s="17" t="str">
        <f t="shared" ref="H77" si="9">IF(D77="","",F77*G77)</f>
        <v/>
      </c>
      <c r="I77" s="63"/>
      <c r="J77" s="61"/>
      <c r="K77" s="696"/>
      <c r="L77" s="420" t="str">
        <f t="shared" si="7"/>
        <v/>
      </c>
      <c r="M77" s="401" t="str">
        <f t="shared" si="8"/>
        <v/>
      </c>
    </row>
    <row r="78" spans="2:13" s="28" customFormat="1" ht="24.75" customHeight="1" x14ac:dyDescent="0.25">
      <c r="B78" s="84" t="str">
        <f>$B$12</f>
        <v>C11.9</v>
      </c>
      <c r="C78" s="498" t="str">
        <f>"TOTAL CARRIED FORWARD"&amp;IF(H78=H$1," TO SUMMARY (Page C"&amp;Page_A&amp;")","")</f>
        <v>TOTAL CARRIED FORWARD TO SUMMARY (Page C48)</v>
      </c>
      <c r="D78" s="31"/>
      <c r="E78" s="31"/>
      <c r="F78" s="32"/>
      <c r="G78" s="31"/>
      <c r="H78" s="33">
        <f>SUM(H11:H77)</f>
        <v>0</v>
      </c>
      <c r="I78" s="34"/>
      <c r="J78" s="408"/>
      <c r="K78" s="406"/>
      <c r="L78" s="418">
        <f>SUM(L11:L77)</f>
        <v>0</v>
      </c>
      <c r="M78" s="407" t="str">
        <f t="shared" ref="M78" si="10">IF(J78="","",IF(SUM(H78)=0,"",L78/H78))</f>
        <v/>
      </c>
    </row>
  </sheetData>
  <mergeCells count="4">
    <mergeCell ref="F3:H3"/>
    <mergeCell ref="B6:G6"/>
    <mergeCell ref="H6:H9"/>
    <mergeCell ref="B7:G9"/>
  </mergeCells>
  <conditionalFormatting sqref="G11:H78">
    <cfRule type="expression" dxfId="69"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2:P73"/>
  <sheetViews>
    <sheetView showGridLines="0" zoomScaleNormal="100" workbookViewId="0">
      <selection activeCell="J13" sqref="J13"/>
    </sheetView>
  </sheetViews>
  <sheetFormatPr defaultRowHeight="12.5" x14ac:dyDescent="0.25"/>
  <cols>
    <col min="2" max="2" width="18.1796875" bestFit="1" customWidth="1"/>
    <col min="3" max="3" width="9.453125" customWidth="1"/>
    <col min="4" max="4" width="11.1796875" customWidth="1"/>
    <col min="5" max="5" width="10.453125" bestFit="1" customWidth="1"/>
    <col min="6" max="6" width="16.1796875" customWidth="1"/>
  </cols>
  <sheetData>
    <row r="2" spans="2:10" ht="13" x14ac:dyDescent="0.25">
      <c r="B2" s="94" t="s">
        <v>563</v>
      </c>
      <c r="C2" s="158" t="s">
        <v>9</v>
      </c>
      <c r="D2" s="233"/>
    </row>
    <row r="3" spans="2:10" ht="13" x14ac:dyDescent="0.25">
      <c r="B3" s="94" t="s">
        <v>564</v>
      </c>
      <c r="C3" s="159" t="s">
        <v>10</v>
      </c>
      <c r="D3" s="233"/>
    </row>
    <row r="4" spans="2:10" x14ac:dyDescent="0.25">
      <c r="C4" s="94"/>
    </row>
    <row r="5" spans="2:10" ht="13" x14ac:dyDescent="0.3">
      <c r="B5" s="94" t="s">
        <v>792</v>
      </c>
      <c r="C5" s="846" t="s">
        <v>2063</v>
      </c>
      <c r="D5" s="157"/>
      <c r="E5" s="157"/>
      <c r="F5" s="94"/>
      <c r="G5" s="94"/>
    </row>
    <row r="6" spans="2:10" ht="13" x14ac:dyDescent="0.25">
      <c r="B6" s="94" t="s">
        <v>793</v>
      </c>
      <c r="C6" s="156" t="s">
        <v>2252</v>
      </c>
      <c r="D6" s="157"/>
      <c r="E6" s="157"/>
      <c r="F6" s="157"/>
      <c r="G6" s="157"/>
      <c r="H6" s="233"/>
      <c r="I6" s="233"/>
      <c r="J6" s="233"/>
    </row>
    <row r="7" spans="2:10" x14ac:dyDescent="0.25">
      <c r="B7" s="94"/>
      <c r="C7" s="94"/>
      <c r="D7" s="94"/>
      <c r="E7" s="94"/>
      <c r="F7" s="94"/>
      <c r="G7" s="94"/>
    </row>
    <row r="8" spans="2:10" x14ac:dyDescent="0.25">
      <c r="C8" t="b">
        <v>1</v>
      </c>
    </row>
    <row r="9" spans="2:10" x14ac:dyDescent="0.25">
      <c r="C9" s="160"/>
    </row>
    <row r="11" spans="2:10" ht="13" x14ac:dyDescent="0.3">
      <c r="B11" s="94" t="s">
        <v>860</v>
      </c>
      <c r="C11" s="161">
        <v>44.79</v>
      </c>
      <c r="D11" s="94" t="s">
        <v>861</v>
      </c>
      <c r="E11" s="94"/>
      <c r="F11" s="932" t="s">
        <v>2201</v>
      </c>
      <c r="G11" s="933"/>
      <c r="I11" s="162" t="s">
        <v>862</v>
      </c>
    </row>
    <row r="12" spans="2:10" ht="13" x14ac:dyDescent="0.3">
      <c r="B12" s="94" t="s">
        <v>863</v>
      </c>
      <c r="C12" s="163">
        <v>8</v>
      </c>
      <c r="F12" s="934">
        <f ca="1">Summary!G22</f>
        <v>45906566.009999998</v>
      </c>
      <c r="G12" s="935"/>
      <c r="I12" s="164" t="s">
        <v>864</v>
      </c>
      <c r="J12" s="165">
        <v>48</v>
      </c>
    </row>
    <row r="13" spans="2:10" ht="13" x14ac:dyDescent="0.3">
      <c r="B13" s="94" t="s">
        <v>865</v>
      </c>
      <c r="C13" s="166">
        <f>ROUND(C11*C12,2)</f>
        <v>358.32</v>
      </c>
      <c r="D13" s="94" t="s">
        <v>866</v>
      </c>
      <c r="E13" s="94"/>
      <c r="F13" s="936" t="s">
        <v>2202</v>
      </c>
      <c r="G13" s="937">
        <f ca="1">CPG!F100</f>
        <v>0.67479496935072913</v>
      </c>
      <c r="I13" s="164" t="s">
        <v>1849</v>
      </c>
      <c r="J13" s="165">
        <f>Page_A+17</f>
        <v>65</v>
      </c>
    </row>
    <row r="14" spans="2:10" ht="13" x14ac:dyDescent="0.3">
      <c r="F14" s="936" t="s">
        <v>1981</v>
      </c>
      <c r="G14" s="937">
        <f ca="1">'WD Calc'!L803</f>
        <v>0.13668371863269616</v>
      </c>
      <c r="I14" s="164" t="s">
        <v>2240</v>
      </c>
      <c r="J14" s="165">
        <f>Page_B+2</f>
        <v>67</v>
      </c>
    </row>
    <row r="15" spans="2:10" x14ac:dyDescent="0.25">
      <c r="I15" s="164" t="s">
        <v>833</v>
      </c>
      <c r="J15" s="165">
        <f>Page_F+3</f>
        <v>70</v>
      </c>
    </row>
    <row r="16" spans="2:10" ht="13" x14ac:dyDescent="0.3">
      <c r="B16" s="94" t="s">
        <v>867</v>
      </c>
      <c r="C16" s="163">
        <v>22</v>
      </c>
      <c r="D16" s="94" t="s">
        <v>868</v>
      </c>
      <c r="E16" s="94"/>
      <c r="F16" s="167" t="s">
        <v>869</v>
      </c>
      <c r="G16" s="167"/>
      <c r="I16" s="164" t="s">
        <v>2136</v>
      </c>
      <c r="J16" s="165">
        <f>Page_G+2</f>
        <v>72</v>
      </c>
    </row>
    <row r="17" spans="2:16" ht="13" x14ac:dyDescent="0.3">
      <c r="B17" s="94" t="s">
        <v>1142</v>
      </c>
      <c r="C17" s="500">
        <f>ROUNDUP(22*8*1.5*_LabourRate/500,0)*500</f>
        <v>12000</v>
      </c>
      <c r="D17" s="501" t="s">
        <v>1143</v>
      </c>
      <c r="F17" s="168" t="s">
        <v>871</v>
      </c>
      <c r="G17" s="168" t="s">
        <v>872</v>
      </c>
      <c r="I17" s="164" t="s">
        <v>870</v>
      </c>
      <c r="J17" s="165">
        <f>J16+1</f>
        <v>73</v>
      </c>
    </row>
    <row r="18" spans="2:16" x14ac:dyDescent="0.25">
      <c r="F18" s="169" t="s">
        <v>873</v>
      </c>
      <c r="G18" s="170">
        <v>0.1</v>
      </c>
    </row>
    <row r="19" spans="2:16" x14ac:dyDescent="0.25">
      <c r="B19" s="94" t="s">
        <v>874</v>
      </c>
      <c r="C19" s="171">
        <v>0.1</v>
      </c>
      <c r="F19" s="172" t="s">
        <v>875</v>
      </c>
      <c r="G19" s="173">
        <v>0.08</v>
      </c>
    </row>
    <row r="20" spans="2:16" x14ac:dyDescent="0.25">
      <c r="B20" s="94" t="s">
        <v>876</v>
      </c>
      <c r="C20" s="171">
        <v>0.1</v>
      </c>
      <c r="F20" s="174" t="s">
        <v>877</v>
      </c>
      <c r="G20" s="175">
        <v>0.05</v>
      </c>
    </row>
    <row r="23" spans="2:16" x14ac:dyDescent="0.25">
      <c r="B23" s="94" t="s">
        <v>878</v>
      </c>
      <c r="C23" s="163">
        <v>11.6</v>
      </c>
    </row>
    <row r="24" spans="2:16" x14ac:dyDescent="0.25">
      <c r="B24" s="94" t="s">
        <v>879</v>
      </c>
      <c r="C24" s="163">
        <v>14</v>
      </c>
    </row>
    <row r="25" spans="2:16" ht="13" x14ac:dyDescent="0.3">
      <c r="B25" s="94" t="s">
        <v>880</v>
      </c>
      <c r="C25" s="176">
        <f>ABS(C24-C23)</f>
        <v>2.4000000000000004</v>
      </c>
      <c r="D25" s="94" t="s">
        <v>881</v>
      </c>
      <c r="E25" s="94"/>
      <c r="F25" s="162" t="s">
        <v>882</v>
      </c>
    </row>
    <row r="26" spans="2:16" x14ac:dyDescent="0.25">
      <c r="O26" s="94" t="s">
        <v>883</v>
      </c>
    </row>
    <row r="27" spans="2:16" ht="25" x14ac:dyDescent="0.25">
      <c r="B27" s="155" t="s">
        <v>884</v>
      </c>
      <c r="C27" s="171">
        <v>0.05</v>
      </c>
      <c r="F27" s="177" t="s">
        <v>885</v>
      </c>
      <c r="G27" s="177" t="s">
        <v>886</v>
      </c>
      <c r="H27" s="177" t="s">
        <v>887</v>
      </c>
      <c r="I27" s="177" t="s">
        <v>888</v>
      </c>
      <c r="J27" s="177" t="s">
        <v>889</v>
      </c>
      <c r="K27" s="177" t="s">
        <v>890</v>
      </c>
      <c r="O27" s="178" t="s">
        <v>891</v>
      </c>
      <c r="P27" s="178" t="s">
        <v>892</v>
      </c>
    </row>
    <row r="28" spans="2:16" ht="13" x14ac:dyDescent="0.3">
      <c r="F28" s="179" t="s">
        <v>893</v>
      </c>
      <c r="G28" s="180">
        <v>0.15</v>
      </c>
      <c r="H28" s="180">
        <v>0.5</v>
      </c>
      <c r="I28" s="180">
        <v>0.2</v>
      </c>
      <c r="J28" s="180">
        <v>0.15</v>
      </c>
      <c r="K28" s="181">
        <f>SUM(F28:J28)</f>
        <v>1</v>
      </c>
      <c r="O28" s="182">
        <f>ROUND((((1.61+3.3)*0.5*1.35)+(3.3*0.6))*0.15,1)</f>
        <v>0.8</v>
      </c>
      <c r="P28" s="182">
        <f>ROUND(0.935*(3.3),1)</f>
        <v>3.1</v>
      </c>
    </row>
    <row r="29" spans="2:16" ht="13" x14ac:dyDescent="0.3">
      <c r="B29" s="94" t="s">
        <v>894</v>
      </c>
      <c r="F29" s="183" t="s">
        <v>895</v>
      </c>
      <c r="G29" s="184"/>
      <c r="H29" s="184"/>
      <c r="I29" s="184"/>
      <c r="J29" s="184"/>
      <c r="K29" s="185"/>
    </row>
    <row r="30" spans="2:16" ht="13" x14ac:dyDescent="0.3">
      <c r="B30" s="94" t="s">
        <v>896</v>
      </c>
      <c r="C30" s="163">
        <v>1</v>
      </c>
      <c r="D30" s="94" t="s">
        <v>897</v>
      </c>
      <c r="E30" s="94"/>
      <c r="F30" s="186" t="s">
        <v>898</v>
      </c>
      <c r="G30" s="187">
        <v>0.2</v>
      </c>
      <c r="H30" s="187">
        <v>0.2</v>
      </c>
      <c r="I30" s="187">
        <v>0.55000000000000004</v>
      </c>
      <c r="J30" s="187">
        <v>0.05</v>
      </c>
      <c r="K30" s="188">
        <f>SUM(F30:J30)</f>
        <v>1</v>
      </c>
      <c r="O30" s="189"/>
      <c r="P30" s="189"/>
    </row>
    <row r="31" spans="2:16" ht="13" x14ac:dyDescent="0.3">
      <c r="B31" s="94" t="s">
        <v>899</v>
      </c>
      <c r="C31" s="163">
        <v>12</v>
      </c>
      <c r="D31" s="94" t="s">
        <v>900</v>
      </c>
      <c r="E31" s="94"/>
      <c r="F31" s="190" t="s">
        <v>901</v>
      </c>
      <c r="G31" s="191"/>
      <c r="H31" s="191"/>
      <c r="I31" s="191"/>
      <c r="J31" s="191"/>
      <c r="K31" s="192"/>
    </row>
    <row r="32" spans="2:16" ht="25.5" x14ac:dyDescent="0.3">
      <c r="F32" s="186" t="s">
        <v>902</v>
      </c>
      <c r="G32" s="187">
        <v>0.2</v>
      </c>
      <c r="H32" s="187">
        <v>0.35</v>
      </c>
      <c r="I32" s="187">
        <v>0.35</v>
      </c>
      <c r="J32" s="187">
        <v>0.1</v>
      </c>
      <c r="K32" s="188">
        <f>SUM(F32:J32)</f>
        <v>1</v>
      </c>
    </row>
    <row r="33" spans="2:14" ht="25.5" x14ac:dyDescent="0.3">
      <c r="B33" s="308" t="s">
        <v>1940</v>
      </c>
      <c r="C33" s="755">
        <v>2.9000000000000001E-2</v>
      </c>
      <c r="D33">
        <v>6.20586821838231E-2</v>
      </c>
      <c r="F33" s="186" t="s">
        <v>903</v>
      </c>
      <c r="G33" s="187">
        <v>0.4</v>
      </c>
      <c r="H33" s="187">
        <v>0.1</v>
      </c>
      <c r="I33" s="187">
        <v>0.45</v>
      </c>
      <c r="J33" s="187">
        <v>0.05</v>
      </c>
      <c r="K33" s="188">
        <f>SUM(F33:J33)</f>
        <v>1</v>
      </c>
    </row>
    <row r="34" spans="2:14" ht="25.5" x14ac:dyDescent="0.3">
      <c r="B34" s="308" t="s">
        <v>1941</v>
      </c>
      <c r="C34" s="755">
        <f>Labour_perc_roads</f>
        <v>2.9000000000000001E-2</v>
      </c>
      <c r="F34" s="193" t="s">
        <v>904</v>
      </c>
      <c r="G34" s="187">
        <v>0.15</v>
      </c>
      <c r="H34" s="187">
        <v>0.15</v>
      </c>
      <c r="I34" s="187">
        <v>0.6</v>
      </c>
      <c r="J34" s="187">
        <v>0.1</v>
      </c>
      <c r="K34" s="188">
        <f>SUM(F34:J34)</f>
        <v>0.99999999999999989</v>
      </c>
    </row>
    <row r="36" spans="2:14" ht="13" x14ac:dyDescent="0.3">
      <c r="B36" s="162" t="s">
        <v>905</v>
      </c>
    </row>
    <row r="37" spans="2:14" ht="13" x14ac:dyDescent="0.25">
      <c r="B37" s="194" t="s">
        <v>906</v>
      </c>
      <c r="C37" s="195"/>
      <c r="D37" s="177" t="s">
        <v>907</v>
      </c>
      <c r="E37" s="177" t="s">
        <v>908</v>
      </c>
      <c r="F37" s="177" t="s">
        <v>909</v>
      </c>
      <c r="G37" s="196"/>
      <c r="H37" s="197"/>
      <c r="I37" s="197"/>
      <c r="J37" s="197" t="s">
        <v>910</v>
      </c>
      <c r="K37" s="197"/>
      <c r="L37" s="197"/>
      <c r="M37" s="197"/>
      <c r="N37" s="198"/>
    </row>
    <row r="38" spans="2:14" x14ac:dyDescent="0.25">
      <c r="B38" s="199" t="s">
        <v>911</v>
      </c>
      <c r="C38" s="200"/>
      <c r="D38" s="201"/>
      <c r="E38" s="202">
        <f>ROUND(_LabourRate*70/60/60/0.06/50,2)</f>
        <v>0.28999999999999998</v>
      </c>
      <c r="F38" s="203" t="s">
        <v>912</v>
      </c>
      <c r="G38" s="199" t="s">
        <v>913</v>
      </c>
      <c r="H38" s="204"/>
      <c r="I38" s="204"/>
      <c r="J38" s="204" t="s">
        <v>914</v>
      </c>
      <c r="K38" s="204"/>
      <c r="L38" s="204"/>
      <c r="M38" s="204"/>
      <c r="N38" s="205"/>
    </row>
    <row r="39" spans="2:14" x14ac:dyDescent="0.25">
      <c r="B39" s="206" t="s">
        <v>915</v>
      </c>
      <c r="C39" s="207"/>
      <c r="D39" s="208"/>
      <c r="E39" s="209">
        <v>30</v>
      </c>
      <c r="F39" s="210"/>
      <c r="G39" s="211"/>
      <c r="H39" s="212"/>
      <c r="I39" s="212"/>
      <c r="J39" s="212"/>
      <c r="K39" s="212"/>
      <c r="L39" s="212"/>
      <c r="M39" s="212"/>
      <c r="N39" s="213"/>
    </row>
    <row r="40" spans="2:14" ht="13" x14ac:dyDescent="0.3">
      <c r="B40" s="206" t="s">
        <v>916</v>
      </c>
      <c r="C40" s="207"/>
      <c r="D40" s="214" t="s">
        <v>512</v>
      </c>
      <c r="E40" s="215">
        <f>ROUND(_HaulPerMetre*E39,1)</f>
        <v>8.6999999999999993</v>
      </c>
      <c r="F40" s="216" t="s">
        <v>917</v>
      </c>
      <c r="G40" s="206"/>
      <c r="H40" s="217"/>
      <c r="I40" s="217"/>
      <c r="J40" s="217"/>
      <c r="K40" s="217"/>
      <c r="L40" s="217"/>
      <c r="M40" s="217"/>
      <c r="N40" s="218"/>
    </row>
    <row r="41" spans="2:14" ht="13" x14ac:dyDescent="0.3">
      <c r="B41" s="206" t="s">
        <v>918</v>
      </c>
      <c r="C41" s="207"/>
      <c r="D41" s="214" t="s">
        <v>512</v>
      </c>
      <c r="E41" s="215">
        <f>ROUND(7*15/60*_LabourRate*5,0)</f>
        <v>392</v>
      </c>
      <c r="F41" s="216" t="s">
        <v>919</v>
      </c>
      <c r="G41" s="206" t="s">
        <v>920</v>
      </c>
      <c r="H41" s="217"/>
      <c r="I41" s="217"/>
      <c r="J41" s="217"/>
      <c r="K41" s="217"/>
      <c r="L41" s="217"/>
      <c r="M41" s="217"/>
      <c r="N41" s="218"/>
    </row>
    <row r="42" spans="2:14" x14ac:dyDescent="0.25">
      <c r="B42" s="219" t="s">
        <v>921</v>
      </c>
      <c r="C42" s="220"/>
      <c r="D42" s="221" t="s">
        <v>577</v>
      </c>
      <c r="E42" s="215">
        <f>_Mix</f>
        <v>392</v>
      </c>
      <c r="F42" s="222" t="s">
        <v>922</v>
      </c>
      <c r="G42" s="219" t="s">
        <v>923</v>
      </c>
      <c r="H42" s="223"/>
      <c r="I42" s="223"/>
      <c r="J42" s="223"/>
      <c r="K42" s="223"/>
      <c r="L42" s="223"/>
      <c r="M42" s="223"/>
      <c r="N42" s="224"/>
    </row>
    <row r="43" spans="2:14" x14ac:dyDescent="0.25">
      <c r="B43" s="206" t="s">
        <v>924</v>
      </c>
      <c r="C43" s="207"/>
      <c r="D43" s="214" t="s">
        <v>925</v>
      </c>
      <c r="E43" s="215">
        <f>ROUND(_LabourDaily*4/5,0)</f>
        <v>287</v>
      </c>
      <c r="F43" s="216" t="s">
        <v>926</v>
      </c>
      <c r="G43" s="206" t="s">
        <v>927</v>
      </c>
      <c r="H43" s="217"/>
      <c r="I43" s="217"/>
      <c r="J43" s="217"/>
      <c r="K43" s="217"/>
      <c r="L43" s="217"/>
      <c r="M43" s="217"/>
      <c r="N43" s="218"/>
    </row>
    <row r="44" spans="2:14" x14ac:dyDescent="0.25">
      <c r="B44" s="206" t="s">
        <v>928</v>
      </c>
      <c r="C44" s="207"/>
      <c r="D44" s="221" t="s">
        <v>577</v>
      </c>
      <c r="E44" s="215">
        <f>ROUND((_LabourDaily/2.5)+(_LabourRate*70/60/60/0.12),0)</f>
        <v>151</v>
      </c>
      <c r="F44" s="216" t="s">
        <v>929</v>
      </c>
      <c r="G44" s="206" t="s">
        <v>930</v>
      </c>
      <c r="H44" s="217"/>
      <c r="I44" s="217"/>
      <c r="J44" s="217"/>
      <c r="K44" s="217"/>
      <c r="L44" s="217"/>
      <c r="M44" s="217"/>
      <c r="N44" s="218"/>
    </row>
    <row r="45" spans="2:14" x14ac:dyDescent="0.25">
      <c r="B45" s="206" t="s">
        <v>931</v>
      </c>
      <c r="C45" s="207"/>
      <c r="D45" s="221" t="s">
        <v>577</v>
      </c>
      <c r="E45" s="215">
        <f>ROUND(_LabourRate/(5*0.1),1)</f>
        <v>89.6</v>
      </c>
      <c r="F45" s="216" t="s">
        <v>932</v>
      </c>
      <c r="G45" s="206" t="s">
        <v>933</v>
      </c>
      <c r="H45" s="217"/>
      <c r="I45" s="217"/>
      <c r="J45" s="217"/>
      <c r="K45" s="217"/>
      <c r="L45" s="217"/>
      <c r="M45" s="217"/>
      <c r="N45" s="218"/>
    </row>
    <row r="46" spans="2:14" x14ac:dyDescent="0.25">
      <c r="B46" s="206" t="s">
        <v>934</v>
      </c>
      <c r="C46" s="207"/>
      <c r="D46" s="221" t="s">
        <v>577</v>
      </c>
      <c r="E46" s="215">
        <f>ROUND(_LabourRate/(20*0.15),1)</f>
        <v>14.9</v>
      </c>
      <c r="F46" s="216" t="s">
        <v>935</v>
      </c>
      <c r="G46" s="206" t="s">
        <v>936</v>
      </c>
      <c r="H46" s="217"/>
      <c r="I46" s="217"/>
      <c r="J46" s="217"/>
      <c r="K46" s="217"/>
      <c r="L46" s="217"/>
      <c r="M46" s="217"/>
      <c r="N46" s="218"/>
    </row>
    <row r="47" spans="2:14" x14ac:dyDescent="0.25">
      <c r="B47" s="206" t="s">
        <v>937</v>
      </c>
      <c r="C47" s="207"/>
      <c r="D47" s="221" t="s">
        <v>577</v>
      </c>
      <c r="E47" s="215">
        <f>ROUND(_LabourRate/8,1)</f>
        <v>5.6</v>
      </c>
      <c r="F47" s="216" t="s">
        <v>938</v>
      </c>
      <c r="G47" s="206" t="s">
        <v>939</v>
      </c>
      <c r="H47" s="217"/>
      <c r="I47" s="217"/>
      <c r="J47" s="217"/>
      <c r="K47" s="217"/>
      <c r="L47" s="217"/>
      <c r="M47" s="217"/>
      <c r="N47" s="218"/>
    </row>
    <row r="48" spans="2:14" x14ac:dyDescent="0.25">
      <c r="B48" s="206" t="s">
        <v>458</v>
      </c>
      <c r="C48" s="207"/>
      <c r="D48" s="214" t="s">
        <v>925</v>
      </c>
      <c r="E48" s="215">
        <f>ROUND(_LabourDaily*4/25,0)</f>
        <v>57</v>
      </c>
      <c r="F48" s="216" t="s">
        <v>940</v>
      </c>
      <c r="G48" s="206" t="s">
        <v>941</v>
      </c>
      <c r="H48" s="212"/>
      <c r="I48" s="212"/>
      <c r="J48" s="212"/>
      <c r="K48" s="212"/>
      <c r="L48" s="212"/>
      <c r="M48" s="212"/>
      <c r="N48" s="213"/>
    </row>
    <row r="49" spans="2:14" x14ac:dyDescent="0.25">
      <c r="B49" s="206" t="s">
        <v>942</v>
      </c>
      <c r="C49" s="207"/>
      <c r="D49" s="214" t="s">
        <v>925</v>
      </c>
      <c r="E49" s="215">
        <f>ROUND(_LabourDaily*4/15,0)</f>
        <v>96</v>
      </c>
      <c r="F49" s="216" t="s">
        <v>943</v>
      </c>
      <c r="G49" s="206" t="s">
        <v>944</v>
      </c>
      <c r="H49" s="212"/>
      <c r="I49" s="212"/>
      <c r="J49" s="212"/>
      <c r="K49" s="212"/>
      <c r="L49" s="212"/>
      <c r="M49" s="212"/>
      <c r="N49" s="213"/>
    </row>
    <row r="50" spans="2:14" x14ac:dyDescent="0.25">
      <c r="B50" s="206" t="s">
        <v>945</v>
      </c>
      <c r="C50" s="207"/>
      <c r="D50" s="214" t="s">
        <v>21</v>
      </c>
      <c r="E50" s="215">
        <f>ROUND(_LabourRate/10*10000,1)</f>
        <v>44790</v>
      </c>
      <c r="F50" s="216" t="s">
        <v>946</v>
      </c>
      <c r="G50" s="206" t="s">
        <v>947</v>
      </c>
      <c r="H50" s="212"/>
      <c r="I50" s="212"/>
      <c r="J50" s="212"/>
      <c r="K50" s="212"/>
      <c r="L50" s="212"/>
      <c r="M50" s="212"/>
      <c r="N50" s="213"/>
    </row>
    <row r="51" spans="2:14" x14ac:dyDescent="0.25">
      <c r="B51" s="206" t="s">
        <v>948</v>
      </c>
      <c r="C51" s="207"/>
      <c r="D51" s="221" t="s">
        <v>577</v>
      </c>
      <c r="E51" s="215">
        <f>ROUND(_LabourDaily/10+_Wacker,0)</f>
        <v>51</v>
      </c>
      <c r="F51" s="216" t="s">
        <v>949</v>
      </c>
      <c r="G51" s="206" t="s">
        <v>950</v>
      </c>
      <c r="H51" s="212"/>
      <c r="I51" s="212"/>
      <c r="J51" s="212"/>
      <c r="K51" s="212"/>
      <c r="L51" s="212"/>
      <c r="M51" s="212"/>
      <c r="N51" s="213"/>
    </row>
    <row r="52" spans="2:14" x14ac:dyDescent="0.25">
      <c r="B52" s="206" t="s">
        <v>951</v>
      </c>
      <c r="C52" s="207"/>
      <c r="D52" s="214" t="s">
        <v>925</v>
      </c>
      <c r="E52" s="215">
        <f>ROUND(_LabourRate*3,0)</f>
        <v>134</v>
      </c>
      <c r="F52" s="216" t="s">
        <v>952</v>
      </c>
      <c r="G52" s="206" t="s">
        <v>953</v>
      </c>
      <c r="H52" s="212"/>
      <c r="I52" s="212"/>
      <c r="J52" s="212"/>
      <c r="K52" s="212"/>
      <c r="L52" s="212"/>
      <c r="M52" s="212"/>
      <c r="N52" s="213"/>
    </row>
    <row r="53" spans="2:14" x14ac:dyDescent="0.25">
      <c r="B53" s="206" t="s">
        <v>954</v>
      </c>
      <c r="C53" s="207"/>
      <c r="D53" s="214" t="s">
        <v>24</v>
      </c>
      <c r="E53" s="215">
        <f>ROUND(100/1000*_LabourRate,1)</f>
        <v>4.5</v>
      </c>
      <c r="F53" s="216" t="s">
        <v>955</v>
      </c>
      <c r="G53" s="206" t="s">
        <v>956</v>
      </c>
      <c r="H53" s="212"/>
      <c r="I53" s="212"/>
      <c r="J53" s="212"/>
      <c r="K53" s="212"/>
      <c r="L53" s="212"/>
      <c r="M53" s="212"/>
      <c r="N53" s="213"/>
    </row>
    <row r="54" spans="2:14" x14ac:dyDescent="0.25">
      <c r="B54" s="206" t="s">
        <v>957</v>
      </c>
      <c r="C54" s="207"/>
      <c r="D54" s="225" t="s">
        <v>700</v>
      </c>
      <c r="E54" s="215">
        <f>ROUND(_LabourRate*5/60,1)</f>
        <v>3.7</v>
      </c>
      <c r="F54" s="216" t="s">
        <v>958</v>
      </c>
      <c r="G54" s="206" t="s">
        <v>959</v>
      </c>
      <c r="H54" s="212"/>
      <c r="I54" s="212"/>
      <c r="J54" s="212"/>
      <c r="K54" s="212"/>
      <c r="L54" s="212"/>
      <c r="M54" s="212"/>
      <c r="N54" s="213"/>
    </row>
    <row r="55" spans="2:14" x14ac:dyDescent="0.25">
      <c r="B55" s="206" t="s">
        <v>960</v>
      </c>
      <c r="C55" s="207"/>
      <c r="D55" s="214" t="s">
        <v>700</v>
      </c>
      <c r="E55" s="215">
        <f>ROUND(_LabourRate*2*4/60,1)</f>
        <v>6</v>
      </c>
      <c r="F55" s="216" t="s">
        <v>961</v>
      </c>
      <c r="G55" s="206" t="s">
        <v>962</v>
      </c>
      <c r="H55" s="212"/>
      <c r="I55" s="212"/>
      <c r="J55" s="212"/>
      <c r="K55" s="212"/>
      <c r="L55" s="212"/>
      <c r="M55" s="212"/>
      <c r="N55" s="213"/>
    </row>
    <row r="56" spans="2:14" x14ac:dyDescent="0.25">
      <c r="B56" s="206" t="s">
        <v>963</v>
      </c>
      <c r="C56" s="207"/>
      <c r="D56" s="214" t="s">
        <v>6</v>
      </c>
      <c r="E56" s="215">
        <f>ROUND(_LabourRate*2*15/60/2.5,1)</f>
        <v>9</v>
      </c>
      <c r="F56" s="216" t="s">
        <v>964</v>
      </c>
      <c r="G56" s="206" t="s">
        <v>965</v>
      </c>
      <c r="H56" s="212"/>
      <c r="I56" s="212"/>
      <c r="J56" s="212"/>
      <c r="K56" s="212"/>
      <c r="L56" s="212"/>
      <c r="M56" s="212"/>
      <c r="N56" s="213"/>
    </row>
    <row r="57" spans="2:14" x14ac:dyDescent="0.25">
      <c r="B57" s="206" t="s">
        <v>966</v>
      </c>
      <c r="C57" s="207"/>
      <c r="D57" s="214" t="s">
        <v>6</v>
      </c>
      <c r="E57" s="215">
        <f>ROUND(_LabourRate*5/20,1)</f>
        <v>11.2</v>
      </c>
      <c r="F57" s="216" t="s">
        <v>967</v>
      </c>
      <c r="G57" s="206" t="s">
        <v>968</v>
      </c>
      <c r="H57" s="212"/>
      <c r="I57" s="212"/>
      <c r="J57" s="212"/>
      <c r="K57" s="212"/>
      <c r="L57" s="212"/>
      <c r="M57" s="212"/>
      <c r="N57" s="213"/>
    </row>
    <row r="58" spans="2:14" x14ac:dyDescent="0.25">
      <c r="B58" s="206" t="s">
        <v>969</v>
      </c>
      <c r="C58" s="207"/>
      <c r="D58" s="214" t="s">
        <v>6</v>
      </c>
      <c r="E58" s="215">
        <f>_Mix*0.3*0.075+_LabourDaily*4/70</f>
        <v>29.295428571428566</v>
      </c>
      <c r="F58" s="216" t="s">
        <v>970</v>
      </c>
      <c r="G58" s="206" t="s">
        <v>971</v>
      </c>
      <c r="H58" s="212"/>
      <c r="I58" s="212"/>
      <c r="J58" s="212"/>
      <c r="K58" s="212"/>
      <c r="L58" s="212"/>
      <c r="M58" s="212"/>
      <c r="N58" s="213"/>
    </row>
    <row r="59" spans="2:14" x14ac:dyDescent="0.25">
      <c r="B59" s="206" t="s">
        <v>972</v>
      </c>
      <c r="C59" s="207"/>
      <c r="D59" s="214" t="s">
        <v>6</v>
      </c>
      <c r="E59" s="215">
        <f>ROUND((_Excavation*0.5*0.1)+(_Mix*0.5*0.1)+_Kerb,1)</f>
        <v>56.4</v>
      </c>
      <c r="F59" s="216" t="s">
        <v>973</v>
      </c>
      <c r="G59" s="206" t="s">
        <v>974</v>
      </c>
      <c r="H59" s="212"/>
      <c r="I59" s="212"/>
      <c r="J59" s="212"/>
      <c r="K59" s="212"/>
      <c r="L59" s="212"/>
      <c r="M59" s="212"/>
      <c r="N59" s="213"/>
    </row>
    <row r="60" spans="2:14" x14ac:dyDescent="0.25">
      <c r="B60" s="206" t="s">
        <v>975</v>
      </c>
      <c r="C60" s="207"/>
      <c r="D60" s="225" t="s">
        <v>577</v>
      </c>
      <c r="E60" s="215">
        <f>ROUND(_LabourDaily,0)</f>
        <v>358</v>
      </c>
      <c r="F60" s="216" t="s">
        <v>976</v>
      </c>
      <c r="G60" s="206" t="s">
        <v>977</v>
      </c>
      <c r="H60" s="212"/>
      <c r="I60" s="212"/>
      <c r="J60" s="212"/>
      <c r="K60" s="212"/>
      <c r="L60" s="212"/>
      <c r="M60" s="212"/>
      <c r="N60" s="213"/>
    </row>
    <row r="61" spans="2:14" x14ac:dyDescent="0.25">
      <c r="B61" s="206" t="s">
        <v>978</v>
      </c>
      <c r="C61" s="207"/>
      <c r="D61" s="214" t="s">
        <v>979</v>
      </c>
      <c r="E61" s="215">
        <f>ROUND(_LabourDaily*4/8,0)</f>
        <v>179</v>
      </c>
      <c r="F61" s="216" t="s">
        <v>980</v>
      </c>
      <c r="G61" s="206" t="s">
        <v>981</v>
      </c>
      <c r="H61" s="212"/>
      <c r="I61" s="212"/>
      <c r="J61" s="212"/>
      <c r="K61" s="212"/>
      <c r="L61" s="212"/>
      <c r="M61" s="212"/>
      <c r="N61" s="213"/>
    </row>
    <row r="62" spans="2:14" x14ac:dyDescent="0.25">
      <c r="B62" s="206" t="s">
        <v>982</v>
      </c>
      <c r="C62" s="207"/>
      <c r="D62" s="214" t="s">
        <v>6</v>
      </c>
      <c r="E62" s="215">
        <f>ROUND(_LabourDaily*4/26,1)</f>
        <v>55.1</v>
      </c>
      <c r="F62" s="216" t="s">
        <v>983</v>
      </c>
      <c r="G62" s="206" t="s">
        <v>984</v>
      </c>
      <c r="H62" s="212"/>
      <c r="I62" s="212"/>
      <c r="J62" s="212"/>
      <c r="K62" s="212"/>
      <c r="L62" s="212"/>
      <c r="M62" s="212"/>
      <c r="N62" s="213"/>
    </row>
    <row r="63" spans="2:14" ht="13" x14ac:dyDescent="0.3">
      <c r="B63" s="206" t="s">
        <v>985</v>
      </c>
      <c r="C63" s="207"/>
      <c r="D63" s="214" t="s">
        <v>979</v>
      </c>
      <c r="E63" s="215">
        <f>ROUND(_LabourRate*4/2,0)</f>
        <v>90</v>
      </c>
      <c r="F63" s="216" t="s">
        <v>986</v>
      </c>
      <c r="G63" s="206" t="s">
        <v>987</v>
      </c>
      <c r="H63" s="212"/>
      <c r="I63" s="212"/>
      <c r="J63" s="212"/>
      <c r="K63" s="212"/>
      <c r="L63" s="212"/>
      <c r="M63" s="212"/>
      <c r="N63" s="213"/>
    </row>
    <row r="64" spans="2:14" x14ac:dyDescent="0.25">
      <c r="B64" s="206"/>
      <c r="C64" s="207"/>
      <c r="D64" s="214"/>
      <c r="E64" s="215"/>
      <c r="F64" s="216"/>
      <c r="G64" s="206"/>
      <c r="H64" s="212"/>
      <c r="I64" s="212"/>
      <c r="J64" s="212"/>
      <c r="K64" s="212"/>
      <c r="L64" s="212"/>
      <c r="M64" s="212"/>
      <c r="N64" s="213"/>
    </row>
    <row r="65" spans="2:14" x14ac:dyDescent="0.25">
      <c r="B65" s="206"/>
      <c r="C65" s="207"/>
      <c r="D65" s="225"/>
      <c r="E65" s="215"/>
      <c r="F65" s="216"/>
      <c r="G65" s="206"/>
      <c r="H65" s="212"/>
      <c r="I65" s="212"/>
      <c r="J65" s="212"/>
      <c r="K65" s="212"/>
      <c r="L65" s="212"/>
      <c r="M65" s="212"/>
      <c r="N65" s="213"/>
    </row>
    <row r="66" spans="2:14" x14ac:dyDescent="0.25">
      <c r="B66" s="206"/>
      <c r="C66" s="207"/>
      <c r="D66" s="225"/>
      <c r="E66" s="215"/>
      <c r="F66" s="216"/>
      <c r="G66" s="206"/>
      <c r="H66" s="212"/>
      <c r="I66" s="212"/>
      <c r="J66" s="212"/>
      <c r="K66" s="212"/>
      <c r="L66" s="212"/>
      <c r="M66" s="212"/>
      <c r="N66" s="213"/>
    </row>
    <row r="67" spans="2:14" x14ac:dyDescent="0.25">
      <c r="B67" s="206"/>
      <c r="C67" s="207"/>
      <c r="D67" s="225"/>
      <c r="E67" s="215"/>
      <c r="F67" s="216"/>
      <c r="G67" s="206"/>
      <c r="H67" s="212"/>
      <c r="I67" s="212"/>
      <c r="J67" s="212"/>
      <c r="K67" s="212"/>
      <c r="L67" s="212"/>
      <c r="M67" s="212"/>
      <c r="N67" s="213"/>
    </row>
    <row r="68" spans="2:14" x14ac:dyDescent="0.25">
      <c r="B68" s="219"/>
      <c r="C68" s="220"/>
      <c r="D68" s="226"/>
      <c r="E68" s="227"/>
      <c r="F68" s="228"/>
      <c r="G68" s="229"/>
      <c r="H68" s="230"/>
      <c r="I68" s="230"/>
      <c r="J68" s="230"/>
      <c r="K68" s="230"/>
      <c r="L68" s="230"/>
      <c r="M68" s="230"/>
      <c r="N68" s="231"/>
    </row>
    <row r="69" spans="2:14" x14ac:dyDescent="0.25">
      <c r="B69" s="232"/>
      <c r="C69" s="232"/>
      <c r="D69" s="232"/>
      <c r="E69" s="232"/>
      <c r="F69" s="232"/>
      <c r="G69" s="232"/>
      <c r="H69" s="232"/>
      <c r="I69" s="232"/>
      <c r="J69" s="232"/>
      <c r="K69" s="232"/>
      <c r="L69" s="232"/>
      <c r="M69" s="232"/>
    </row>
    <row r="73" spans="2:14" x14ac:dyDescent="0.25">
      <c r="G73" t="s">
        <v>962</v>
      </c>
    </row>
  </sheetData>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xdr:col>
                    <xdr:colOff>12700</xdr:colOff>
                    <xdr:row>6</xdr:row>
                    <xdr:rowOff>133350</xdr:rowOff>
                  </from>
                  <to>
                    <xdr:col>3</xdr:col>
                    <xdr:colOff>641350</xdr:colOff>
                    <xdr:row>8</xdr:row>
                    <xdr:rowOff>69850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1">
    <tabColor rgb="FF0070C0"/>
  </sheetPr>
  <dimension ref="A1:N149"/>
  <sheetViews>
    <sheetView view="pageBreakPreview" zoomScale="90" zoomScaleNormal="125" zoomScaleSheetLayoutView="90" zoomScalePageLayoutView="125" workbookViewId="0">
      <selection activeCell="G22" sqref="G22"/>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1</v>
      </c>
      <c r="H1" s="247">
        <f>MAX(H77,H149)</f>
        <v>6000000</v>
      </c>
      <c r="I1" s="247">
        <f>MAX(I2:I222)</f>
        <v>0</v>
      </c>
      <c r="J1" s="248"/>
      <c r="K1" s="249"/>
      <c r="L1" s="417">
        <f>MAX(L2:L149)</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1" t="str">
        <f>"CHAPTER "&amp;B12</f>
        <v>CHAPTER C20.1</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6"/>
      <c r="C11" s="65"/>
      <c r="D11" s="15"/>
      <c r="E11" s="15"/>
      <c r="F11" s="580"/>
      <c r="G11" s="411"/>
      <c r="H11" s="17" t="str">
        <f t="shared" ref="H11:H73" si="0">IF(D11="","",F11*G11)</f>
        <v/>
      </c>
      <c r="I11" s="18"/>
      <c r="J11" s="61"/>
      <c r="K11" s="399"/>
      <c r="L11" s="420" t="str">
        <f t="shared" ref="L11" si="1">IF(J11="","",F11*K11)</f>
        <v/>
      </c>
      <c r="M11" s="401" t="str">
        <f t="shared" ref="M11" si="2">IF(J11="","",IF(SUM(H11)=0,"",L11/H11))</f>
        <v/>
      </c>
    </row>
    <row r="12" spans="1:14" ht="26" x14ac:dyDescent="0.25">
      <c r="B12" s="146" t="s">
        <v>268</v>
      </c>
      <c r="C12" s="672" t="s">
        <v>269</v>
      </c>
      <c r="D12" s="15"/>
      <c r="E12" s="15"/>
      <c r="F12" s="580"/>
      <c r="G12" s="411"/>
      <c r="H12" s="17" t="str">
        <f t="shared" si="0"/>
        <v/>
      </c>
      <c r="I12" s="18"/>
      <c r="J12" s="61"/>
      <c r="K12" s="399"/>
      <c r="L12" s="420" t="str">
        <f t="shared" ref="L12:L74" si="3">IF(J12="","",F12*K12)</f>
        <v/>
      </c>
      <c r="M12" s="401" t="str">
        <f t="shared" ref="M12:M74" si="4">IF(J12="","",IF(SUM(H12)=0,"",L12/H12))</f>
        <v/>
      </c>
    </row>
    <row r="13" spans="1:14" x14ac:dyDescent="0.25">
      <c r="B13" s="58"/>
      <c r="C13" s="65"/>
      <c r="D13" s="15"/>
      <c r="E13" s="15"/>
      <c r="F13" s="580"/>
      <c r="G13" s="411"/>
      <c r="H13" s="17" t="str">
        <f t="shared" si="0"/>
        <v/>
      </c>
      <c r="I13" s="18"/>
      <c r="J13" s="61"/>
      <c r="K13" s="399"/>
      <c r="L13" s="420" t="str">
        <f t="shared" si="3"/>
        <v/>
      </c>
      <c r="M13" s="401" t="str">
        <f t="shared" si="4"/>
        <v/>
      </c>
    </row>
    <row r="14" spans="1:14" ht="13" x14ac:dyDescent="0.25">
      <c r="B14" s="146" t="s">
        <v>1885</v>
      </c>
      <c r="C14" s="672" t="s">
        <v>270</v>
      </c>
      <c r="D14" s="15"/>
      <c r="E14" s="15"/>
      <c r="F14" s="580"/>
      <c r="G14" s="411"/>
      <c r="H14" s="17" t="str">
        <f t="shared" si="0"/>
        <v/>
      </c>
      <c r="I14" s="18"/>
      <c r="J14" s="61"/>
      <c r="K14" s="399"/>
      <c r="L14" s="420" t="str">
        <f t="shared" si="3"/>
        <v/>
      </c>
      <c r="M14" s="401" t="str">
        <f t="shared" si="4"/>
        <v/>
      </c>
    </row>
    <row r="15" spans="1:14" ht="13" x14ac:dyDescent="0.25">
      <c r="B15" s="146"/>
      <c r="C15" s="65"/>
      <c r="D15" s="15"/>
      <c r="E15" s="15"/>
      <c r="F15" s="580"/>
      <c r="G15" s="411"/>
      <c r="H15" s="17" t="str">
        <f t="shared" si="0"/>
        <v/>
      </c>
      <c r="I15" s="18"/>
      <c r="J15" s="61"/>
      <c r="K15" s="399"/>
      <c r="L15" s="420" t="str">
        <f t="shared" si="3"/>
        <v/>
      </c>
      <c r="M15" s="401" t="str">
        <f t="shared" si="4"/>
        <v/>
      </c>
    </row>
    <row r="16" spans="1:14" x14ac:dyDescent="0.25">
      <c r="B16" s="58" t="s">
        <v>276</v>
      </c>
      <c r="C16" s="65" t="s">
        <v>272</v>
      </c>
      <c r="D16" s="15"/>
      <c r="E16" s="15"/>
      <c r="F16" s="24"/>
      <c r="G16" s="423"/>
      <c r="H16" s="17" t="str">
        <f t="shared" si="0"/>
        <v/>
      </c>
      <c r="I16" s="57"/>
      <c r="J16" s="61"/>
      <c r="K16" s="400"/>
      <c r="L16" s="420" t="str">
        <f t="shared" si="3"/>
        <v/>
      </c>
      <c r="M16" s="401" t="str">
        <f t="shared" si="4"/>
        <v/>
      </c>
    </row>
    <row r="17" spans="2:13" x14ac:dyDescent="0.25">
      <c r="B17" s="58"/>
      <c r="C17" s="65"/>
      <c r="D17" s="15"/>
      <c r="E17" s="15"/>
      <c r="F17" s="580"/>
      <c r="G17" s="411"/>
      <c r="H17" s="17" t="str">
        <f t="shared" si="0"/>
        <v/>
      </c>
      <c r="I17" s="57"/>
      <c r="J17" s="61"/>
      <c r="K17" s="399"/>
      <c r="L17" s="420" t="str">
        <f t="shared" si="3"/>
        <v/>
      </c>
      <c r="M17" s="401" t="str">
        <f t="shared" si="4"/>
        <v/>
      </c>
    </row>
    <row r="18" spans="2:13" x14ac:dyDescent="0.25">
      <c r="B18" s="58" t="s">
        <v>39</v>
      </c>
      <c r="C18" s="65" t="s">
        <v>1855</v>
      </c>
      <c r="D18" s="15" t="s">
        <v>557</v>
      </c>
      <c r="E18" s="15"/>
      <c r="F18" s="24">
        <v>6000000</v>
      </c>
      <c r="G18" s="411">
        <v>1</v>
      </c>
      <c r="H18" s="17">
        <f t="shared" si="0"/>
        <v>6000000</v>
      </c>
      <c r="I18" s="57"/>
      <c r="J18" s="61"/>
      <c r="K18" s="399"/>
      <c r="L18" s="420" t="str">
        <f t="shared" si="3"/>
        <v/>
      </c>
      <c r="M18" s="401" t="str">
        <f t="shared" si="4"/>
        <v/>
      </c>
    </row>
    <row r="19" spans="2:13" x14ac:dyDescent="0.25">
      <c r="B19" s="58"/>
      <c r="C19" s="65"/>
      <c r="D19" s="15"/>
      <c r="E19" s="15"/>
      <c r="F19" s="580"/>
      <c r="G19" s="422"/>
      <c r="H19" s="17" t="str">
        <f t="shared" si="0"/>
        <v/>
      </c>
      <c r="I19" s="57"/>
      <c r="J19" s="61"/>
      <c r="K19" s="399"/>
      <c r="L19" s="420" t="str">
        <f t="shared" si="3"/>
        <v/>
      </c>
      <c r="M19" s="401" t="str">
        <f t="shared" si="4"/>
        <v/>
      </c>
    </row>
    <row r="20" spans="2:13" ht="25" x14ac:dyDescent="0.25">
      <c r="B20" s="58" t="s">
        <v>152</v>
      </c>
      <c r="C20" s="65" t="s">
        <v>273</v>
      </c>
      <c r="D20" s="15" t="s">
        <v>26</v>
      </c>
      <c r="E20" s="15"/>
      <c r="F20" s="580">
        <f>F18</f>
        <v>6000000</v>
      </c>
      <c r="G20" s="425"/>
      <c r="H20" s="17">
        <f t="shared" si="0"/>
        <v>0</v>
      </c>
      <c r="I20" s="18"/>
      <c r="J20" s="61"/>
      <c r="K20" s="402"/>
      <c r="L20" s="420" t="str">
        <f t="shared" si="3"/>
        <v/>
      </c>
      <c r="M20" s="401" t="str">
        <f t="shared" si="4"/>
        <v/>
      </c>
    </row>
    <row r="21" spans="2:13" x14ac:dyDescent="0.25">
      <c r="B21" s="58"/>
      <c r="C21" s="65"/>
      <c r="D21" s="15"/>
      <c r="E21" s="15"/>
      <c r="F21" s="24"/>
      <c r="G21" s="423"/>
      <c r="H21" s="17" t="str">
        <f t="shared" si="0"/>
        <v/>
      </c>
      <c r="I21" s="18"/>
      <c r="J21" s="61"/>
      <c r="K21" s="402"/>
      <c r="L21" s="420" t="str">
        <f t="shared" si="3"/>
        <v/>
      </c>
      <c r="M21" s="401" t="str">
        <f t="shared" si="4"/>
        <v/>
      </c>
    </row>
    <row r="22" spans="2:13" ht="26" x14ac:dyDescent="0.25">
      <c r="B22" s="146" t="s">
        <v>275</v>
      </c>
      <c r="C22" s="672" t="s">
        <v>274</v>
      </c>
      <c r="D22" s="15" t="s">
        <v>18</v>
      </c>
      <c r="E22" s="15"/>
      <c r="F22" s="580">
        <f>_ContractPeriod</f>
        <v>22</v>
      </c>
      <c r="G22" s="422"/>
      <c r="H22" s="17">
        <f t="shared" si="0"/>
        <v>0</v>
      </c>
      <c r="I22" s="63"/>
      <c r="J22" s="61"/>
      <c r="K22" s="402"/>
      <c r="L22" s="420" t="str">
        <f t="shared" si="3"/>
        <v/>
      </c>
      <c r="M22" s="401" t="str">
        <f t="shared" si="4"/>
        <v/>
      </c>
    </row>
    <row r="23" spans="2:13" x14ac:dyDescent="0.25">
      <c r="B23" s="58"/>
      <c r="C23" s="65"/>
      <c r="D23" s="15"/>
      <c r="E23" s="15"/>
      <c r="F23" s="580"/>
      <c r="G23" s="422"/>
      <c r="H23" s="17" t="str">
        <f t="shared" si="0"/>
        <v/>
      </c>
      <c r="I23" s="63"/>
      <c r="J23" s="61"/>
      <c r="K23" s="402"/>
      <c r="L23" s="420" t="str">
        <f t="shared" si="3"/>
        <v/>
      </c>
      <c r="M23" s="401" t="str">
        <f t="shared" si="4"/>
        <v/>
      </c>
    </row>
    <row r="24" spans="2:13" x14ac:dyDescent="0.25">
      <c r="B24" s="58"/>
      <c r="C24" s="65"/>
      <c r="D24" s="15"/>
      <c r="E24" s="15"/>
      <c r="F24" s="24"/>
      <c r="G24" s="421"/>
      <c r="H24" s="17" t="str">
        <f t="shared" si="0"/>
        <v/>
      </c>
      <c r="I24" s="63"/>
      <c r="J24" s="61"/>
      <c r="K24" s="399"/>
      <c r="L24" s="420" t="str">
        <f t="shared" si="3"/>
        <v/>
      </c>
      <c r="M24" s="401" t="str">
        <f t="shared" si="4"/>
        <v/>
      </c>
    </row>
    <row r="25" spans="2:13" x14ac:dyDescent="0.25">
      <c r="B25" s="58"/>
      <c r="C25" s="65"/>
      <c r="D25" s="15"/>
      <c r="E25" s="15"/>
      <c r="F25" s="24"/>
      <c r="G25" s="422"/>
      <c r="H25" s="17" t="str">
        <f t="shared" si="0"/>
        <v/>
      </c>
      <c r="I25" s="57"/>
      <c r="J25" s="61"/>
      <c r="K25" s="400"/>
      <c r="L25" s="420" t="str">
        <f t="shared" si="3"/>
        <v/>
      </c>
      <c r="M25" s="401" t="str">
        <f t="shared" si="4"/>
        <v/>
      </c>
    </row>
    <row r="26" spans="2:13" s="36" customFormat="1" x14ac:dyDescent="0.25">
      <c r="B26" s="58"/>
      <c r="C26" s="65"/>
      <c r="D26" s="15"/>
      <c r="E26" s="15"/>
      <c r="F26" s="24"/>
      <c r="G26" s="411"/>
      <c r="H26" s="17" t="str">
        <f t="shared" si="0"/>
        <v/>
      </c>
      <c r="I26" s="18"/>
      <c r="J26" s="61"/>
      <c r="K26" s="399"/>
      <c r="L26" s="420" t="str">
        <f t="shared" si="3"/>
        <v/>
      </c>
      <c r="M26" s="401" t="str">
        <f t="shared" si="4"/>
        <v/>
      </c>
    </row>
    <row r="27" spans="2:13" x14ac:dyDescent="0.25">
      <c r="B27" s="58"/>
      <c r="C27" s="65"/>
      <c r="D27" s="15"/>
      <c r="E27" s="15"/>
      <c r="F27" s="24"/>
      <c r="G27" s="422"/>
      <c r="H27" s="17" t="str">
        <f t="shared" si="0"/>
        <v/>
      </c>
      <c r="I27" s="57"/>
      <c r="J27" s="61"/>
      <c r="K27" s="399"/>
      <c r="L27" s="420" t="str">
        <f t="shared" si="3"/>
        <v/>
      </c>
      <c r="M27" s="401" t="str">
        <f t="shared" si="4"/>
        <v/>
      </c>
    </row>
    <row r="28" spans="2:13" x14ac:dyDescent="0.25">
      <c r="B28" s="58"/>
      <c r="C28" s="65"/>
      <c r="D28" s="15"/>
      <c r="E28" s="15"/>
      <c r="F28" s="24"/>
      <c r="G28" s="422"/>
      <c r="H28" s="17" t="str">
        <f t="shared" si="0"/>
        <v/>
      </c>
      <c r="I28" s="57"/>
      <c r="J28" s="61"/>
      <c r="K28" s="399"/>
      <c r="L28" s="420" t="str">
        <f t="shared" si="3"/>
        <v/>
      </c>
      <c r="M28" s="401" t="str">
        <f t="shared" si="4"/>
        <v/>
      </c>
    </row>
    <row r="29" spans="2:13" x14ac:dyDescent="0.25">
      <c r="B29" s="58"/>
      <c r="C29" s="65"/>
      <c r="D29" s="15"/>
      <c r="E29" s="15"/>
      <c r="F29" s="24"/>
      <c r="G29" s="411"/>
      <c r="H29" s="17" t="str">
        <f t="shared" si="0"/>
        <v/>
      </c>
      <c r="I29" s="18"/>
      <c r="J29" s="61"/>
      <c r="K29" s="399"/>
      <c r="L29" s="420" t="str">
        <f t="shared" si="3"/>
        <v/>
      </c>
      <c r="M29" s="401" t="str">
        <f t="shared" si="4"/>
        <v/>
      </c>
    </row>
    <row r="30" spans="2:13" x14ac:dyDescent="0.25">
      <c r="B30" s="58"/>
      <c r="C30" s="65"/>
      <c r="D30" s="15"/>
      <c r="E30" s="15"/>
      <c r="F30" s="24"/>
      <c r="G30" s="411"/>
      <c r="H30" s="17" t="str">
        <f t="shared" si="0"/>
        <v/>
      </c>
      <c r="I30" s="18"/>
      <c r="J30" s="61"/>
      <c r="K30" s="400"/>
      <c r="L30" s="420" t="str">
        <f t="shared" si="3"/>
        <v/>
      </c>
      <c r="M30" s="401" t="str">
        <f t="shared" si="4"/>
        <v/>
      </c>
    </row>
    <row r="31" spans="2:13" x14ac:dyDescent="0.25">
      <c r="B31" s="58"/>
      <c r="C31" s="65"/>
      <c r="D31" s="15"/>
      <c r="E31" s="15"/>
      <c r="F31" s="24"/>
      <c r="G31" s="423"/>
      <c r="H31" s="17" t="str">
        <f t="shared" si="0"/>
        <v/>
      </c>
      <c r="I31" s="18"/>
      <c r="J31" s="61"/>
      <c r="K31" s="399"/>
      <c r="L31" s="420" t="str">
        <f t="shared" si="3"/>
        <v/>
      </c>
      <c r="M31" s="401" t="str">
        <f t="shared" si="4"/>
        <v/>
      </c>
    </row>
    <row r="32" spans="2:13" x14ac:dyDescent="0.25">
      <c r="B32" s="58"/>
      <c r="C32" s="65"/>
      <c r="D32" s="15"/>
      <c r="E32" s="15"/>
      <c r="F32" s="24"/>
      <c r="G32" s="423"/>
      <c r="H32" s="17" t="str">
        <f t="shared" si="0"/>
        <v/>
      </c>
      <c r="I32" s="18"/>
      <c r="J32" s="61"/>
      <c r="K32" s="399"/>
      <c r="L32" s="420" t="str">
        <f t="shared" si="3"/>
        <v/>
      </c>
      <c r="M32" s="401" t="str">
        <f t="shared" si="4"/>
        <v/>
      </c>
    </row>
    <row r="33" spans="2:13" x14ac:dyDescent="0.25">
      <c r="B33" s="58"/>
      <c r="C33" s="65"/>
      <c r="D33" s="15"/>
      <c r="E33" s="15"/>
      <c r="F33" s="580"/>
      <c r="G33" s="411"/>
      <c r="H33" s="17" t="str">
        <f t="shared" si="0"/>
        <v/>
      </c>
      <c r="I33" s="18"/>
      <c r="J33" s="61"/>
      <c r="K33" s="399"/>
      <c r="L33" s="420" t="str">
        <f t="shared" si="3"/>
        <v/>
      </c>
      <c r="M33" s="401" t="str">
        <f t="shared" si="4"/>
        <v/>
      </c>
    </row>
    <row r="34" spans="2:13" x14ac:dyDescent="0.25">
      <c r="B34" s="58"/>
      <c r="C34" s="65"/>
      <c r="D34" s="15"/>
      <c r="E34" s="15"/>
      <c r="F34" s="24"/>
      <c r="G34" s="411"/>
      <c r="H34" s="17" t="str">
        <f t="shared" si="0"/>
        <v/>
      </c>
      <c r="I34" s="18"/>
      <c r="J34" s="61"/>
      <c r="K34" s="399"/>
      <c r="L34" s="420" t="str">
        <f t="shared" si="3"/>
        <v/>
      </c>
      <c r="M34" s="401" t="str">
        <f t="shared" si="4"/>
        <v/>
      </c>
    </row>
    <row r="35" spans="2:13" x14ac:dyDescent="0.25">
      <c r="B35" s="58"/>
      <c r="C35" s="65"/>
      <c r="D35" s="15"/>
      <c r="E35" s="15"/>
      <c r="F35" s="580"/>
      <c r="G35" s="422"/>
      <c r="H35" s="17" t="str">
        <f t="shared" si="0"/>
        <v/>
      </c>
      <c r="I35" s="18"/>
      <c r="J35" s="61"/>
      <c r="K35" s="399"/>
      <c r="L35" s="420" t="str">
        <f t="shared" si="3"/>
        <v/>
      </c>
      <c r="M35" s="401" t="str">
        <f t="shared" si="4"/>
        <v/>
      </c>
    </row>
    <row r="36" spans="2:13" x14ac:dyDescent="0.25">
      <c r="B36" s="58"/>
      <c r="C36" s="65"/>
      <c r="D36" s="15"/>
      <c r="E36" s="15"/>
      <c r="F36" s="580"/>
      <c r="G36" s="422"/>
      <c r="H36" s="17" t="str">
        <f t="shared" si="0"/>
        <v/>
      </c>
      <c r="I36" s="18"/>
      <c r="J36" s="61"/>
      <c r="K36" s="399"/>
      <c r="L36" s="420" t="str">
        <f t="shared" si="3"/>
        <v/>
      </c>
      <c r="M36" s="401" t="str">
        <f t="shared" si="4"/>
        <v/>
      </c>
    </row>
    <row r="37" spans="2:13" x14ac:dyDescent="0.25">
      <c r="B37" s="58"/>
      <c r="C37" s="65"/>
      <c r="D37" s="15"/>
      <c r="E37" s="15"/>
      <c r="F37" s="580"/>
      <c r="G37" s="422"/>
      <c r="H37" s="17" t="str">
        <f t="shared" si="0"/>
        <v/>
      </c>
      <c r="I37" s="18"/>
      <c r="J37" s="61"/>
      <c r="K37" s="399"/>
      <c r="L37" s="420" t="str">
        <f t="shared" si="3"/>
        <v/>
      </c>
      <c r="M37" s="401" t="str">
        <f t="shared" si="4"/>
        <v/>
      </c>
    </row>
    <row r="38" spans="2:13" x14ac:dyDescent="0.25">
      <c r="B38" s="58"/>
      <c r="C38" s="65"/>
      <c r="D38" s="15"/>
      <c r="E38" s="15"/>
      <c r="F38" s="580"/>
      <c r="G38" s="422"/>
      <c r="H38" s="17" t="str">
        <f t="shared" si="0"/>
        <v/>
      </c>
      <c r="I38" s="18"/>
      <c r="J38" s="61"/>
      <c r="K38" s="399"/>
      <c r="L38" s="420" t="str">
        <f t="shared" si="3"/>
        <v/>
      </c>
      <c r="M38" s="401" t="str">
        <f t="shared" si="4"/>
        <v/>
      </c>
    </row>
    <row r="39" spans="2:13" x14ac:dyDescent="0.25">
      <c r="B39" s="58"/>
      <c r="C39" s="65"/>
      <c r="D39" s="15"/>
      <c r="E39" s="15"/>
      <c r="F39" s="580"/>
      <c r="G39" s="422"/>
      <c r="H39" s="17" t="str">
        <f t="shared" si="0"/>
        <v/>
      </c>
      <c r="I39" s="18"/>
      <c r="J39" s="61"/>
      <c r="K39" s="399"/>
      <c r="L39" s="420" t="str">
        <f t="shared" si="3"/>
        <v/>
      </c>
      <c r="M39" s="401" t="str">
        <f t="shared" si="4"/>
        <v/>
      </c>
    </row>
    <row r="40" spans="2:13" x14ac:dyDescent="0.25">
      <c r="B40" s="58"/>
      <c r="C40" s="65"/>
      <c r="D40" s="15"/>
      <c r="E40" s="15"/>
      <c r="F40" s="580"/>
      <c r="G40" s="422"/>
      <c r="H40" s="17" t="str">
        <f t="shared" si="0"/>
        <v/>
      </c>
      <c r="I40" s="18"/>
      <c r="J40" s="61"/>
      <c r="K40" s="399"/>
      <c r="L40" s="420" t="str">
        <f t="shared" si="3"/>
        <v/>
      </c>
      <c r="M40" s="401" t="str">
        <f t="shared" si="4"/>
        <v/>
      </c>
    </row>
    <row r="41" spans="2:13" x14ac:dyDescent="0.25">
      <c r="B41" s="58"/>
      <c r="C41" s="65"/>
      <c r="D41" s="15"/>
      <c r="E41" s="15"/>
      <c r="F41" s="580"/>
      <c r="G41" s="422"/>
      <c r="H41" s="17" t="str">
        <f t="shared" si="0"/>
        <v/>
      </c>
      <c r="I41" s="18"/>
      <c r="J41" s="61"/>
      <c r="K41" s="399"/>
      <c r="L41" s="420" t="str">
        <f t="shared" si="3"/>
        <v/>
      </c>
      <c r="M41" s="401" t="str">
        <f t="shared" si="4"/>
        <v/>
      </c>
    </row>
    <row r="42" spans="2:13" x14ac:dyDescent="0.25">
      <c r="B42" s="58"/>
      <c r="C42" s="65"/>
      <c r="D42" s="15"/>
      <c r="E42" s="15"/>
      <c r="F42" s="580"/>
      <c r="G42" s="422"/>
      <c r="H42" s="17" t="str">
        <f t="shared" si="0"/>
        <v/>
      </c>
      <c r="I42" s="18"/>
      <c r="J42" s="61"/>
      <c r="K42" s="402"/>
      <c r="L42" s="420" t="str">
        <f t="shared" si="3"/>
        <v/>
      </c>
      <c r="M42" s="401" t="str">
        <f t="shared" si="4"/>
        <v/>
      </c>
    </row>
    <row r="43" spans="2:13" x14ac:dyDescent="0.25">
      <c r="B43" s="58"/>
      <c r="C43" s="65"/>
      <c r="D43" s="15"/>
      <c r="E43" s="15"/>
      <c r="F43" s="580"/>
      <c r="G43" s="424"/>
      <c r="H43" s="17" t="str">
        <f t="shared" si="0"/>
        <v/>
      </c>
      <c r="I43" s="18"/>
      <c r="J43" s="61"/>
      <c r="K43" s="399"/>
      <c r="L43" s="420" t="str">
        <f t="shared" si="3"/>
        <v/>
      </c>
      <c r="M43" s="401" t="str">
        <f t="shared" si="4"/>
        <v/>
      </c>
    </row>
    <row r="44" spans="2:13" x14ac:dyDescent="0.25">
      <c r="B44" s="58"/>
      <c r="C44" s="65"/>
      <c r="D44" s="15"/>
      <c r="E44" s="15"/>
      <c r="F44" s="580"/>
      <c r="G44" s="424"/>
      <c r="H44" s="17" t="str">
        <f t="shared" si="0"/>
        <v/>
      </c>
      <c r="I44" s="18"/>
      <c r="J44" s="61"/>
      <c r="K44" s="402"/>
      <c r="L44" s="420" t="str">
        <f t="shared" si="3"/>
        <v/>
      </c>
      <c r="M44" s="401" t="str">
        <f t="shared" si="4"/>
        <v/>
      </c>
    </row>
    <row r="45" spans="2:13" x14ac:dyDescent="0.25">
      <c r="B45" s="58"/>
      <c r="C45" s="65"/>
      <c r="D45" s="15"/>
      <c r="E45" s="15"/>
      <c r="F45" s="580"/>
      <c r="G45" s="422"/>
      <c r="H45" s="17" t="str">
        <f t="shared" si="0"/>
        <v/>
      </c>
      <c r="I45" s="18"/>
      <c r="J45" s="62"/>
      <c r="K45" s="62"/>
      <c r="L45" s="420" t="str">
        <f t="shared" si="3"/>
        <v/>
      </c>
      <c r="M45" s="401" t="str">
        <f t="shared" si="4"/>
        <v/>
      </c>
    </row>
    <row r="46" spans="2:13" x14ac:dyDescent="0.25">
      <c r="B46" s="58"/>
      <c r="C46" s="65"/>
      <c r="D46" s="15"/>
      <c r="E46" s="15"/>
      <c r="F46" s="580"/>
      <c r="G46" s="422"/>
      <c r="H46" s="17" t="str">
        <f t="shared" si="0"/>
        <v/>
      </c>
      <c r="I46" s="18"/>
      <c r="J46" s="62"/>
      <c r="K46" s="62"/>
      <c r="L46" s="420" t="str">
        <f t="shared" si="3"/>
        <v/>
      </c>
      <c r="M46" s="401" t="str">
        <f t="shared" si="4"/>
        <v/>
      </c>
    </row>
    <row r="47" spans="2:13" x14ac:dyDescent="0.25">
      <c r="B47" s="58"/>
      <c r="C47" s="65"/>
      <c r="D47" s="15"/>
      <c r="E47" s="15"/>
      <c r="F47" s="580"/>
      <c r="G47" s="422"/>
      <c r="H47" s="17" t="str">
        <f t="shared" si="0"/>
        <v/>
      </c>
      <c r="I47" s="18"/>
      <c r="J47" s="62"/>
      <c r="K47" s="62"/>
      <c r="L47" s="420" t="str">
        <f t="shared" si="3"/>
        <v/>
      </c>
      <c r="M47" s="401" t="str">
        <f t="shared" si="4"/>
        <v/>
      </c>
    </row>
    <row r="48" spans="2:13" x14ac:dyDescent="0.25">
      <c r="B48" s="58"/>
      <c r="C48" s="65"/>
      <c r="D48" s="15"/>
      <c r="E48" s="15"/>
      <c r="F48" s="580"/>
      <c r="G48" s="422"/>
      <c r="H48" s="17" t="str">
        <f t="shared" si="0"/>
        <v/>
      </c>
      <c r="I48" s="18"/>
      <c r="J48" s="62"/>
      <c r="K48" s="62"/>
      <c r="L48" s="420" t="str">
        <f t="shared" si="3"/>
        <v/>
      </c>
      <c r="M48" s="401" t="str">
        <f t="shared" si="4"/>
        <v/>
      </c>
    </row>
    <row r="49" spans="2:13" x14ac:dyDescent="0.25">
      <c r="B49" s="58"/>
      <c r="C49" s="65"/>
      <c r="D49" s="15"/>
      <c r="E49" s="15"/>
      <c r="F49" s="580"/>
      <c r="G49" s="422"/>
      <c r="H49" s="17" t="str">
        <f t="shared" si="0"/>
        <v/>
      </c>
      <c r="I49" s="18"/>
      <c r="J49" s="62"/>
      <c r="K49" s="62"/>
      <c r="L49" s="420" t="str">
        <f t="shared" si="3"/>
        <v/>
      </c>
      <c r="M49" s="401" t="str">
        <f t="shared" si="4"/>
        <v/>
      </c>
    </row>
    <row r="50" spans="2:13" x14ac:dyDescent="0.25">
      <c r="B50" s="58"/>
      <c r="C50" s="65"/>
      <c r="D50" s="15"/>
      <c r="E50" s="15"/>
      <c r="F50" s="580"/>
      <c r="G50" s="422"/>
      <c r="H50" s="17" t="str">
        <f t="shared" si="0"/>
        <v/>
      </c>
      <c r="I50" s="18"/>
      <c r="J50" s="62"/>
      <c r="K50" s="62"/>
      <c r="L50" s="420" t="str">
        <f t="shared" si="3"/>
        <v/>
      </c>
      <c r="M50" s="401" t="str">
        <f t="shared" si="4"/>
        <v/>
      </c>
    </row>
    <row r="51" spans="2:13" x14ac:dyDescent="0.25">
      <c r="B51" s="58"/>
      <c r="C51" s="65"/>
      <c r="D51" s="15"/>
      <c r="E51" s="15"/>
      <c r="F51" s="580"/>
      <c r="G51" s="422"/>
      <c r="H51" s="17" t="str">
        <f t="shared" si="0"/>
        <v/>
      </c>
      <c r="I51" s="18"/>
      <c r="J51" s="62"/>
      <c r="K51" s="62"/>
      <c r="L51" s="420" t="str">
        <f t="shared" si="3"/>
        <v/>
      </c>
      <c r="M51" s="401" t="str">
        <f t="shared" si="4"/>
        <v/>
      </c>
    </row>
    <row r="52" spans="2:13" x14ac:dyDescent="0.25">
      <c r="B52" s="58"/>
      <c r="C52" s="65"/>
      <c r="D52" s="15"/>
      <c r="E52" s="15"/>
      <c r="F52" s="580"/>
      <c r="G52" s="422"/>
      <c r="H52" s="17" t="str">
        <f t="shared" si="0"/>
        <v/>
      </c>
      <c r="I52" s="18"/>
      <c r="J52" s="62"/>
      <c r="K52" s="62"/>
      <c r="L52" s="420" t="str">
        <f t="shared" si="3"/>
        <v/>
      </c>
      <c r="M52" s="401" t="str">
        <f t="shared" si="4"/>
        <v/>
      </c>
    </row>
    <row r="53" spans="2:13" x14ac:dyDescent="0.25">
      <c r="B53" s="58"/>
      <c r="C53" s="65"/>
      <c r="D53" s="15"/>
      <c r="E53" s="15"/>
      <c r="F53" s="580"/>
      <c r="G53" s="422"/>
      <c r="H53" s="17" t="str">
        <f t="shared" si="0"/>
        <v/>
      </c>
      <c r="I53" s="18"/>
      <c r="J53" s="62"/>
      <c r="K53" s="62"/>
      <c r="L53" s="420" t="str">
        <f t="shared" si="3"/>
        <v/>
      </c>
      <c r="M53" s="401" t="str">
        <f t="shared" si="4"/>
        <v/>
      </c>
    </row>
    <row r="54" spans="2:13" x14ac:dyDescent="0.25">
      <c r="B54" s="58"/>
      <c r="C54" s="65"/>
      <c r="D54" s="15"/>
      <c r="E54" s="15"/>
      <c r="F54" s="580"/>
      <c r="G54" s="422"/>
      <c r="H54" s="17" t="str">
        <f t="shared" si="0"/>
        <v/>
      </c>
      <c r="I54" s="18"/>
      <c r="J54" s="62"/>
      <c r="K54" s="62"/>
      <c r="L54" s="420" t="str">
        <f t="shared" si="3"/>
        <v/>
      </c>
      <c r="M54" s="401" t="str">
        <f t="shared" si="4"/>
        <v/>
      </c>
    </row>
    <row r="55" spans="2:13" x14ac:dyDescent="0.25">
      <c r="B55" s="58"/>
      <c r="C55" s="65"/>
      <c r="D55" s="15"/>
      <c r="E55" s="15"/>
      <c r="F55" s="580"/>
      <c r="G55" s="422"/>
      <c r="H55" s="17" t="str">
        <f t="shared" si="0"/>
        <v/>
      </c>
      <c r="I55" s="18"/>
      <c r="J55" s="62"/>
      <c r="K55" s="62"/>
      <c r="L55" s="420" t="str">
        <f t="shared" si="3"/>
        <v/>
      </c>
      <c r="M55" s="401" t="str">
        <f t="shared" si="4"/>
        <v/>
      </c>
    </row>
    <row r="56" spans="2:13" x14ac:dyDescent="0.25">
      <c r="B56" s="58"/>
      <c r="C56" s="65"/>
      <c r="D56" s="15"/>
      <c r="E56" s="15"/>
      <c r="F56" s="580"/>
      <c r="G56" s="422"/>
      <c r="H56" s="17" t="str">
        <f t="shared" si="0"/>
        <v/>
      </c>
      <c r="I56" s="18"/>
      <c r="J56" s="62"/>
      <c r="K56" s="62"/>
      <c r="L56" s="420" t="str">
        <f t="shared" si="3"/>
        <v/>
      </c>
      <c r="M56" s="401" t="str">
        <f t="shared" si="4"/>
        <v/>
      </c>
    </row>
    <row r="57" spans="2:13" x14ac:dyDescent="0.25">
      <c r="B57" s="58"/>
      <c r="C57" s="65"/>
      <c r="D57" s="15"/>
      <c r="E57" s="15"/>
      <c r="F57" s="580"/>
      <c r="G57" s="422"/>
      <c r="H57" s="17" t="str">
        <f t="shared" si="0"/>
        <v/>
      </c>
      <c r="I57" s="18"/>
      <c r="J57" s="62"/>
      <c r="K57" s="62"/>
      <c r="L57" s="420" t="str">
        <f t="shared" si="3"/>
        <v/>
      </c>
      <c r="M57" s="401" t="str">
        <f t="shared" si="4"/>
        <v/>
      </c>
    </row>
    <row r="58" spans="2:13" x14ac:dyDescent="0.25">
      <c r="B58" s="58"/>
      <c r="C58" s="65"/>
      <c r="D58" s="15"/>
      <c r="E58" s="15"/>
      <c r="F58" s="580"/>
      <c r="G58" s="422"/>
      <c r="H58" s="17" t="str">
        <f t="shared" si="0"/>
        <v/>
      </c>
      <c r="I58" s="18"/>
      <c r="J58" s="62"/>
      <c r="K58" s="62"/>
      <c r="L58" s="420" t="str">
        <f t="shared" si="3"/>
        <v/>
      </c>
      <c r="M58" s="401" t="str">
        <f t="shared" si="4"/>
        <v/>
      </c>
    </row>
    <row r="59" spans="2:13" x14ac:dyDescent="0.25">
      <c r="B59" s="58"/>
      <c r="C59" s="65"/>
      <c r="D59" s="15"/>
      <c r="E59" s="15"/>
      <c r="F59" s="580"/>
      <c r="G59" s="422"/>
      <c r="H59" s="17" t="str">
        <f t="shared" si="0"/>
        <v/>
      </c>
      <c r="I59" s="18"/>
      <c r="J59" s="62"/>
      <c r="K59" s="62"/>
      <c r="L59" s="420" t="str">
        <f t="shared" si="3"/>
        <v/>
      </c>
      <c r="M59" s="401" t="str">
        <f t="shared" si="4"/>
        <v/>
      </c>
    </row>
    <row r="60" spans="2:13" x14ac:dyDescent="0.25">
      <c r="B60" s="58"/>
      <c r="C60" s="65"/>
      <c r="D60" s="15"/>
      <c r="E60" s="15"/>
      <c r="F60" s="580"/>
      <c r="G60" s="422"/>
      <c r="H60" s="17" t="str">
        <f t="shared" si="0"/>
        <v/>
      </c>
      <c r="I60" s="18"/>
      <c r="J60" s="62"/>
      <c r="K60" s="62"/>
      <c r="L60" s="420" t="str">
        <f t="shared" si="3"/>
        <v/>
      </c>
      <c r="M60" s="401" t="str">
        <f t="shared" si="4"/>
        <v/>
      </c>
    </row>
    <row r="61" spans="2:13" x14ac:dyDescent="0.25">
      <c r="B61" s="58"/>
      <c r="C61" s="65"/>
      <c r="D61" s="15"/>
      <c r="E61" s="15"/>
      <c r="F61" s="580"/>
      <c r="G61" s="422"/>
      <c r="H61" s="17" t="str">
        <f t="shared" si="0"/>
        <v/>
      </c>
      <c r="I61" s="18"/>
      <c r="J61" s="62"/>
      <c r="K61" s="62"/>
      <c r="L61" s="420" t="str">
        <f t="shared" si="3"/>
        <v/>
      </c>
      <c r="M61" s="401" t="str">
        <f t="shared" si="4"/>
        <v/>
      </c>
    </row>
    <row r="62" spans="2:13" x14ac:dyDescent="0.25">
      <c r="B62" s="58"/>
      <c r="C62" s="65"/>
      <c r="D62" s="15"/>
      <c r="E62" s="15"/>
      <c r="F62" s="580"/>
      <c r="G62" s="422"/>
      <c r="H62" s="17" t="str">
        <f t="shared" si="0"/>
        <v/>
      </c>
      <c r="I62" s="18"/>
      <c r="J62" s="62"/>
      <c r="K62" s="62"/>
      <c r="L62" s="420" t="str">
        <f t="shared" si="3"/>
        <v/>
      </c>
      <c r="M62" s="401" t="str">
        <f t="shared" si="4"/>
        <v/>
      </c>
    </row>
    <row r="63" spans="2:13" x14ac:dyDescent="0.25">
      <c r="B63" s="58"/>
      <c r="C63" s="65"/>
      <c r="D63" s="15"/>
      <c r="E63" s="15"/>
      <c r="F63" s="580"/>
      <c r="G63" s="422"/>
      <c r="H63" s="17" t="str">
        <f t="shared" si="0"/>
        <v/>
      </c>
      <c r="I63" s="18"/>
      <c r="J63" s="62"/>
      <c r="K63" s="62"/>
      <c r="L63" s="420" t="str">
        <f t="shared" si="3"/>
        <v/>
      </c>
      <c r="M63" s="401" t="str">
        <f t="shared" si="4"/>
        <v/>
      </c>
    </row>
    <row r="64" spans="2:13" x14ac:dyDescent="0.25">
      <c r="B64" s="58"/>
      <c r="C64" s="65"/>
      <c r="D64" s="15"/>
      <c r="E64" s="15"/>
      <c r="F64" s="580"/>
      <c r="G64" s="422"/>
      <c r="H64" s="17" t="str">
        <f t="shared" si="0"/>
        <v/>
      </c>
      <c r="I64" s="18"/>
      <c r="J64" s="62"/>
      <c r="K64" s="62"/>
      <c r="L64" s="420" t="str">
        <f t="shared" si="3"/>
        <v/>
      </c>
      <c r="M64" s="401" t="str">
        <f t="shared" si="4"/>
        <v/>
      </c>
    </row>
    <row r="65" spans="2:13" x14ac:dyDescent="0.25">
      <c r="B65" s="58"/>
      <c r="C65" s="65"/>
      <c r="D65" s="15"/>
      <c r="E65" s="15"/>
      <c r="F65" s="580"/>
      <c r="G65" s="422"/>
      <c r="H65" s="17" t="str">
        <f t="shared" si="0"/>
        <v/>
      </c>
      <c r="I65" s="18"/>
      <c r="J65" s="62"/>
      <c r="K65" s="62"/>
      <c r="L65" s="420" t="str">
        <f t="shared" si="3"/>
        <v/>
      </c>
      <c r="M65" s="401" t="str">
        <f t="shared" si="4"/>
        <v/>
      </c>
    </row>
    <row r="66" spans="2:13" x14ac:dyDescent="0.25">
      <c r="B66" s="58"/>
      <c r="C66" s="65"/>
      <c r="D66" s="15"/>
      <c r="E66" s="15"/>
      <c r="F66" s="580"/>
      <c r="G66" s="422"/>
      <c r="H66" s="17" t="str">
        <f t="shared" si="0"/>
        <v/>
      </c>
      <c r="I66" s="18"/>
      <c r="J66" s="62"/>
      <c r="K66" s="62"/>
      <c r="L66" s="420" t="str">
        <f t="shared" si="3"/>
        <v/>
      </c>
      <c r="M66" s="401" t="str">
        <f t="shared" si="4"/>
        <v/>
      </c>
    </row>
    <row r="67" spans="2:13" x14ac:dyDescent="0.25">
      <c r="B67" s="58"/>
      <c r="C67" s="65"/>
      <c r="D67" s="15"/>
      <c r="E67" s="15"/>
      <c r="F67" s="580"/>
      <c r="G67" s="422"/>
      <c r="H67" s="17" t="str">
        <f t="shared" si="0"/>
        <v/>
      </c>
      <c r="I67" s="18"/>
      <c r="J67" s="62"/>
      <c r="K67" s="62"/>
      <c r="L67" s="420" t="str">
        <f t="shared" si="3"/>
        <v/>
      </c>
      <c r="M67" s="401" t="str">
        <f t="shared" si="4"/>
        <v/>
      </c>
    </row>
    <row r="68" spans="2:13" x14ac:dyDescent="0.25">
      <c r="B68" s="58"/>
      <c r="C68" s="65"/>
      <c r="D68" s="15"/>
      <c r="E68" s="15"/>
      <c r="F68" s="580"/>
      <c r="G68" s="422"/>
      <c r="H68" s="17" t="str">
        <f t="shared" si="0"/>
        <v/>
      </c>
      <c r="I68" s="18"/>
      <c r="J68" s="62"/>
      <c r="K68" s="62"/>
      <c r="L68" s="420" t="str">
        <f t="shared" si="3"/>
        <v/>
      </c>
      <c r="M68" s="401" t="str">
        <f t="shared" si="4"/>
        <v/>
      </c>
    </row>
    <row r="69" spans="2:13" x14ac:dyDescent="0.25">
      <c r="B69" s="58"/>
      <c r="C69" s="65"/>
      <c r="D69" s="15"/>
      <c r="E69" s="15"/>
      <c r="F69" s="697"/>
      <c r="G69" s="422"/>
      <c r="H69" s="17" t="str">
        <f t="shared" si="0"/>
        <v/>
      </c>
      <c r="I69" s="69"/>
      <c r="J69" s="62"/>
      <c r="K69" s="62"/>
      <c r="L69" s="420" t="str">
        <f t="shared" si="3"/>
        <v/>
      </c>
      <c r="M69" s="401" t="str">
        <f t="shared" si="4"/>
        <v/>
      </c>
    </row>
    <row r="70" spans="2:13" x14ac:dyDescent="0.25">
      <c r="B70" s="58"/>
      <c r="C70" s="65"/>
      <c r="D70" s="15"/>
      <c r="E70" s="15"/>
      <c r="F70" s="697"/>
      <c r="G70" s="422"/>
      <c r="H70" s="17" t="str">
        <f t="shared" si="0"/>
        <v/>
      </c>
      <c r="I70" s="63"/>
      <c r="J70" s="62"/>
      <c r="K70" s="62"/>
      <c r="L70" s="420" t="str">
        <f t="shared" si="3"/>
        <v/>
      </c>
      <c r="M70" s="401" t="str">
        <f t="shared" si="4"/>
        <v/>
      </c>
    </row>
    <row r="71" spans="2:13" x14ac:dyDescent="0.25">
      <c r="B71" s="58"/>
      <c r="C71" s="65"/>
      <c r="D71" s="15"/>
      <c r="E71" s="15"/>
      <c r="F71" s="580"/>
      <c r="G71" s="422"/>
      <c r="H71" s="17" t="str">
        <f t="shared" si="0"/>
        <v/>
      </c>
      <c r="I71" s="18"/>
      <c r="J71" s="62"/>
      <c r="K71" s="62"/>
      <c r="L71" s="420" t="str">
        <f t="shared" si="3"/>
        <v/>
      </c>
      <c r="M71" s="401" t="str">
        <f t="shared" si="4"/>
        <v/>
      </c>
    </row>
    <row r="72" spans="2:13" x14ac:dyDescent="0.25">
      <c r="B72" s="58"/>
      <c r="C72" s="65"/>
      <c r="D72" s="15"/>
      <c r="E72" s="15"/>
      <c r="F72" s="580"/>
      <c r="G72" s="422"/>
      <c r="H72" s="17" t="str">
        <f t="shared" si="0"/>
        <v/>
      </c>
      <c r="I72" s="18"/>
      <c r="J72" s="62"/>
      <c r="K72" s="62"/>
      <c r="L72" s="420" t="str">
        <f t="shared" si="3"/>
        <v/>
      </c>
      <c r="M72" s="401" t="str">
        <f t="shared" si="4"/>
        <v/>
      </c>
    </row>
    <row r="73" spans="2:13" x14ac:dyDescent="0.25">
      <c r="B73" s="58"/>
      <c r="C73" s="65"/>
      <c r="D73" s="15"/>
      <c r="E73" s="15"/>
      <c r="F73" s="580"/>
      <c r="G73" s="422"/>
      <c r="H73" s="17" t="str">
        <f t="shared" si="0"/>
        <v/>
      </c>
      <c r="I73" s="18"/>
      <c r="J73" s="61"/>
      <c r="K73" s="62"/>
      <c r="L73" s="420" t="str">
        <f t="shared" si="3"/>
        <v/>
      </c>
      <c r="M73" s="401" t="str">
        <f t="shared" si="4"/>
        <v/>
      </c>
    </row>
    <row r="74" spans="2:13" x14ac:dyDescent="0.25">
      <c r="B74" s="58"/>
      <c r="C74" s="65"/>
      <c r="D74" s="15"/>
      <c r="E74" s="15"/>
      <c r="F74" s="580"/>
      <c r="G74" s="422"/>
      <c r="H74" s="17" t="str">
        <f t="shared" ref="H74:H76" si="5">IF(D74="","",F74*G74)</f>
        <v/>
      </c>
      <c r="I74" s="18"/>
      <c r="J74" s="61"/>
      <c r="K74" s="695"/>
      <c r="L74" s="420" t="str">
        <f t="shared" si="3"/>
        <v/>
      </c>
      <c r="M74" s="401" t="str">
        <f t="shared" si="4"/>
        <v/>
      </c>
    </row>
    <row r="75" spans="2:13" x14ac:dyDescent="0.25">
      <c r="B75" s="58"/>
      <c r="C75" s="65"/>
      <c r="D75" s="15"/>
      <c r="E75" s="15"/>
      <c r="F75" s="580"/>
      <c r="G75" s="422"/>
      <c r="H75" s="17" t="str">
        <f t="shared" si="5"/>
        <v/>
      </c>
      <c r="I75" s="18"/>
      <c r="J75" s="61"/>
      <c r="K75" s="695"/>
      <c r="L75" s="420" t="str">
        <f t="shared" ref="L75:L76" si="6">IF(J75="","",F75*K75)</f>
        <v/>
      </c>
      <c r="M75" s="401" t="str">
        <f t="shared" ref="M75:M77" si="7">IF(J75="","",IF(SUM(H75)=0,"",L75/H75))</f>
        <v/>
      </c>
    </row>
    <row r="76" spans="2:13" x14ac:dyDescent="0.25">
      <c r="B76" s="58"/>
      <c r="C76" s="65"/>
      <c r="D76" s="15"/>
      <c r="E76" s="15"/>
      <c r="F76" s="580"/>
      <c r="G76" s="422"/>
      <c r="H76" s="17" t="str">
        <f t="shared" si="5"/>
        <v/>
      </c>
      <c r="I76" s="18"/>
      <c r="J76" s="61"/>
      <c r="K76" s="696"/>
      <c r="L76" s="420" t="str">
        <f t="shared" si="6"/>
        <v/>
      </c>
      <c r="M76" s="401" t="str">
        <f t="shared" si="7"/>
        <v/>
      </c>
    </row>
    <row r="77" spans="2:13" s="28" customFormat="1" ht="19.5" customHeight="1" x14ac:dyDescent="0.25">
      <c r="B77" s="135" t="str">
        <f>$B$12</f>
        <v>C20.1</v>
      </c>
      <c r="C77" s="498" t="str">
        <f>"TOTAL CARRIED FORWARD"&amp;IF(H77=H$1," TO SUMMARY (Page C"&amp;Page_A&amp;")","")</f>
        <v>TOTAL CARRIED FORWARD TO SUMMARY (Page C48)</v>
      </c>
      <c r="D77" s="31"/>
      <c r="E77" s="31"/>
      <c r="F77" s="32"/>
      <c r="G77" s="31"/>
      <c r="H77" s="33">
        <f>SUM(H11:H76)</f>
        <v>6000000</v>
      </c>
      <c r="I77" s="34"/>
      <c r="J77" s="408"/>
      <c r="K77" s="406"/>
      <c r="L77" s="418">
        <f>SUM(L11:L76)</f>
        <v>0</v>
      </c>
      <c r="M77" s="407" t="str">
        <f t="shared" si="7"/>
        <v/>
      </c>
    </row>
    <row r="78" spans="2:13" ht="13" x14ac:dyDescent="0.25">
      <c r="B78" s="1108" t="str">
        <f>Client1</f>
        <v>Province of KwaZulu-Natal</v>
      </c>
      <c r="C78" s="1108"/>
      <c r="D78" s="1108"/>
      <c r="E78" s="87"/>
      <c r="F78" s="1109" t="str">
        <f>"Contract No. "&amp;ContractNo</f>
        <v>Contract No. ZNB 00399/00000/HOD/INF/21/T</v>
      </c>
      <c r="G78" s="1109"/>
      <c r="H78" s="1109"/>
    </row>
    <row r="79" spans="2:13" ht="13" x14ac:dyDescent="0.25">
      <c r="B79" s="1108" t="str">
        <f>Client2</f>
        <v>Department of Transport</v>
      </c>
      <c r="C79" s="1108"/>
      <c r="D79" s="1108"/>
      <c r="E79" s="87"/>
      <c r="F79" s="1109"/>
      <c r="G79" s="1109"/>
      <c r="H79" s="1109"/>
    </row>
    <row r="80" spans="2:13" x14ac:dyDescent="0.25">
      <c r="B80" s="1111"/>
      <c r="C80" s="1111"/>
      <c r="D80" s="1111"/>
      <c r="E80" s="78"/>
      <c r="F80" s="1110"/>
      <c r="G80" s="1110"/>
      <c r="H80" s="1110"/>
    </row>
    <row r="81" spans="2:13" ht="13" x14ac:dyDescent="0.25">
      <c r="B81" s="1112" t="s">
        <v>8</v>
      </c>
      <c r="C81" s="1113"/>
      <c r="D81" s="1113"/>
      <c r="E81" s="1113"/>
      <c r="F81" s="1113"/>
      <c r="G81" s="1113"/>
      <c r="H81" s="1114" t="str">
        <f>$H$6</f>
        <v>CHAPTER C20.1</v>
      </c>
      <c r="I81" s="6"/>
    </row>
    <row r="82" spans="2:13" ht="13" x14ac:dyDescent="0.25">
      <c r="B82" s="1117" t="str">
        <f>ContractDescription</f>
        <v>THE CONSTRUCTION OF EARTHWORKS, LAYERWORKS, SURFACING, CULVERTS AND CWAKA RIVER BRIDGE FROM KM 11.600 TO KM 14.000 ON MAIN ROAD P494 IN THE KING CETSHWAYO DISTRICT UNDER EMPANGENI REGION</v>
      </c>
      <c r="C82" s="1118"/>
      <c r="D82" s="1118"/>
      <c r="E82" s="1118"/>
      <c r="F82" s="1118"/>
      <c r="G82" s="1118"/>
      <c r="H82" s="1115"/>
      <c r="I82" s="8"/>
    </row>
    <row r="83" spans="2:13" ht="13" x14ac:dyDescent="0.25">
      <c r="B83" s="1117"/>
      <c r="C83" s="1118"/>
      <c r="D83" s="1118"/>
      <c r="E83" s="1118"/>
      <c r="F83" s="1118"/>
      <c r="G83" s="1118"/>
      <c r="H83" s="1115"/>
      <c r="I83" s="8"/>
    </row>
    <row r="84" spans="2:13" ht="13" x14ac:dyDescent="0.25">
      <c r="B84" s="1119"/>
      <c r="C84" s="1120"/>
      <c r="D84" s="1120"/>
      <c r="E84" s="1120"/>
      <c r="F84" s="1120"/>
      <c r="G84" s="1120"/>
      <c r="H84" s="1116"/>
      <c r="I84" s="8"/>
    </row>
    <row r="85" spans="2:13" s="9" customFormat="1" ht="25" customHeight="1" x14ac:dyDescent="0.25">
      <c r="B85" s="74" t="s">
        <v>0</v>
      </c>
      <c r="C85" s="11" t="s">
        <v>1</v>
      </c>
      <c r="D85" s="11" t="s">
        <v>2</v>
      </c>
      <c r="E85" s="11"/>
      <c r="F85" s="11" t="s">
        <v>3</v>
      </c>
      <c r="G85" s="11" t="s">
        <v>4</v>
      </c>
      <c r="H85" s="11" t="s">
        <v>5</v>
      </c>
      <c r="I85" s="12"/>
      <c r="J85" s="408" t="s">
        <v>996</v>
      </c>
      <c r="K85" s="253" t="s">
        <v>997</v>
      </c>
      <c r="L85" s="253" t="s">
        <v>998</v>
      </c>
      <c r="M85" s="253" t="s">
        <v>999</v>
      </c>
    </row>
    <row r="86" spans="2:13" s="28" customFormat="1" ht="19.5" customHeight="1" x14ac:dyDescent="0.25">
      <c r="B86" s="80"/>
      <c r="C86" s="30" t="s">
        <v>27</v>
      </c>
      <c r="D86" s="31"/>
      <c r="E86" s="31"/>
      <c r="F86" s="32"/>
      <c r="G86" s="31"/>
      <c r="H86" s="33">
        <f>H77</f>
        <v>6000000</v>
      </c>
      <c r="I86" s="34"/>
      <c r="J86" s="416"/>
      <c r="K86" s="409"/>
      <c r="L86" s="419">
        <f>L77</f>
        <v>0</v>
      </c>
      <c r="M86" s="410" t="str">
        <f>IF(F86="","",IF(SUM(I86)=0,"",L86/I86))</f>
        <v/>
      </c>
    </row>
    <row r="87" spans="2:13" x14ac:dyDescent="0.25">
      <c r="B87" s="58"/>
      <c r="C87" s="14"/>
      <c r="D87" s="15"/>
      <c r="E87" s="15"/>
      <c r="F87" s="15"/>
      <c r="G87" s="422"/>
      <c r="H87" s="17" t="str">
        <f t="shared" ref="H87:H118" si="8">IF(D87="","",F87*G87)</f>
        <v/>
      </c>
      <c r="I87" s="18"/>
      <c r="J87" s="61"/>
      <c r="K87" s="399"/>
      <c r="L87" s="420" t="str">
        <f t="shared" ref="L87:L145" si="9">IF(J87="","",F87*K87)</f>
        <v/>
      </c>
      <c r="M87" s="401" t="str">
        <f t="shared" ref="M87:M118" si="10">IF(J87="","",IF(SUM(H87)=0,"",L87/H87))</f>
        <v/>
      </c>
    </row>
    <row r="88" spans="2:13" x14ac:dyDescent="0.25">
      <c r="B88" s="58"/>
      <c r="C88" s="14"/>
      <c r="D88" s="15"/>
      <c r="E88" s="15"/>
      <c r="F88" s="15"/>
      <c r="G88" s="422"/>
      <c r="H88" s="17" t="str">
        <f t="shared" si="8"/>
        <v/>
      </c>
      <c r="I88" s="18"/>
      <c r="J88" s="61"/>
      <c r="K88" s="399"/>
      <c r="L88" s="420" t="str">
        <f t="shared" si="9"/>
        <v/>
      </c>
      <c r="M88" s="401" t="str">
        <f t="shared" si="10"/>
        <v/>
      </c>
    </row>
    <row r="89" spans="2:13" x14ac:dyDescent="0.25">
      <c r="B89" s="58"/>
      <c r="C89" s="14"/>
      <c r="D89" s="15"/>
      <c r="E89" s="15"/>
      <c r="F89" s="15"/>
      <c r="G89" s="422"/>
      <c r="H89" s="17" t="str">
        <f t="shared" si="8"/>
        <v/>
      </c>
      <c r="I89" s="18"/>
      <c r="J89" s="61"/>
      <c r="K89" s="399"/>
      <c r="L89" s="420" t="str">
        <f t="shared" si="9"/>
        <v/>
      </c>
      <c r="M89" s="401" t="str">
        <f t="shared" si="10"/>
        <v/>
      </c>
    </row>
    <row r="90" spans="2:13" x14ac:dyDescent="0.25">
      <c r="B90" s="58"/>
      <c r="C90" s="14"/>
      <c r="D90" s="15"/>
      <c r="E90" s="15"/>
      <c r="F90" s="15"/>
      <c r="G90" s="422"/>
      <c r="H90" s="17" t="str">
        <f t="shared" si="8"/>
        <v/>
      </c>
      <c r="I90" s="18"/>
      <c r="J90" s="61"/>
      <c r="K90" s="399"/>
      <c r="L90" s="420" t="str">
        <f t="shared" si="9"/>
        <v/>
      </c>
      <c r="M90" s="401" t="str">
        <f t="shared" si="10"/>
        <v/>
      </c>
    </row>
    <row r="91" spans="2:13" x14ac:dyDescent="0.25">
      <c r="B91" s="58"/>
      <c r="C91" s="14"/>
      <c r="D91" s="15"/>
      <c r="E91" s="15"/>
      <c r="F91" s="15"/>
      <c r="G91" s="422"/>
      <c r="H91" s="17" t="str">
        <f t="shared" si="8"/>
        <v/>
      </c>
      <c r="I91" s="18"/>
      <c r="J91" s="61"/>
      <c r="K91" s="400"/>
      <c r="L91" s="420" t="str">
        <f t="shared" si="9"/>
        <v/>
      </c>
      <c r="M91" s="401" t="str">
        <f t="shared" si="10"/>
        <v/>
      </c>
    </row>
    <row r="92" spans="2:13" x14ac:dyDescent="0.25">
      <c r="B92" s="58"/>
      <c r="C92" s="14"/>
      <c r="D92" s="15"/>
      <c r="E92" s="15"/>
      <c r="F92" s="15"/>
      <c r="G92" s="422"/>
      <c r="H92" s="17" t="str">
        <f t="shared" si="8"/>
        <v/>
      </c>
      <c r="I92" s="18"/>
      <c r="J92" s="61"/>
      <c r="K92" s="399"/>
      <c r="L92" s="420" t="str">
        <f t="shared" si="9"/>
        <v/>
      </c>
      <c r="M92" s="401" t="str">
        <f t="shared" si="10"/>
        <v/>
      </c>
    </row>
    <row r="93" spans="2:13" x14ac:dyDescent="0.25">
      <c r="B93" s="58"/>
      <c r="C93" s="14"/>
      <c r="D93" s="15"/>
      <c r="E93" s="15"/>
      <c r="F93" s="15"/>
      <c r="G93" s="422"/>
      <c r="H93" s="17" t="str">
        <f t="shared" si="8"/>
        <v/>
      </c>
      <c r="I93" s="18"/>
      <c r="J93" s="61"/>
      <c r="K93" s="399"/>
      <c r="L93" s="420" t="str">
        <f t="shared" si="9"/>
        <v/>
      </c>
      <c r="M93" s="401" t="str">
        <f t="shared" si="10"/>
        <v/>
      </c>
    </row>
    <row r="94" spans="2:13" ht="13" x14ac:dyDescent="0.25">
      <c r="B94" s="146"/>
      <c r="C94" s="615"/>
      <c r="D94" s="390"/>
      <c r="E94" s="390"/>
      <c r="F94" s="390"/>
      <c r="G94" s="504"/>
      <c r="H94" s="17" t="str">
        <f t="shared" si="8"/>
        <v/>
      </c>
      <c r="I94" s="18"/>
      <c r="J94" s="61"/>
      <c r="K94" s="399"/>
      <c r="L94" s="420" t="str">
        <f t="shared" si="9"/>
        <v/>
      </c>
      <c r="M94" s="401" t="str">
        <f t="shared" si="10"/>
        <v/>
      </c>
    </row>
    <row r="95" spans="2:13" x14ac:dyDescent="0.25">
      <c r="B95" s="58"/>
      <c r="C95" s="386"/>
      <c r="D95" s="390"/>
      <c r="E95" s="390"/>
      <c r="F95" s="390"/>
      <c r="G95" s="504"/>
      <c r="H95" s="17" t="str">
        <f t="shared" si="8"/>
        <v/>
      </c>
      <c r="I95" s="18"/>
      <c r="J95" s="61"/>
      <c r="K95" s="402"/>
      <c r="L95" s="420" t="str">
        <f t="shared" si="9"/>
        <v/>
      </c>
      <c r="M95" s="401" t="str">
        <f t="shared" si="10"/>
        <v/>
      </c>
    </row>
    <row r="96" spans="2:13" x14ac:dyDescent="0.25">
      <c r="B96" s="58"/>
      <c r="C96" s="386"/>
      <c r="D96" s="390"/>
      <c r="E96" s="390"/>
      <c r="F96" s="788"/>
      <c r="G96" s="504"/>
      <c r="H96" s="389" t="str">
        <f t="shared" si="8"/>
        <v/>
      </c>
      <c r="I96" s="18"/>
      <c r="J96" s="61"/>
      <c r="K96" s="402"/>
      <c r="L96" s="420" t="str">
        <f t="shared" si="9"/>
        <v/>
      </c>
      <c r="M96" s="401" t="str">
        <f t="shared" si="10"/>
        <v/>
      </c>
    </row>
    <row r="97" spans="2:13" x14ac:dyDescent="0.25">
      <c r="B97" s="58"/>
      <c r="C97" s="14"/>
      <c r="D97" s="15"/>
      <c r="E97" s="15"/>
      <c r="F97" s="15"/>
      <c r="G97" s="422"/>
      <c r="H97" s="17" t="str">
        <f t="shared" si="8"/>
        <v/>
      </c>
      <c r="I97" s="18"/>
      <c r="J97" s="61"/>
      <c r="K97" s="402"/>
      <c r="L97" s="420" t="str">
        <f t="shared" si="9"/>
        <v/>
      </c>
      <c r="M97" s="401" t="str">
        <f t="shared" si="10"/>
        <v/>
      </c>
    </row>
    <row r="98" spans="2:13" x14ac:dyDescent="0.25">
      <c r="B98" s="58"/>
      <c r="C98" s="14"/>
      <c r="D98" s="15"/>
      <c r="E98" s="15"/>
      <c r="F98" s="15"/>
      <c r="G98" s="422"/>
      <c r="H98" s="17" t="str">
        <f t="shared" si="8"/>
        <v/>
      </c>
      <c r="I98" s="18"/>
      <c r="J98" s="61"/>
      <c r="K98" s="402"/>
      <c r="L98" s="420" t="str">
        <f t="shared" si="9"/>
        <v/>
      </c>
      <c r="M98" s="401" t="str">
        <f t="shared" si="10"/>
        <v/>
      </c>
    </row>
    <row r="99" spans="2:13" x14ac:dyDescent="0.25">
      <c r="B99" s="58"/>
      <c r="C99" s="14"/>
      <c r="D99" s="15"/>
      <c r="E99" s="15"/>
      <c r="F99" s="15"/>
      <c r="G99" s="422"/>
      <c r="H99" s="17" t="str">
        <f t="shared" si="8"/>
        <v/>
      </c>
      <c r="I99" s="18"/>
      <c r="J99" s="61"/>
      <c r="K99" s="402"/>
      <c r="L99" s="420" t="str">
        <f t="shared" si="9"/>
        <v/>
      </c>
      <c r="M99" s="401" t="str">
        <f t="shared" si="10"/>
        <v/>
      </c>
    </row>
    <row r="100" spans="2:13" x14ac:dyDescent="0.25">
      <c r="B100" s="58"/>
      <c r="C100" s="14"/>
      <c r="D100" s="15"/>
      <c r="E100" s="15"/>
      <c r="F100" s="15"/>
      <c r="G100" s="422"/>
      <c r="H100" s="17" t="str">
        <f t="shared" si="8"/>
        <v/>
      </c>
      <c r="I100" s="18"/>
      <c r="J100" s="61"/>
      <c r="K100" s="402"/>
      <c r="L100" s="420" t="str">
        <f t="shared" si="9"/>
        <v/>
      </c>
      <c r="M100" s="401" t="str">
        <f t="shared" si="10"/>
        <v/>
      </c>
    </row>
    <row r="101" spans="2:13" x14ac:dyDescent="0.25">
      <c r="B101" s="58"/>
      <c r="C101" s="14"/>
      <c r="D101" s="15"/>
      <c r="E101" s="15"/>
      <c r="F101" s="15"/>
      <c r="G101" s="422"/>
      <c r="H101" s="17" t="str">
        <f t="shared" si="8"/>
        <v/>
      </c>
      <c r="I101" s="18"/>
      <c r="J101" s="61"/>
      <c r="K101" s="399"/>
      <c r="L101" s="420" t="str">
        <f t="shared" si="9"/>
        <v/>
      </c>
      <c r="M101" s="401" t="str">
        <f t="shared" si="10"/>
        <v/>
      </c>
    </row>
    <row r="102" spans="2:13" x14ac:dyDescent="0.25">
      <c r="B102" s="58"/>
      <c r="C102" s="14"/>
      <c r="D102" s="15"/>
      <c r="E102" s="15"/>
      <c r="F102" s="15"/>
      <c r="G102" s="422"/>
      <c r="H102" s="17" t="str">
        <f t="shared" si="8"/>
        <v/>
      </c>
      <c r="I102" s="18"/>
      <c r="J102" s="61"/>
      <c r="K102" s="399"/>
      <c r="L102" s="420" t="str">
        <f t="shared" si="9"/>
        <v/>
      </c>
      <c r="M102" s="401" t="str">
        <f t="shared" si="10"/>
        <v/>
      </c>
    </row>
    <row r="103" spans="2:13" x14ac:dyDescent="0.25">
      <c r="B103" s="58"/>
      <c r="C103" s="14"/>
      <c r="D103" s="15"/>
      <c r="E103" s="15"/>
      <c r="F103" s="15"/>
      <c r="G103" s="422"/>
      <c r="H103" s="17" t="str">
        <f t="shared" si="8"/>
        <v/>
      </c>
      <c r="I103" s="18"/>
      <c r="J103" s="61"/>
      <c r="K103" s="400"/>
      <c r="L103" s="420" t="str">
        <f t="shared" si="9"/>
        <v/>
      </c>
      <c r="M103" s="401" t="str">
        <f t="shared" si="10"/>
        <v/>
      </c>
    </row>
    <row r="104" spans="2:13" x14ac:dyDescent="0.25">
      <c r="B104" s="58"/>
      <c r="C104" s="14"/>
      <c r="D104" s="15"/>
      <c r="E104" s="15"/>
      <c r="F104" s="15"/>
      <c r="G104" s="422"/>
      <c r="H104" s="17" t="str">
        <f t="shared" si="8"/>
        <v/>
      </c>
      <c r="I104" s="18"/>
      <c r="J104" s="61"/>
      <c r="K104" s="399"/>
      <c r="L104" s="420" t="str">
        <f t="shared" si="9"/>
        <v/>
      </c>
      <c r="M104" s="401" t="str">
        <f t="shared" si="10"/>
        <v/>
      </c>
    </row>
    <row r="105" spans="2:13" x14ac:dyDescent="0.25">
      <c r="B105" s="58"/>
      <c r="C105" s="14"/>
      <c r="D105" s="15"/>
      <c r="E105" s="15"/>
      <c r="F105" s="15"/>
      <c r="G105" s="422"/>
      <c r="H105" s="17" t="str">
        <f t="shared" si="8"/>
        <v/>
      </c>
      <c r="I105" s="18"/>
      <c r="J105" s="61"/>
      <c r="K105" s="399"/>
      <c r="L105" s="420" t="str">
        <f t="shared" si="9"/>
        <v/>
      </c>
      <c r="M105" s="401" t="str">
        <f t="shared" si="10"/>
        <v/>
      </c>
    </row>
    <row r="106" spans="2:13" x14ac:dyDescent="0.25">
      <c r="B106" s="58"/>
      <c r="C106" s="14"/>
      <c r="D106" s="15"/>
      <c r="E106" s="15"/>
      <c r="F106" s="15"/>
      <c r="G106" s="422"/>
      <c r="H106" s="17" t="str">
        <f t="shared" si="8"/>
        <v/>
      </c>
      <c r="I106" s="18"/>
      <c r="J106" s="61"/>
      <c r="K106" s="399"/>
      <c r="L106" s="420" t="str">
        <f t="shared" si="9"/>
        <v/>
      </c>
      <c r="M106" s="401" t="str">
        <f t="shared" si="10"/>
        <v/>
      </c>
    </row>
    <row r="107" spans="2:13" x14ac:dyDescent="0.25">
      <c r="B107" s="58"/>
      <c r="C107" s="14"/>
      <c r="D107" s="15"/>
      <c r="E107" s="15"/>
      <c r="F107" s="15"/>
      <c r="G107" s="422"/>
      <c r="H107" s="17" t="str">
        <f t="shared" si="8"/>
        <v/>
      </c>
      <c r="I107" s="18"/>
      <c r="J107" s="61"/>
      <c r="K107" s="399"/>
      <c r="L107" s="420" t="str">
        <f t="shared" si="9"/>
        <v/>
      </c>
      <c r="M107" s="401" t="str">
        <f t="shared" si="10"/>
        <v/>
      </c>
    </row>
    <row r="108" spans="2:13" x14ac:dyDescent="0.25">
      <c r="B108" s="58"/>
      <c r="C108" s="14"/>
      <c r="D108" s="15"/>
      <c r="E108" s="15"/>
      <c r="F108" s="15"/>
      <c r="G108" s="422"/>
      <c r="H108" s="17" t="str">
        <f t="shared" si="8"/>
        <v/>
      </c>
      <c r="I108" s="18"/>
      <c r="J108" s="61"/>
      <c r="K108" s="399"/>
      <c r="L108" s="420" t="str">
        <f t="shared" si="9"/>
        <v/>
      </c>
      <c r="M108" s="401" t="str">
        <f t="shared" si="10"/>
        <v/>
      </c>
    </row>
    <row r="109" spans="2:13" x14ac:dyDescent="0.25">
      <c r="B109" s="58"/>
      <c r="C109" s="14"/>
      <c r="D109" s="15"/>
      <c r="E109" s="15"/>
      <c r="F109" s="15"/>
      <c r="G109" s="422"/>
      <c r="H109" s="17" t="str">
        <f t="shared" si="8"/>
        <v/>
      </c>
      <c r="I109" s="18"/>
      <c r="J109" s="61"/>
      <c r="K109" s="400"/>
      <c r="L109" s="420" t="str">
        <f t="shared" si="9"/>
        <v/>
      </c>
      <c r="M109" s="401" t="str">
        <f t="shared" si="10"/>
        <v/>
      </c>
    </row>
    <row r="110" spans="2:13" x14ac:dyDescent="0.25">
      <c r="B110" s="58"/>
      <c r="C110" s="14"/>
      <c r="D110" s="15"/>
      <c r="E110" s="15"/>
      <c r="F110" s="15"/>
      <c r="G110" s="422"/>
      <c r="H110" s="17" t="str">
        <f t="shared" si="8"/>
        <v/>
      </c>
      <c r="I110" s="18"/>
      <c r="J110" s="61"/>
      <c r="K110" s="399"/>
      <c r="L110" s="420" t="str">
        <f t="shared" si="9"/>
        <v/>
      </c>
      <c r="M110" s="401" t="str">
        <f t="shared" si="10"/>
        <v/>
      </c>
    </row>
    <row r="111" spans="2:13" x14ac:dyDescent="0.25">
      <c r="B111" s="58"/>
      <c r="C111" s="14"/>
      <c r="D111" s="15"/>
      <c r="E111" s="15"/>
      <c r="F111" s="15"/>
      <c r="G111" s="422"/>
      <c r="H111" s="17" t="str">
        <f t="shared" si="8"/>
        <v/>
      </c>
      <c r="I111" s="18"/>
      <c r="J111" s="61"/>
      <c r="K111" s="399"/>
      <c r="L111" s="420" t="str">
        <f t="shared" si="9"/>
        <v/>
      </c>
      <c r="M111" s="401" t="str">
        <f t="shared" si="10"/>
        <v/>
      </c>
    </row>
    <row r="112" spans="2:13" x14ac:dyDescent="0.25">
      <c r="B112" s="58"/>
      <c r="C112" s="14"/>
      <c r="D112" s="15"/>
      <c r="E112" s="15"/>
      <c r="F112" s="15"/>
      <c r="G112" s="422"/>
      <c r="H112" s="17" t="str">
        <f t="shared" si="8"/>
        <v/>
      </c>
      <c r="I112" s="18"/>
      <c r="J112" s="61"/>
      <c r="K112" s="399"/>
      <c r="L112" s="420" t="str">
        <f t="shared" si="9"/>
        <v/>
      </c>
      <c r="M112" s="401" t="str">
        <f t="shared" si="10"/>
        <v/>
      </c>
    </row>
    <row r="113" spans="2:13" x14ac:dyDescent="0.25">
      <c r="B113" s="58"/>
      <c r="C113" s="14"/>
      <c r="D113" s="15"/>
      <c r="E113" s="15"/>
      <c r="F113" s="15"/>
      <c r="G113" s="422"/>
      <c r="H113" s="17" t="str">
        <f t="shared" si="8"/>
        <v/>
      </c>
      <c r="I113" s="18"/>
      <c r="J113" s="61"/>
      <c r="K113" s="399"/>
      <c r="L113" s="420" t="str">
        <f t="shared" si="9"/>
        <v/>
      </c>
      <c r="M113" s="401" t="str">
        <f t="shared" si="10"/>
        <v/>
      </c>
    </row>
    <row r="114" spans="2:13" x14ac:dyDescent="0.25">
      <c r="B114" s="58"/>
      <c r="C114" s="14"/>
      <c r="D114" s="15"/>
      <c r="E114" s="15"/>
      <c r="F114" s="15"/>
      <c r="G114" s="422"/>
      <c r="H114" s="17" t="str">
        <f t="shared" si="8"/>
        <v/>
      </c>
      <c r="I114" s="18"/>
      <c r="J114" s="61"/>
      <c r="K114" s="399"/>
      <c r="L114" s="420" t="str">
        <f t="shared" si="9"/>
        <v/>
      </c>
      <c r="M114" s="401" t="str">
        <f t="shared" si="10"/>
        <v/>
      </c>
    </row>
    <row r="115" spans="2:13" x14ac:dyDescent="0.25">
      <c r="B115" s="58"/>
      <c r="C115" s="14"/>
      <c r="D115" s="15"/>
      <c r="E115" s="15"/>
      <c r="F115" s="15"/>
      <c r="G115" s="422"/>
      <c r="H115" s="17" t="str">
        <f t="shared" si="8"/>
        <v/>
      </c>
      <c r="I115" s="18"/>
      <c r="J115" s="61"/>
      <c r="K115" s="399"/>
      <c r="L115" s="420" t="str">
        <f t="shared" si="9"/>
        <v/>
      </c>
      <c r="M115" s="401" t="str">
        <f t="shared" si="10"/>
        <v/>
      </c>
    </row>
    <row r="116" spans="2:13" x14ac:dyDescent="0.25">
      <c r="B116" s="58"/>
      <c r="C116" s="14"/>
      <c r="D116" s="15"/>
      <c r="E116" s="15"/>
      <c r="F116" s="15"/>
      <c r="G116" s="422"/>
      <c r="H116" s="17" t="str">
        <f t="shared" si="8"/>
        <v/>
      </c>
      <c r="I116" s="18"/>
      <c r="J116" s="61"/>
      <c r="K116" s="399"/>
      <c r="L116" s="420" t="str">
        <f t="shared" si="9"/>
        <v/>
      </c>
      <c r="M116" s="401" t="str">
        <f t="shared" si="10"/>
        <v/>
      </c>
    </row>
    <row r="117" spans="2:13" x14ac:dyDescent="0.25">
      <c r="B117" s="58"/>
      <c r="C117" s="14"/>
      <c r="D117" s="15"/>
      <c r="E117" s="15"/>
      <c r="F117" s="15"/>
      <c r="G117" s="422"/>
      <c r="H117" s="17" t="str">
        <f t="shared" si="8"/>
        <v/>
      </c>
      <c r="I117" s="18"/>
      <c r="J117" s="61"/>
      <c r="K117" s="399"/>
      <c r="L117" s="420" t="str">
        <f t="shared" si="9"/>
        <v/>
      </c>
      <c r="M117" s="401" t="str">
        <f t="shared" si="10"/>
        <v/>
      </c>
    </row>
    <row r="118" spans="2:13" x14ac:dyDescent="0.25">
      <c r="B118" s="58"/>
      <c r="C118" s="14"/>
      <c r="D118" s="15"/>
      <c r="E118" s="15"/>
      <c r="F118" s="15"/>
      <c r="G118" s="422"/>
      <c r="H118" s="17" t="str">
        <f t="shared" si="8"/>
        <v/>
      </c>
      <c r="I118" s="18"/>
      <c r="J118" s="61"/>
      <c r="K118" s="399"/>
      <c r="L118" s="420" t="str">
        <f t="shared" si="9"/>
        <v/>
      </c>
      <c r="M118" s="401" t="str">
        <f t="shared" si="10"/>
        <v/>
      </c>
    </row>
    <row r="119" spans="2:13" x14ac:dyDescent="0.25">
      <c r="B119" s="58"/>
      <c r="C119" s="14"/>
      <c r="D119" s="15"/>
      <c r="E119" s="15"/>
      <c r="F119" s="15"/>
      <c r="G119" s="422"/>
      <c r="H119" s="17" t="str">
        <f t="shared" ref="H119:H139" si="11">IF(D119="","",F119*G119)</f>
        <v/>
      </c>
      <c r="I119" s="18"/>
      <c r="J119" s="61"/>
      <c r="K119" s="399"/>
      <c r="L119" s="420" t="str">
        <f t="shared" si="9"/>
        <v/>
      </c>
      <c r="M119" s="401" t="str">
        <f t="shared" ref="M119:M148" si="12">IF(J119="","",IF(SUM(H119)=0,"",L119/H119))</f>
        <v/>
      </c>
    </row>
    <row r="120" spans="2:13" x14ac:dyDescent="0.25">
      <c r="B120" s="58"/>
      <c r="C120" s="14"/>
      <c r="D120" s="15"/>
      <c r="E120" s="15"/>
      <c r="F120" s="15"/>
      <c r="G120" s="422"/>
      <c r="H120" s="17" t="str">
        <f t="shared" si="11"/>
        <v/>
      </c>
      <c r="I120" s="18"/>
      <c r="J120" s="61"/>
      <c r="K120" s="399"/>
      <c r="L120" s="420" t="str">
        <f t="shared" si="9"/>
        <v/>
      </c>
      <c r="M120" s="401" t="str">
        <f t="shared" si="12"/>
        <v/>
      </c>
    </row>
    <row r="121" spans="2:13" x14ac:dyDescent="0.25">
      <c r="B121" s="58"/>
      <c r="C121" s="14"/>
      <c r="D121" s="15"/>
      <c r="E121" s="15"/>
      <c r="F121" s="15"/>
      <c r="G121" s="422"/>
      <c r="H121" s="17" t="str">
        <f t="shared" si="11"/>
        <v/>
      </c>
      <c r="I121" s="18"/>
      <c r="J121" s="61"/>
      <c r="K121" s="402"/>
      <c r="L121" s="420" t="str">
        <f t="shared" si="9"/>
        <v/>
      </c>
      <c r="M121" s="401" t="str">
        <f t="shared" si="12"/>
        <v/>
      </c>
    </row>
    <row r="122" spans="2:13" x14ac:dyDescent="0.25">
      <c r="B122" s="58"/>
      <c r="C122" s="14"/>
      <c r="D122" s="15"/>
      <c r="E122" s="15"/>
      <c r="F122" s="15"/>
      <c r="G122" s="422"/>
      <c r="H122" s="17" t="str">
        <f t="shared" si="11"/>
        <v/>
      </c>
      <c r="I122" s="18"/>
      <c r="J122" s="61"/>
      <c r="K122" s="399"/>
      <c r="L122" s="420" t="str">
        <f t="shared" si="9"/>
        <v/>
      </c>
      <c r="M122" s="401" t="str">
        <f t="shared" si="12"/>
        <v/>
      </c>
    </row>
    <row r="123" spans="2:13" x14ac:dyDescent="0.25">
      <c r="B123" s="58"/>
      <c r="C123" s="14"/>
      <c r="D123" s="15"/>
      <c r="E123" s="15"/>
      <c r="F123" s="15"/>
      <c r="G123" s="422"/>
      <c r="H123" s="17" t="str">
        <f t="shared" si="11"/>
        <v/>
      </c>
      <c r="I123" s="18"/>
      <c r="J123" s="61"/>
      <c r="K123" s="402"/>
      <c r="L123" s="420" t="str">
        <f t="shared" si="9"/>
        <v/>
      </c>
      <c r="M123" s="401" t="str">
        <f t="shared" si="12"/>
        <v/>
      </c>
    </row>
    <row r="124" spans="2:13" x14ac:dyDescent="0.25">
      <c r="B124" s="58"/>
      <c r="C124" s="14"/>
      <c r="D124" s="15"/>
      <c r="E124" s="15"/>
      <c r="F124" s="15"/>
      <c r="G124" s="422"/>
      <c r="H124" s="17" t="str">
        <f t="shared" si="11"/>
        <v/>
      </c>
      <c r="I124" s="18"/>
      <c r="J124" s="61"/>
      <c r="K124" s="402"/>
      <c r="L124" s="420" t="str">
        <f t="shared" si="9"/>
        <v/>
      </c>
      <c r="M124" s="401" t="str">
        <f t="shared" si="12"/>
        <v/>
      </c>
    </row>
    <row r="125" spans="2:13" x14ac:dyDescent="0.25">
      <c r="B125" s="58"/>
      <c r="C125" s="14"/>
      <c r="D125" s="15"/>
      <c r="E125" s="15"/>
      <c r="F125" s="15"/>
      <c r="G125" s="422"/>
      <c r="H125" s="17" t="str">
        <f t="shared" si="11"/>
        <v/>
      </c>
      <c r="I125" s="18"/>
      <c r="J125" s="61"/>
      <c r="K125" s="399"/>
      <c r="L125" s="420" t="str">
        <f t="shared" si="9"/>
        <v/>
      </c>
      <c r="M125" s="401" t="str">
        <f t="shared" si="12"/>
        <v/>
      </c>
    </row>
    <row r="126" spans="2:13" x14ac:dyDescent="0.25">
      <c r="B126" s="58"/>
      <c r="C126" s="14"/>
      <c r="D126" s="15"/>
      <c r="E126" s="15"/>
      <c r="F126" s="15"/>
      <c r="G126" s="422"/>
      <c r="H126" s="17" t="str">
        <f t="shared" si="11"/>
        <v/>
      </c>
      <c r="I126" s="18"/>
      <c r="J126" s="61"/>
      <c r="K126" s="399"/>
      <c r="L126" s="420" t="str">
        <f t="shared" si="9"/>
        <v/>
      </c>
      <c r="M126" s="401" t="str">
        <f t="shared" si="12"/>
        <v/>
      </c>
    </row>
    <row r="127" spans="2:13" x14ac:dyDescent="0.25">
      <c r="B127" s="58"/>
      <c r="C127" s="14"/>
      <c r="D127" s="15"/>
      <c r="E127" s="15"/>
      <c r="F127" s="15"/>
      <c r="G127" s="422"/>
      <c r="H127" s="17" t="str">
        <f t="shared" si="11"/>
        <v/>
      </c>
      <c r="I127" s="18"/>
      <c r="J127" s="61"/>
      <c r="K127" s="399"/>
      <c r="L127" s="420" t="str">
        <f t="shared" si="9"/>
        <v/>
      </c>
      <c r="M127" s="401" t="str">
        <f t="shared" si="12"/>
        <v/>
      </c>
    </row>
    <row r="128" spans="2:13" x14ac:dyDescent="0.25">
      <c r="B128" s="58"/>
      <c r="C128" s="14"/>
      <c r="D128" s="15"/>
      <c r="E128" s="15"/>
      <c r="F128" s="15"/>
      <c r="G128" s="422"/>
      <c r="H128" s="17" t="str">
        <f t="shared" si="11"/>
        <v/>
      </c>
      <c r="I128" s="18"/>
      <c r="J128" s="61"/>
      <c r="K128" s="399"/>
      <c r="L128" s="420" t="str">
        <f t="shared" si="9"/>
        <v/>
      </c>
      <c r="M128" s="401" t="str">
        <f t="shared" si="12"/>
        <v/>
      </c>
    </row>
    <row r="129" spans="2:13" x14ac:dyDescent="0.25">
      <c r="B129" s="58"/>
      <c r="C129" s="14"/>
      <c r="D129" s="15"/>
      <c r="E129" s="15"/>
      <c r="F129" s="15"/>
      <c r="G129" s="422"/>
      <c r="H129" s="17" t="str">
        <f t="shared" si="11"/>
        <v/>
      </c>
      <c r="I129" s="18"/>
      <c r="J129" s="62"/>
      <c r="K129" s="62"/>
      <c r="L129" s="420" t="str">
        <f t="shared" si="9"/>
        <v/>
      </c>
      <c r="M129" s="401" t="str">
        <f t="shared" si="12"/>
        <v/>
      </c>
    </row>
    <row r="130" spans="2:13" x14ac:dyDescent="0.25">
      <c r="B130" s="58"/>
      <c r="C130" s="14"/>
      <c r="D130" s="15"/>
      <c r="E130" s="15"/>
      <c r="F130" s="15"/>
      <c r="G130" s="422"/>
      <c r="H130" s="17" t="str">
        <f t="shared" si="11"/>
        <v/>
      </c>
      <c r="I130" s="18"/>
      <c r="J130" s="61"/>
      <c r="K130" s="62"/>
      <c r="L130" s="420" t="str">
        <f t="shared" si="9"/>
        <v/>
      </c>
      <c r="M130" s="401" t="str">
        <f t="shared" si="12"/>
        <v/>
      </c>
    </row>
    <row r="131" spans="2:13" x14ac:dyDescent="0.25">
      <c r="B131" s="58"/>
      <c r="C131" s="14"/>
      <c r="D131" s="15"/>
      <c r="E131" s="15"/>
      <c r="F131" s="15"/>
      <c r="G131" s="422"/>
      <c r="H131" s="17" t="str">
        <f t="shared" si="11"/>
        <v/>
      </c>
      <c r="I131" s="18"/>
      <c r="J131" s="61"/>
      <c r="K131" s="62"/>
      <c r="L131" s="420" t="str">
        <f t="shared" si="9"/>
        <v/>
      </c>
      <c r="M131" s="401" t="str">
        <f t="shared" si="12"/>
        <v/>
      </c>
    </row>
    <row r="132" spans="2:13" x14ac:dyDescent="0.25">
      <c r="B132" s="58"/>
      <c r="C132" s="14"/>
      <c r="D132" s="15"/>
      <c r="E132" s="15"/>
      <c r="F132" s="15"/>
      <c r="G132" s="422"/>
      <c r="H132" s="17" t="str">
        <f t="shared" si="11"/>
        <v/>
      </c>
      <c r="I132" s="18"/>
      <c r="J132" s="61"/>
      <c r="K132" s="62"/>
      <c r="L132" s="420" t="str">
        <f t="shared" si="9"/>
        <v/>
      </c>
      <c r="M132" s="401" t="str">
        <f t="shared" si="12"/>
        <v/>
      </c>
    </row>
    <row r="133" spans="2:13" x14ac:dyDescent="0.25">
      <c r="B133" s="58"/>
      <c r="C133" s="14"/>
      <c r="D133" s="15"/>
      <c r="E133" s="15"/>
      <c r="F133" s="15"/>
      <c r="G133" s="422"/>
      <c r="H133" s="17" t="str">
        <f t="shared" si="11"/>
        <v/>
      </c>
      <c r="I133" s="18"/>
      <c r="J133" s="61"/>
      <c r="K133" s="62"/>
      <c r="L133" s="420" t="str">
        <f t="shared" si="9"/>
        <v/>
      </c>
      <c r="M133" s="401" t="str">
        <f t="shared" si="12"/>
        <v/>
      </c>
    </row>
    <row r="134" spans="2:13" x14ac:dyDescent="0.25">
      <c r="B134" s="58"/>
      <c r="C134" s="14"/>
      <c r="D134" s="15"/>
      <c r="E134" s="15"/>
      <c r="F134" s="15"/>
      <c r="G134" s="422"/>
      <c r="H134" s="17" t="str">
        <f t="shared" si="11"/>
        <v/>
      </c>
      <c r="I134" s="18"/>
      <c r="J134" s="62"/>
      <c r="K134" s="62"/>
      <c r="L134" s="420" t="str">
        <f t="shared" si="9"/>
        <v/>
      </c>
      <c r="M134" s="401" t="str">
        <f t="shared" si="12"/>
        <v/>
      </c>
    </row>
    <row r="135" spans="2:13" x14ac:dyDescent="0.25">
      <c r="B135" s="58"/>
      <c r="C135" s="14"/>
      <c r="D135" s="15"/>
      <c r="E135" s="15"/>
      <c r="F135" s="15"/>
      <c r="G135" s="422"/>
      <c r="H135" s="17" t="str">
        <f t="shared" si="11"/>
        <v/>
      </c>
      <c r="I135" s="18"/>
      <c r="J135" s="62"/>
      <c r="K135" s="62"/>
      <c r="L135" s="420" t="str">
        <f t="shared" si="9"/>
        <v/>
      </c>
      <c r="M135" s="401" t="str">
        <f t="shared" si="12"/>
        <v/>
      </c>
    </row>
    <row r="136" spans="2:13" x14ac:dyDescent="0.25">
      <c r="B136" s="58"/>
      <c r="C136" s="14"/>
      <c r="D136" s="15"/>
      <c r="E136" s="15"/>
      <c r="F136" s="15"/>
      <c r="G136" s="422"/>
      <c r="H136" s="17" t="str">
        <f t="shared" si="11"/>
        <v/>
      </c>
      <c r="I136" s="18"/>
      <c r="J136" s="62"/>
      <c r="K136" s="62"/>
      <c r="L136" s="420" t="str">
        <f t="shared" si="9"/>
        <v/>
      </c>
      <c r="M136" s="401" t="str">
        <f t="shared" si="12"/>
        <v/>
      </c>
    </row>
    <row r="137" spans="2:13" x14ac:dyDescent="0.25">
      <c r="B137" s="58"/>
      <c r="C137" s="14"/>
      <c r="D137" s="15"/>
      <c r="E137" s="15"/>
      <c r="F137" s="15"/>
      <c r="G137" s="422"/>
      <c r="H137" s="17" t="str">
        <f t="shared" si="11"/>
        <v/>
      </c>
      <c r="I137" s="18"/>
      <c r="J137" s="62"/>
      <c r="K137" s="62"/>
      <c r="L137" s="420" t="str">
        <f t="shared" si="9"/>
        <v/>
      </c>
      <c r="M137" s="401" t="str">
        <f t="shared" si="12"/>
        <v/>
      </c>
    </row>
    <row r="138" spans="2:13" x14ac:dyDescent="0.25">
      <c r="B138" s="58"/>
      <c r="C138" s="14"/>
      <c r="D138" s="15"/>
      <c r="E138" s="15"/>
      <c r="F138" s="15"/>
      <c r="G138" s="422"/>
      <c r="H138" s="17" t="str">
        <f t="shared" si="11"/>
        <v/>
      </c>
      <c r="I138" s="18"/>
      <c r="J138" s="62"/>
      <c r="K138" s="62"/>
      <c r="L138" s="420" t="str">
        <f t="shared" si="9"/>
        <v/>
      </c>
      <c r="M138" s="401" t="str">
        <f t="shared" si="12"/>
        <v/>
      </c>
    </row>
    <row r="139" spans="2:13" x14ac:dyDescent="0.25">
      <c r="B139" s="58"/>
      <c r="C139" s="14"/>
      <c r="D139" s="15"/>
      <c r="E139" s="15"/>
      <c r="F139" s="15"/>
      <c r="G139" s="422"/>
      <c r="H139" s="17" t="str">
        <f t="shared" si="11"/>
        <v/>
      </c>
      <c r="I139" s="18"/>
      <c r="J139" s="62"/>
      <c r="K139" s="62"/>
      <c r="L139" s="420" t="str">
        <f t="shared" si="9"/>
        <v/>
      </c>
      <c r="M139" s="401" t="str">
        <f t="shared" si="12"/>
        <v/>
      </c>
    </row>
    <row r="140" spans="2:13" x14ac:dyDescent="0.25">
      <c r="B140" s="58"/>
      <c r="C140" s="14"/>
      <c r="D140" s="15"/>
      <c r="E140" s="15"/>
      <c r="F140" s="15"/>
      <c r="G140" s="422"/>
      <c r="H140" s="17"/>
      <c r="I140" s="18"/>
      <c r="J140" s="62"/>
      <c r="K140" s="62"/>
      <c r="L140" s="420" t="str">
        <f t="shared" si="9"/>
        <v/>
      </c>
      <c r="M140" s="401" t="str">
        <f t="shared" si="12"/>
        <v/>
      </c>
    </row>
    <row r="141" spans="2:13" x14ac:dyDescent="0.25">
      <c r="B141" s="58"/>
      <c r="C141" s="14"/>
      <c r="D141" s="15"/>
      <c r="E141" s="15"/>
      <c r="F141" s="15"/>
      <c r="G141" s="422"/>
      <c r="H141" s="17" t="str">
        <f>IF(D141="","",F141*G141)</f>
        <v/>
      </c>
      <c r="I141" s="18"/>
      <c r="J141" s="62"/>
      <c r="K141" s="62"/>
      <c r="L141" s="420" t="str">
        <f t="shared" si="9"/>
        <v/>
      </c>
      <c r="M141" s="401" t="str">
        <f t="shared" si="12"/>
        <v/>
      </c>
    </row>
    <row r="142" spans="2:13" x14ac:dyDescent="0.25">
      <c r="B142" s="58"/>
      <c r="C142" s="14"/>
      <c r="D142" s="15"/>
      <c r="E142" s="15"/>
      <c r="F142" s="15"/>
      <c r="G142" s="422"/>
      <c r="H142" s="17" t="str">
        <f>IF(D142="","",F142*G142)</f>
        <v/>
      </c>
      <c r="I142" s="18"/>
      <c r="J142" s="62"/>
      <c r="K142" s="62"/>
      <c r="L142" s="420" t="str">
        <f t="shared" si="9"/>
        <v/>
      </c>
      <c r="M142" s="401" t="str">
        <f t="shared" si="12"/>
        <v/>
      </c>
    </row>
    <row r="143" spans="2:13" x14ac:dyDescent="0.25">
      <c r="B143" s="58"/>
      <c r="C143" s="14"/>
      <c r="D143" s="15"/>
      <c r="E143" s="15"/>
      <c r="F143" s="15"/>
      <c r="G143" s="422"/>
      <c r="H143" s="17"/>
      <c r="I143" s="18"/>
      <c r="J143" s="62"/>
      <c r="K143" s="62"/>
      <c r="L143" s="420" t="str">
        <f t="shared" si="9"/>
        <v/>
      </c>
      <c r="M143" s="401" t="str">
        <f t="shared" si="12"/>
        <v/>
      </c>
    </row>
    <row r="144" spans="2:13" x14ac:dyDescent="0.25">
      <c r="B144" s="58"/>
      <c r="C144" s="14"/>
      <c r="D144" s="15"/>
      <c r="E144" s="15"/>
      <c r="F144" s="15"/>
      <c r="G144" s="422"/>
      <c r="H144" s="17" t="str">
        <f t="shared" ref="H144:H148" si="13">IF(D144="","",F144*G144)</f>
        <v/>
      </c>
      <c r="I144" s="18"/>
      <c r="J144" s="62"/>
      <c r="K144" s="62"/>
      <c r="L144" s="420" t="str">
        <f t="shared" si="9"/>
        <v/>
      </c>
      <c r="M144" s="401" t="str">
        <f t="shared" si="12"/>
        <v/>
      </c>
    </row>
    <row r="145" spans="2:13" x14ac:dyDescent="0.25">
      <c r="B145" s="58"/>
      <c r="C145" s="14"/>
      <c r="D145" s="15"/>
      <c r="E145" s="15"/>
      <c r="F145" s="15"/>
      <c r="G145" s="422"/>
      <c r="H145" s="17" t="str">
        <f t="shared" si="13"/>
        <v/>
      </c>
      <c r="I145" s="18"/>
      <c r="J145" s="62"/>
      <c r="K145" s="62"/>
      <c r="L145" s="420" t="str">
        <f t="shared" si="9"/>
        <v/>
      </c>
      <c r="M145" s="401" t="str">
        <f t="shared" si="12"/>
        <v/>
      </c>
    </row>
    <row r="146" spans="2:13" x14ac:dyDescent="0.25">
      <c r="B146" s="58"/>
      <c r="C146" s="14"/>
      <c r="D146" s="15"/>
      <c r="E146" s="15"/>
      <c r="F146" s="15"/>
      <c r="G146" s="422"/>
      <c r="H146" s="17" t="str">
        <f t="shared" si="13"/>
        <v/>
      </c>
      <c r="I146" s="18"/>
      <c r="J146" s="62"/>
      <c r="K146" s="62"/>
      <c r="L146" s="420" t="str">
        <f t="shared" ref="L146:L147" si="14">IF(J146="","",F146*K146)</f>
        <v/>
      </c>
      <c r="M146" s="401" t="str">
        <f t="shared" si="12"/>
        <v/>
      </c>
    </row>
    <row r="147" spans="2:13" x14ac:dyDescent="0.25">
      <c r="B147" s="58"/>
      <c r="C147" s="14"/>
      <c r="D147" s="15"/>
      <c r="E147" s="15"/>
      <c r="F147" s="15"/>
      <c r="G147" s="422"/>
      <c r="H147" s="17" t="str">
        <f t="shared" si="13"/>
        <v/>
      </c>
      <c r="I147" s="18"/>
      <c r="J147" s="62"/>
      <c r="K147" s="62"/>
      <c r="L147" s="420" t="str">
        <f t="shared" si="14"/>
        <v/>
      </c>
      <c r="M147" s="401" t="str">
        <f t="shared" si="12"/>
        <v/>
      </c>
    </row>
    <row r="148" spans="2:13" x14ac:dyDescent="0.25">
      <c r="B148" s="58"/>
      <c r="C148" s="14"/>
      <c r="D148" s="15"/>
      <c r="E148" s="15"/>
      <c r="F148" s="15"/>
      <c r="G148" s="422"/>
      <c r="H148" s="17" t="str">
        <f t="shared" si="13"/>
        <v/>
      </c>
      <c r="I148" s="18"/>
      <c r="J148" s="61"/>
      <c r="K148" s="696"/>
      <c r="L148" s="420" t="str">
        <f>IF(J148="","",F150*K148)</f>
        <v/>
      </c>
      <c r="M148" s="401" t="str">
        <f t="shared" si="12"/>
        <v/>
      </c>
    </row>
    <row r="149" spans="2:13" s="28" customFormat="1" ht="25" customHeight="1" x14ac:dyDescent="0.25">
      <c r="B149" s="84" t="str">
        <f>$B$12</f>
        <v>C20.1</v>
      </c>
      <c r="C149" s="498" t="str">
        <f>"TOTAL CARRIED FORWARD"&amp;IF(H149=H$1," TO SUMMARY (Page C"&amp;Page_A&amp;")","")</f>
        <v>TOTAL CARRIED FORWARD TO SUMMARY (Page C48)</v>
      </c>
      <c r="D149" s="31"/>
      <c r="E149" s="31"/>
      <c r="F149" s="32"/>
      <c r="G149" s="31"/>
      <c r="H149" s="33">
        <f>SUM(H86:H148)</f>
        <v>6000000</v>
      </c>
      <c r="I149" s="34"/>
      <c r="J149" s="408"/>
      <c r="K149" s="406"/>
      <c r="L149" s="418">
        <f>SUM(L86:L148)</f>
        <v>0</v>
      </c>
      <c r="M149" s="407" t="str">
        <f>IF(F139="","",IF(SUM(I139)=0,"",L149/I130))</f>
        <v/>
      </c>
    </row>
  </sheetData>
  <mergeCells count="11">
    <mergeCell ref="B81:G81"/>
    <mergeCell ref="H81:H84"/>
    <mergeCell ref="B82:G84"/>
    <mergeCell ref="F3:H3"/>
    <mergeCell ref="B7:G9"/>
    <mergeCell ref="H6:H9"/>
    <mergeCell ref="B6:G6"/>
    <mergeCell ref="B78:D78"/>
    <mergeCell ref="F78:H80"/>
    <mergeCell ref="B79:D79"/>
    <mergeCell ref="B80:D80"/>
  </mergeCells>
  <phoneticPr fontId="15" type="noConversion"/>
  <conditionalFormatting sqref="G11:H77 G86:H149">
    <cfRule type="expression" dxfId="68" priority="1">
      <formula>AND(_Show_Price=FALSE,$D11&lt;&gt;"Prime Cost",$D11&lt;&gt;"PC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0">
    <tabColor theme="3" tint="0.59999389629810485"/>
  </sheetPr>
  <dimension ref="B1:L144"/>
  <sheetViews>
    <sheetView view="pageBreakPreview" zoomScale="90" zoomScaleNormal="100" zoomScaleSheetLayoutView="90" zoomScalePageLayoutView="150" workbookViewId="0">
      <selection activeCell="C28" sqref="C28"/>
    </sheetView>
  </sheetViews>
  <sheetFormatPr defaultColWidth="8.81640625" defaultRowHeight="12.5" x14ac:dyDescent="0.25"/>
  <cols>
    <col min="1" max="1" width="0.81640625" style="49" customWidth="1"/>
    <col min="2" max="2" width="15.7265625" style="52" customWidth="1"/>
    <col min="3" max="3" width="74.7265625" style="50" customWidth="1"/>
    <col min="4" max="5" width="15.7265625" style="49" customWidth="1"/>
    <col min="6" max="6" width="0.81640625" style="49" customWidth="1"/>
    <col min="7" max="7" width="8.81640625" style="49"/>
    <col min="8" max="8" width="15.453125" style="49" customWidth="1"/>
    <col min="9" max="9" width="12.54296875" style="49" customWidth="1"/>
    <col min="10" max="10" width="9.453125" style="49" customWidth="1"/>
    <col min="11" max="16384" width="8.81640625" style="49"/>
  </cols>
  <sheetData>
    <row r="1" spans="2:12" ht="13" x14ac:dyDescent="0.25">
      <c r="C1" s="321" t="str">
        <f>"Page C"&amp;Page_B</f>
        <v>Page C65</v>
      </c>
      <c r="E1" s="639">
        <f ca="1">MAX(E2:E144)</f>
        <v>9645915</v>
      </c>
    </row>
    <row r="2" spans="2:12" ht="13" x14ac:dyDescent="0.25">
      <c r="B2" s="2" t="str">
        <f>Client1</f>
        <v>Province of KwaZulu-Natal</v>
      </c>
      <c r="D2" s="28"/>
      <c r="E2" s="6" t="str">
        <f>"Contract No. "&amp;ContractNo</f>
        <v>Contract No. ZNB 00399/00000/HOD/INF/21/T</v>
      </c>
    </row>
    <row r="3" spans="2:12" s="1" customFormat="1" ht="18" customHeight="1" x14ac:dyDescent="0.25">
      <c r="B3" s="87" t="str">
        <f>Client2</f>
        <v>Department of Transport</v>
      </c>
      <c r="C3" s="50"/>
      <c r="D3" s="4"/>
      <c r="I3" s="4"/>
    </row>
    <row r="4" spans="2:12" s="1" customFormat="1" ht="16.5" customHeight="1" x14ac:dyDescent="0.25">
      <c r="B4" s="77"/>
      <c r="C4" s="90"/>
      <c r="D4" s="78"/>
      <c r="E4" s="79"/>
      <c r="G4" s="5"/>
      <c r="H4" s="5"/>
      <c r="I4" s="4"/>
    </row>
    <row r="5" spans="2:12" s="1" customFormat="1" ht="7.5" customHeight="1" x14ac:dyDescent="0.25">
      <c r="B5" s="1135" t="str">
        <f>ContractDescription</f>
        <v>THE CONSTRUCTION OF EARTHWORKS, LAYERWORKS, SURFACING, CULVERTS AND CWAKA RIVER BRIDGE FROM KM 11.600 TO KM 14.000 ON MAIN ROAD P494 IN THE KING CETSHWAYO DISTRICT UNDER EMPANGENI REGION</v>
      </c>
      <c r="C5" s="1136"/>
      <c r="D5" s="1136"/>
      <c r="E5" s="1145"/>
      <c r="G5" s="5"/>
      <c r="H5" s="5"/>
      <c r="I5" s="4"/>
    </row>
    <row r="6" spans="2:12" ht="12.75" customHeight="1" x14ac:dyDescent="0.25">
      <c r="B6" s="1117"/>
      <c r="C6" s="1118"/>
      <c r="D6" s="1118"/>
      <c r="E6" s="1146"/>
    </row>
    <row r="7" spans="2:12" ht="7.5" customHeight="1" x14ac:dyDescent="0.25">
      <c r="B7" s="1119"/>
      <c r="C7" s="1120"/>
      <c r="D7" s="1120"/>
      <c r="E7" s="1147"/>
    </row>
    <row r="8" spans="2:12" ht="25.5" customHeight="1" x14ac:dyDescent="0.25">
      <c r="B8" s="29"/>
      <c r="C8" s="32" t="s">
        <v>803</v>
      </c>
      <c r="D8" s="31"/>
      <c r="E8" s="648"/>
    </row>
    <row r="9" spans="2:12" ht="13" x14ac:dyDescent="0.25">
      <c r="B9" s="11" t="s">
        <v>804</v>
      </c>
      <c r="C9" s="645" t="s">
        <v>1</v>
      </c>
      <c r="D9" s="11" t="s">
        <v>784</v>
      </c>
      <c r="E9" s="11" t="s">
        <v>5</v>
      </c>
      <c r="L9" s="131"/>
    </row>
    <row r="10" spans="2:12" ht="13" x14ac:dyDescent="0.25">
      <c r="B10" s="21"/>
      <c r="C10" s="646"/>
      <c r="D10" s="21"/>
      <c r="E10" s="651"/>
      <c r="L10" s="131"/>
    </row>
    <row r="11" spans="2:12" ht="12.75" customHeight="1" x14ac:dyDescent="0.25">
      <c r="B11" s="21" t="str">
        <f>'C1.2'!B12</f>
        <v>C1.2</v>
      </c>
      <c r="C11" s="14" t="str">
        <f ca="1">INDIRECT(B11&amp;"!C12")</f>
        <v>GENERAL REQUIREMENTS AND PAYMENT</v>
      </c>
      <c r="D11" s="677">
        <f ca="1">D13-INDIRECT(B13&amp;"!G1")</f>
        <v>32</v>
      </c>
      <c r="E11" s="652">
        <f ca="1">INDIRECT(B11&amp;"!H$1")</f>
        <v>3325915</v>
      </c>
    </row>
    <row r="12" spans="2:12" ht="12.75" customHeight="1" x14ac:dyDescent="0.25">
      <c r="B12" s="21"/>
      <c r="C12" s="621"/>
      <c r="D12" s="21"/>
      <c r="E12" s="652"/>
    </row>
    <row r="13" spans="2:12" ht="12.75" customHeight="1" x14ac:dyDescent="0.25">
      <c r="B13" s="21" t="str">
        <f>'C1.3'!B12</f>
        <v>C1.3</v>
      </c>
      <c r="C13" s="14" t="str">
        <f ca="1">INDIRECT(B13&amp;"!C12")</f>
        <v>CONTRACTOR'S SITE ESTABLISHMENT AND GENERAL OBLIGATIONS</v>
      </c>
      <c r="D13" s="677">
        <f ca="1">D15-INDIRECT(B15&amp;"!G1")</f>
        <v>33</v>
      </c>
      <c r="E13" s="652">
        <f ca="1">INDIRECT(B13&amp;"!H$1")</f>
        <v>0</v>
      </c>
    </row>
    <row r="14" spans="2:12" ht="12.75" customHeight="1" x14ac:dyDescent="0.25">
      <c r="B14" s="21"/>
      <c r="C14" s="621"/>
      <c r="D14" s="21"/>
      <c r="E14" s="652"/>
    </row>
    <row r="15" spans="2:12" ht="12.75" customHeight="1" x14ac:dyDescent="0.25">
      <c r="B15" s="21" t="str">
        <f>'C1.4'!B12</f>
        <v>C1.4</v>
      </c>
      <c r="C15" s="14" t="str">
        <f ca="1">INDIRECT(B15&amp;"!C12")</f>
        <v>FACILITIES FOR THE ENGINEER</v>
      </c>
      <c r="D15" s="677">
        <f ca="1">D17-INDIRECT(B17&amp;"!G1")</f>
        <v>35</v>
      </c>
      <c r="E15" s="652">
        <f ca="1">INDIRECT(B15&amp;"!H$1")</f>
        <v>210000</v>
      </c>
    </row>
    <row r="16" spans="2:12" ht="12.75" customHeight="1" x14ac:dyDescent="0.25">
      <c r="B16" s="21"/>
      <c r="C16" s="14"/>
      <c r="D16" s="21"/>
      <c r="E16" s="652"/>
    </row>
    <row r="17" spans="2:5" ht="12.75" customHeight="1" x14ac:dyDescent="0.25">
      <c r="B17" s="21" t="str">
        <f>'C1.5'!B12</f>
        <v>C1.5</v>
      </c>
      <c r="C17" s="14" t="str">
        <f ca="1">INDIRECT(B17&amp;"!C12")</f>
        <v>ACCOMMODATION OF TRAFFIC</v>
      </c>
      <c r="D17" s="677">
        <f ca="1">D19-INDIRECT(B19&amp;"!G1")</f>
        <v>37</v>
      </c>
      <c r="E17" s="652">
        <f ca="1">INDIRECT(B17&amp;"!H$1")</f>
        <v>0</v>
      </c>
    </row>
    <row r="18" spans="2:5" ht="12.75" customHeight="1" x14ac:dyDescent="0.25">
      <c r="B18" s="21"/>
      <c r="C18" s="621"/>
      <c r="D18" s="21"/>
      <c r="E18" s="652"/>
    </row>
    <row r="19" spans="2:5" ht="12.75" customHeight="1" x14ac:dyDescent="0.25">
      <c r="B19" s="21" t="str">
        <f>'C4.1'!B12</f>
        <v>C4.1</v>
      </c>
      <c r="C19" s="14" t="str">
        <f ca="1">INDIRECT(B19&amp;"!C12")</f>
        <v>BORROW MATERIALS</v>
      </c>
      <c r="D19" s="677">
        <f ca="1">D21-INDIRECT(B21&amp;"!G1")</f>
        <v>38</v>
      </c>
      <c r="E19" s="652">
        <f ca="1">INDIRECT(B19&amp;"!H$1")</f>
        <v>100000</v>
      </c>
    </row>
    <row r="20" spans="2:5" ht="12.75" customHeight="1" x14ac:dyDescent="0.25">
      <c r="B20" s="21"/>
      <c r="C20" s="621"/>
      <c r="D20" s="21"/>
      <c r="E20" s="652"/>
    </row>
    <row r="21" spans="2:5" ht="12.75" customHeight="1" x14ac:dyDescent="0.25">
      <c r="B21" s="21" t="str">
        <f>'C4.2'!B12</f>
        <v>C4.2</v>
      </c>
      <c r="C21" s="14" t="str">
        <f ca="1">INDIRECT(B21&amp;"!C12")</f>
        <v>CUT MATERIALS</v>
      </c>
      <c r="D21" s="677">
        <f ca="1">D23-INDIRECT(B23&amp;"!G1")</f>
        <v>39</v>
      </c>
      <c r="E21" s="652">
        <f ca="1">INDIRECT(B21&amp;"!H$1")</f>
        <v>0</v>
      </c>
    </row>
    <row r="22" spans="2:5" ht="12.75" customHeight="1" x14ac:dyDescent="0.25">
      <c r="B22" s="21"/>
      <c r="C22" s="621"/>
      <c r="D22" s="21"/>
      <c r="E22" s="652"/>
    </row>
    <row r="23" spans="2:5" ht="12.75" customHeight="1" x14ac:dyDescent="0.25">
      <c r="B23" s="21" t="str">
        <f>'C4.4'!B12</f>
        <v>C4.4</v>
      </c>
      <c r="C23" s="14" t="str">
        <f ca="1">INDIRECT(B23&amp;"!C12")</f>
        <v>COMMERCIAL MATERIALS</v>
      </c>
      <c r="D23" s="677">
        <f ca="1">D25-INDIRECT(B25&amp;"!G1")</f>
        <v>40</v>
      </c>
      <c r="E23" s="652">
        <f ca="1">INDIRECT(B23&amp;"!H$1")</f>
        <v>0</v>
      </c>
    </row>
    <row r="24" spans="2:5" ht="12.75" customHeight="1" x14ac:dyDescent="0.25">
      <c r="B24" s="21"/>
      <c r="C24" s="621"/>
      <c r="D24" s="21"/>
      <c r="E24" s="652"/>
    </row>
    <row r="25" spans="2:5" ht="12.75" customHeight="1" x14ac:dyDescent="0.25">
      <c r="B25" s="21" t="str">
        <f>'C5.1'!B12</f>
        <v>C5.1</v>
      </c>
      <c r="C25" s="14" t="str">
        <f ca="1">INDIRECT(B25&amp;"!C12")</f>
        <v>ROADBED</v>
      </c>
      <c r="D25" s="677">
        <f ca="1">D27-INDIRECT(B27&amp;"!G1")</f>
        <v>41</v>
      </c>
      <c r="E25" s="652">
        <f ca="1">INDIRECT(B25&amp;"!H$1")</f>
        <v>0</v>
      </c>
    </row>
    <row r="26" spans="2:5" ht="12.75" customHeight="1" x14ac:dyDescent="0.25">
      <c r="B26" s="21"/>
      <c r="C26" s="621"/>
      <c r="D26" s="21"/>
      <c r="E26" s="652"/>
    </row>
    <row r="27" spans="2:5" ht="12.75" customHeight="1" x14ac:dyDescent="0.25">
      <c r="B27" s="21" t="str">
        <f>'C5.2'!B12</f>
        <v>C5.2</v>
      </c>
      <c r="C27" s="14" t="str">
        <f ca="1">INDIRECT(B27&amp;"!C12")</f>
        <v>FILL</v>
      </c>
      <c r="D27" s="677">
        <f ca="1">D29-INDIRECT(B29&amp;"!G1")</f>
        <v>42</v>
      </c>
      <c r="E27" s="652">
        <f ca="1">INDIRECT(B27&amp;"!H$1")</f>
        <v>0</v>
      </c>
    </row>
    <row r="28" spans="2:5" ht="12.75" customHeight="1" x14ac:dyDescent="0.25">
      <c r="B28" s="21"/>
      <c r="C28" s="621"/>
      <c r="D28" s="21"/>
      <c r="E28" s="652"/>
    </row>
    <row r="29" spans="2:5" ht="12.75" customHeight="1" x14ac:dyDescent="0.25">
      <c r="B29" s="21" t="str">
        <f>'C8.1'!B$12</f>
        <v>C8.1</v>
      </c>
      <c r="C29" s="14" t="str">
        <f ca="1">INDIRECT(B29&amp;"!C12")</f>
        <v>PRIME COAT</v>
      </c>
      <c r="D29" s="677">
        <f ca="1">D31-INDIRECT(B31&amp;"!G1")</f>
        <v>43</v>
      </c>
      <c r="E29" s="652">
        <f ca="1">INDIRECT(B29&amp;"!H$1")</f>
        <v>0</v>
      </c>
    </row>
    <row r="30" spans="2:5" ht="12.75" customHeight="1" x14ac:dyDescent="0.25">
      <c r="B30" s="21"/>
      <c r="C30" s="621"/>
      <c r="D30" s="21"/>
      <c r="E30" s="652"/>
    </row>
    <row r="31" spans="2:5" ht="12.75" customHeight="1" x14ac:dyDescent="0.25">
      <c r="B31" s="21" t="str">
        <f>'C10.1'!B$12</f>
        <v>C10.1</v>
      </c>
      <c r="C31" s="14" t="str">
        <f ca="1">INDIRECT(B31&amp;"!C12")</f>
        <v>GENERAL REQUIREMENTS FOR SURFACE TREATMENTS</v>
      </c>
      <c r="D31" s="677">
        <f ca="1">D33-INDIRECT(B33&amp;"!G1")</f>
        <v>44</v>
      </c>
      <c r="E31" s="652">
        <f ca="1">INDIRECT(B31&amp;"!H$1")</f>
        <v>0</v>
      </c>
    </row>
    <row r="32" spans="2:5" ht="12.75" customHeight="1" x14ac:dyDescent="0.25">
      <c r="B32" s="21"/>
      <c r="C32" s="621"/>
      <c r="D32" s="21"/>
      <c r="E32" s="652"/>
    </row>
    <row r="33" spans="2:5" ht="12.75" customHeight="1" x14ac:dyDescent="0.25">
      <c r="B33" s="20" t="str">
        <f>'C11.8'!B$12</f>
        <v>C11.8</v>
      </c>
      <c r="C33" s="14" t="str">
        <f ca="1">INDIRECT(B33&amp;"!C12")</f>
        <v>LANDSCAPING AND PLANTING PLANTS</v>
      </c>
      <c r="D33" s="677">
        <f ca="1">D35-INDIRECT(B35&amp;"!G1")</f>
        <v>45</v>
      </c>
      <c r="E33" s="652">
        <f ca="1">INDIRECT(B33&amp;"!H$1")</f>
        <v>10000</v>
      </c>
    </row>
    <row r="34" spans="2:5" ht="13" x14ac:dyDescent="0.25">
      <c r="B34" s="21"/>
      <c r="C34" s="621"/>
      <c r="D34" s="21"/>
      <c r="E34" s="652"/>
    </row>
    <row r="35" spans="2:5" ht="13" x14ac:dyDescent="0.25">
      <c r="B35" s="20" t="str">
        <f>'C11.9'!B$12</f>
        <v>C11.9</v>
      </c>
      <c r="C35" s="14" t="str">
        <f ca="1">INDIRECT(B35&amp;"!C12")</f>
        <v>FINISHING THE ROAD AND ROAD RESERVE AND TREATING OLD ROADS</v>
      </c>
      <c r="D35" s="677">
        <f ca="1">D37-INDIRECT(B37&amp;"!G1")</f>
        <v>46</v>
      </c>
      <c r="E35" s="652">
        <f ca="1">INDIRECT(B35&amp;"!H$1")</f>
        <v>0</v>
      </c>
    </row>
    <row r="36" spans="2:5" ht="13" x14ac:dyDescent="0.25">
      <c r="B36" s="21"/>
      <c r="C36" s="621"/>
      <c r="D36" s="21"/>
      <c r="E36" s="652"/>
    </row>
    <row r="37" spans="2:5" ht="13" x14ac:dyDescent="0.25">
      <c r="B37" s="20" t="str">
        <f>'C20.1'!B$12</f>
        <v>C20.1</v>
      </c>
      <c r="C37" s="14" t="str">
        <f ca="1">INDIRECT(B37&amp;"!C12")</f>
        <v>TESTING MATERIALS AND JUDGEMENT OF WORKMANSHIP</v>
      </c>
      <c r="D37" s="677">
        <f>Page_A-1</f>
        <v>47</v>
      </c>
      <c r="E37" s="652">
        <f ca="1">INDIRECT(B37&amp;"!H$1")</f>
        <v>6000000</v>
      </c>
    </row>
    <row r="38" spans="2:5" ht="13" x14ac:dyDescent="0.25">
      <c r="B38" s="21"/>
      <c r="C38" s="621"/>
      <c r="D38" s="81"/>
      <c r="E38" s="652"/>
    </row>
    <row r="39" spans="2:5" ht="13" x14ac:dyDescent="0.25">
      <c r="B39" s="20"/>
      <c r="C39" s="14"/>
      <c r="D39" s="677"/>
      <c r="E39" s="652"/>
    </row>
    <row r="40" spans="2:5" ht="13" x14ac:dyDescent="0.25">
      <c r="B40" s="21"/>
      <c r="C40" s="621"/>
      <c r="D40" s="81"/>
      <c r="E40" s="652"/>
    </row>
    <row r="41" spans="2:5" ht="13" x14ac:dyDescent="0.25">
      <c r="B41" s="20"/>
      <c r="C41" s="14"/>
      <c r="D41" s="676"/>
      <c r="E41" s="652"/>
    </row>
    <row r="42" spans="2:5" ht="12.75" customHeight="1" x14ac:dyDescent="0.25">
      <c r="B42" s="21"/>
      <c r="C42" s="621"/>
      <c r="D42" s="81"/>
      <c r="E42" s="652"/>
    </row>
    <row r="43" spans="2:5" ht="13" x14ac:dyDescent="0.25">
      <c r="B43" s="21"/>
      <c r="C43" s="621"/>
      <c r="D43" s="81"/>
      <c r="E43" s="652"/>
    </row>
    <row r="44" spans="2:5" ht="13" x14ac:dyDescent="0.25">
      <c r="B44" s="21"/>
      <c r="C44" s="621"/>
      <c r="D44" s="81"/>
      <c r="E44" s="652"/>
    </row>
    <row r="45" spans="2:5" ht="13" x14ac:dyDescent="0.25">
      <c r="B45" s="21"/>
      <c r="C45" s="621"/>
      <c r="D45" s="81"/>
      <c r="E45" s="652"/>
    </row>
    <row r="46" spans="2:5" ht="13" x14ac:dyDescent="0.25">
      <c r="B46" s="21"/>
      <c r="C46" s="621"/>
      <c r="D46" s="81"/>
      <c r="E46" s="652"/>
    </row>
    <row r="47" spans="2:5" ht="13" x14ac:dyDescent="0.25">
      <c r="B47" s="21"/>
      <c r="C47" s="621"/>
      <c r="D47" s="81"/>
      <c r="E47" s="652"/>
    </row>
    <row r="48" spans="2:5" ht="13" x14ac:dyDescent="0.25">
      <c r="B48" s="21"/>
      <c r="C48" s="621"/>
      <c r="D48" s="81"/>
      <c r="E48" s="652"/>
    </row>
    <row r="49" spans="2:5" ht="13" x14ac:dyDescent="0.25">
      <c r="B49" s="21"/>
      <c r="C49" s="621"/>
      <c r="D49" s="81"/>
      <c r="E49" s="652"/>
    </row>
    <row r="50" spans="2:5" ht="13" x14ac:dyDescent="0.25">
      <c r="B50" s="21"/>
      <c r="C50" s="621"/>
      <c r="D50" s="81"/>
      <c r="E50" s="652"/>
    </row>
    <row r="51" spans="2:5" ht="12.75" customHeight="1" x14ac:dyDescent="0.25">
      <c r="B51" s="21"/>
      <c r="C51" s="621"/>
      <c r="D51" s="81"/>
      <c r="E51" s="652"/>
    </row>
    <row r="52" spans="2:5" ht="13" x14ac:dyDescent="0.25">
      <c r="B52" s="21"/>
      <c r="C52" s="621"/>
      <c r="D52" s="81"/>
      <c r="E52" s="652"/>
    </row>
    <row r="53" spans="2:5" ht="13" x14ac:dyDescent="0.25">
      <c r="B53" s="21"/>
      <c r="C53" s="621"/>
      <c r="D53" s="81"/>
      <c r="E53" s="652"/>
    </row>
    <row r="54" spans="2:5" ht="13" x14ac:dyDescent="0.25">
      <c r="B54" s="21"/>
      <c r="C54" s="621"/>
      <c r="D54" s="81"/>
      <c r="E54" s="652"/>
    </row>
    <row r="55" spans="2:5" ht="13" x14ac:dyDescent="0.25">
      <c r="B55" s="21"/>
      <c r="C55" s="621"/>
      <c r="D55" s="81"/>
      <c r="E55" s="652"/>
    </row>
    <row r="56" spans="2:5" ht="13" x14ac:dyDescent="0.25">
      <c r="B56" s="21"/>
      <c r="C56" s="621"/>
      <c r="D56" s="81"/>
      <c r="E56" s="652"/>
    </row>
    <row r="57" spans="2:5" ht="13" x14ac:dyDescent="0.25">
      <c r="B57" s="21"/>
      <c r="C57" s="621"/>
      <c r="D57" s="81"/>
      <c r="E57" s="652"/>
    </row>
    <row r="58" spans="2:5" ht="13" x14ac:dyDescent="0.25">
      <c r="B58" s="21"/>
      <c r="C58" s="621"/>
      <c r="D58" s="81"/>
      <c r="E58" s="652"/>
    </row>
    <row r="59" spans="2:5" ht="13" x14ac:dyDescent="0.25">
      <c r="B59" s="21"/>
      <c r="C59" s="621"/>
      <c r="D59" s="81"/>
      <c r="E59" s="652"/>
    </row>
    <row r="60" spans="2:5" ht="13" x14ac:dyDescent="0.25">
      <c r="B60" s="21"/>
      <c r="C60" s="621"/>
      <c r="D60" s="81"/>
      <c r="E60" s="652"/>
    </row>
    <row r="61" spans="2:5" ht="13" x14ac:dyDescent="0.25">
      <c r="B61" s="21"/>
      <c r="C61" s="621"/>
      <c r="D61" s="81"/>
      <c r="E61" s="652"/>
    </row>
    <row r="62" spans="2:5" ht="13" x14ac:dyDescent="0.25">
      <c r="B62" s="21"/>
      <c r="C62" s="621"/>
      <c r="D62" s="81"/>
      <c r="E62" s="652"/>
    </row>
    <row r="63" spans="2:5" ht="13" x14ac:dyDescent="0.25">
      <c r="B63" s="21"/>
      <c r="C63" s="621"/>
      <c r="D63" s="81"/>
      <c r="E63" s="652"/>
    </row>
    <row r="64" spans="2:5" ht="13" x14ac:dyDescent="0.25">
      <c r="B64" s="21"/>
      <c r="C64" s="621"/>
      <c r="D64" s="81"/>
      <c r="E64" s="652"/>
    </row>
    <row r="65" spans="2:9" ht="13" x14ac:dyDescent="0.25">
      <c r="B65" s="21"/>
      <c r="C65" s="621"/>
      <c r="D65" s="81"/>
      <c r="E65" s="652"/>
    </row>
    <row r="66" spans="2:9" ht="13" x14ac:dyDescent="0.25">
      <c r="B66" s="21"/>
      <c r="C66" s="621"/>
      <c r="D66" s="81"/>
      <c r="E66" s="652"/>
    </row>
    <row r="67" spans="2:9" ht="13" x14ac:dyDescent="0.25">
      <c r="B67" s="21"/>
      <c r="C67" s="621"/>
      <c r="D67" s="81"/>
      <c r="E67" s="652"/>
    </row>
    <row r="68" spans="2:9" ht="13" x14ac:dyDescent="0.25">
      <c r="B68" s="21"/>
      <c r="C68" s="621"/>
      <c r="D68" s="81"/>
      <c r="E68" s="652"/>
    </row>
    <row r="69" spans="2:9" ht="13" x14ac:dyDescent="0.25">
      <c r="B69" s="21"/>
      <c r="C69" s="621"/>
      <c r="D69" s="81"/>
      <c r="E69" s="652"/>
    </row>
    <row r="70" spans="2:9" ht="13" x14ac:dyDescent="0.25">
      <c r="B70" s="21"/>
      <c r="C70" s="621"/>
      <c r="D70" s="81"/>
      <c r="E70" s="652"/>
    </row>
    <row r="71" spans="2:9" ht="13" x14ac:dyDescent="0.25">
      <c r="B71" s="21"/>
      <c r="C71" s="621"/>
      <c r="D71" s="81"/>
      <c r="E71" s="652"/>
    </row>
    <row r="72" spans="2:9" ht="13" x14ac:dyDescent="0.25">
      <c r="B72" s="141"/>
      <c r="C72" s="644"/>
      <c r="D72" s="140"/>
      <c r="E72" s="653"/>
    </row>
    <row r="73" spans="2:9" s="28" customFormat="1" ht="19.5" customHeight="1" x14ac:dyDescent="0.25">
      <c r="B73" s="642" t="str">
        <f ca="1">"TOTAL SCHEDULE A: ROADWORKS CARRIED FORWARD"&amp;IF(E73=E$1," TO SUMMARY (Page C"&amp;_Summary&amp;")","")</f>
        <v>TOTAL SCHEDULE A: ROADWORKS CARRIED FORWARD TO SUMMARY (Page C73)</v>
      </c>
      <c r="C73" s="643"/>
      <c r="D73" s="643"/>
      <c r="E73" s="636">
        <f ca="1">SUM(E10:E72)</f>
        <v>9645915</v>
      </c>
      <c r="F73" s="34"/>
    </row>
    <row r="74" spans="2:9" ht="13" x14ac:dyDescent="0.25">
      <c r="B74" s="2" t="str">
        <f>Client1</f>
        <v>Province of KwaZulu-Natal</v>
      </c>
      <c r="D74" s="1144" t="str">
        <f>"Contract No. "&amp;ContractNo</f>
        <v>Contract No. ZNB 00399/00000/HOD/INF/21/T</v>
      </c>
      <c r="E74" s="1144"/>
    </row>
    <row r="75" spans="2:9" s="1" customFormat="1" ht="18" customHeight="1" x14ac:dyDescent="0.25">
      <c r="B75" s="87" t="str">
        <f>Client2</f>
        <v>Department of Transport</v>
      </c>
      <c r="C75" s="50"/>
      <c r="D75" s="4"/>
      <c r="I75" s="4"/>
    </row>
    <row r="76" spans="2:9" s="1" customFormat="1" ht="16.5" customHeight="1" x14ac:dyDescent="0.25">
      <c r="B76" s="77"/>
      <c r="C76" s="90"/>
      <c r="D76" s="78"/>
      <c r="E76" s="79"/>
      <c r="G76" s="5"/>
      <c r="H76" s="5"/>
      <c r="I76" s="4"/>
    </row>
    <row r="77" spans="2:9" s="1" customFormat="1" ht="7.5" customHeight="1" x14ac:dyDescent="0.25">
      <c r="B77" s="1135" t="str">
        <f>ContractDescription</f>
        <v>THE CONSTRUCTION OF EARTHWORKS, LAYERWORKS, SURFACING, CULVERTS AND CWAKA RIVER BRIDGE FROM KM 11.600 TO KM 14.000 ON MAIN ROAD P494 IN THE KING CETSHWAYO DISTRICT UNDER EMPANGENI REGION</v>
      </c>
      <c r="C77" s="1136"/>
      <c r="D77" s="1136"/>
      <c r="E77" s="1145"/>
      <c r="G77" s="5"/>
      <c r="H77" s="5"/>
      <c r="I77" s="4"/>
    </row>
    <row r="78" spans="2:9" ht="12.75" customHeight="1" x14ac:dyDescent="0.25">
      <c r="B78" s="1117"/>
      <c r="C78" s="1118"/>
      <c r="D78" s="1118"/>
      <c r="E78" s="1146"/>
    </row>
    <row r="79" spans="2:9" ht="7.5" customHeight="1" x14ac:dyDescent="0.25">
      <c r="B79" s="1119"/>
      <c r="C79" s="1120"/>
      <c r="D79" s="1120"/>
      <c r="E79" s="1147"/>
    </row>
    <row r="80" spans="2:9" ht="25.5" customHeight="1" x14ac:dyDescent="0.25">
      <c r="B80" s="29"/>
      <c r="C80" s="31" t="s">
        <v>803</v>
      </c>
      <c r="D80" s="31"/>
      <c r="E80" s="648"/>
    </row>
    <row r="81" spans="2:12" ht="13" x14ac:dyDescent="0.25">
      <c r="B81" s="11" t="s">
        <v>804</v>
      </c>
      <c r="C81" s="645" t="s">
        <v>1</v>
      </c>
      <c r="D81" s="11" t="s">
        <v>784</v>
      </c>
      <c r="E81" s="632" t="s">
        <v>5</v>
      </c>
      <c r="L81" s="131"/>
    </row>
    <row r="82" spans="2:12" s="28" customFormat="1" ht="19.5" customHeight="1" x14ac:dyDescent="0.25">
      <c r="B82" s="649" t="s">
        <v>814</v>
      </c>
      <c r="C82" s="30"/>
      <c r="D82" s="631"/>
      <c r="E82" s="636">
        <f ca="1">E73</f>
        <v>9645915</v>
      </c>
      <c r="F82" s="34"/>
    </row>
    <row r="83" spans="2:12" ht="13" x14ac:dyDescent="0.25">
      <c r="B83" s="153"/>
      <c r="C83" s="646"/>
      <c r="D83" s="650"/>
      <c r="E83" s="655"/>
    </row>
    <row r="84" spans="2:12" ht="12.75" customHeight="1" x14ac:dyDescent="0.25">
      <c r="B84" s="21"/>
      <c r="C84" s="621"/>
      <c r="D84" s="81"/>
      <c r="E84" s="634"/>
    </row>
    <row r="85" spans="2:12" ht="13" x14ac:dyDescent="0.25">
      <c r="B85" s="21"/>
      <c r="C85" s="621"/>
      <c r="D85" s="81"/>
      <c r="E85" s="634"/>
    </row>
    <row r="86" spans="2:12" ht="13" x14ac:dyDescent="0.25">
      <c r="B86" s="21"/>
      <c r="C86" s="621"/>
      <c r="D86" s="81"/>
      <c r="E86" s="634"/>
    </row>
    <row r="87" spans="2:12" ht="13" x14ac:dyDescent="0.25">
      <c r="B87" s="21"/>
      <c r="C87" s="621"/>
      <c r="D87" s="81"/>
      <c r="E87" s="634"/>
    </row>
    <row r="88" spans="2:12" ht="13" x14ac:dyDescent="0.25">
      <c r="B88" s="21"/>
      <c r="C88" s="621"/>
      <c r="D88" s="81"/>
      <c r="E88" s="634"/>
    </row>
    <row r="89" spans="2:12" ht="13" x14ac:dyDescent="0.25">
      <c r="B89" s="21"/>
      <c r="C89" s="621"/>
      <c r="D89" s="81"/>
      <c r="E89" s="634"/>
    </row>
    <row r="90" spans="2:12" ht="13" x14ac:dyDescent="0.25">
      <c r="B90" s="21"/>
      <c r="C90" s="621"/>
      <c r="D90" s="81"/>
      <c r="E90" s="634"/>
    </row>
    <row r="91" spans="2:12" ht="12.75" customHeight="1" x14ac:dyDescent="0.25">
      <c r="B91" s="21"/>
      <c r="C91" s="621"/>
      <c r="D91" s="81"/>
      <c r="E91" s="634"/>
    </row>
    <row r="92" spans="2:12" ht="13" x14ac:dyDescent="0.25">
      <c r="B92" s="21"/>
      <c r="C92" s="621"/>
      <c r="D92" s="81"/>
      <c r="E92" s="634"/>
    </row>
    <row r="93" spans="2:12" ht="12.75" customHeight="1" x14ac:dyDescent="0.25">
      <c r="B93" s="21"/>
      <c r="C93" s="621"/>
      <c r="D93" s="81"/>
      <c r="E93" s="634"/>
    </row>
    <row r="94" spans="2:12" ht="12.75" customHeight="1" x14ac:dyDescent="0.25">
      <c r="B94" s="21"/>
      <c r="C94" s="621"/>
      <c r="D94" s="81"/>
      <c r="E94" s="634"/>
    </row>
    <row r="95" spans="2:12" ht="13" x14ac:dyDescent="0.25">
      <c r="B95" s="21"/>
      <c r="C95" s="621"/>
      <c r="D95" s="81"/>
      <c r="E95" s="634"/>
    </row>
    <row r="96" spans="2:12" ht="13" x14ac:dyDescent="0.25">
      <c r="B96" s="21"/>
      <c r="C96" s="621"/>
      <c r="D96" s="81"/>
      <c r="E96" s="634"/>
    </row>
    <row r="97" spans="2:5" ht="13" x14ac:dyDescent="0.25">
      <c r="B97" s="21"/>
      <c r="C97" s="621"/>
      <c r="D97" s="81"/>
      <c r="E97" s="634"/>
    </row>
    <row r="98" spans="2:5" ht="12.75" customHeight="1" x14ac:dyDescent="0.25">
      <c r="B98" s="21"/>
      <c r="C98" s="621"/>
      <c r="D98" s="81"/>
      <c r="E98" s="634"/>
    </row>
    <row r="99" spans="2:5" ht="12.75" customHeight="1" x14ac:dyDescent="0.25">
      <c r="B99" s="21"/>
      <c r="C99" s="621"/>
      <c r="D99" s="81"/>
      <c r="E99" s="634"/>
    </row>
    <row r="100" spans="2:5" ht="12.75" customHeight="1" x14ac:dyDescent="0.25">
      <c r="B100" s="21"/>
      <c r="C100" s="621"/>
      <c r="D100" s="81"/>
      <c r="E100" s="634"/>
    </row>
    <row r="101" spans="2:5" ht="12.75" customHeight="1" x14ac:dyDescent="0.25">
      <c r="B101" s="21"/>
      <c r="C101" s="621"/>
      <c r="D101" s="81"/>
      <c r="E101" s="634"/>
    </row>
    <row r="102" spans="2:5" ht="13" x14ac:dyDescent="0.25">
      <c r="B102" s="21"/>
      <c r="C102" s="621"/>
      <c r="D102" s="81"/>
      <c r="E102" s="634"/>
    </row>
    <row r="103" spans="2:5" ht="12.75" customHeight="1" x14ac:dyDescent="0.25">
      <c r="B103" s="21"/>
      <c r="C103" s="621"/>
      <c r="D103" s="81"/>
      <c r="E103" s="634"/>
    </row>
    <row r="104" spans="2:5" ht="12.75" customHeight="1" x14ac:dyDescent="0.25">
      <c r="B104" s="21"/>
      <c r="C104" s="621"/>
      <c r="D104" s="81"/>
      <c r="E104" s="634"/>
    </row>
    <row r="105" spans="2:5" ht="12.75" customHeight="1" x14ac:dyDescent="0.25">
      <c r="B105" s="21"/>
      <c r="C105" s="621"/>
      <c r="D105" s="81"/>
      <c r="E105" s="634"/>
    </row>
    <row r="106" spans="2:5" ht="13" x14ac:dyDescent="0.25">
      <c r="B106" s="21"/>
      <c r="C106" s="621"/>
      <c r="D106" s="81"/>
      <c r="E106" s="634"/>
    </row>
    <row r="107" spans="2:5" ht="13" x14ac:dyDescent="0.25">
      <c r="B107" s="21"/>
      <c r="C107" s="621"/>
      <c r="D107" s="81"/>
      <c r="E107" s="634"/>
    </row>
    <row r="108" spans="2:5" ht="13" x14ac:dyDescent="0.25">
      <c r="B108" s="21"/>
      <c r="C108" s="621"/>
      <c r="D108" s="81"/>
      <c r="E108" s="634"/>
    </row>
    <row r="109" spans="2:5" ht="13" x14ac:dyDescent="0.25">
      <c r="B109" s="21"/>
      <c r="C109" s="621"/>
      <c r="D109" s="81"/>
      <c r="E109" s="634"/>
    </row>
    <row r="110" spans="2:5" ht="13" x14ac:dyDescent="0.25">
      <c r="B110" s="21"/>
      <c r="C110" s="621"/>
      <c r="D110" s="81"/>
      <c r="E110" s="634"/>
    </row>
    <row r="111" spans="2:5" ht="13" x14ac:dyDescent="0.25">
      <c r="B111" s="21"/>
      <c r="C111" s="621"/>
      <c r="D111" s="81"/>
      <c r="E111" s="634"/>
    </row>
    <row r="112" spans="2:5" ht="13" x14ac:dyDescent="0.25">
      <c r="B112" s="21"/>
      <c r="C112" s="621"/>
      <c r="D112" s="81"/>
      <c r="E112" s="634"/>
    </row>
    <row r="113" spans="2:5" ht="13" x14ac:dyDescent="0.25">
      <c r="B113" s="21"/>
      <c r="C113" s="621"/>
      <c r="D113" s="81"/>
      <c r="E113" s="634"/>
    </row>
    <row r="114" spans="2:5" ht="13" x14ac:dyDescent="0.25">
      <c r="B114" s="21"/>
      <c r="C114" s="621"/>
      <c r="D114" s="81"/>
      <c r="E114" s="634"/>
    </row>
    <row r="115" spans="2:5" ht="13" x14ac:dyDescent="0.25">
      <c r="B115" s="21"/>
      <c r="C115" s="621"/>
      <c r="D115" s="81"/>
      <c r="E115" s="634"/>
    </row>
    <row r="116" spans="2:5" ht="13" x14ac:dyDescent="0.25">
      <c r="B116" s="21"/>
      <c r="C116" s="621"/>
      <c r="D116" s="81"/>
      <c r="E116" s="634"/>
    </row>
    <row r="117" spans="2:5" ht="13" x14ac:dyDescent="0.25">
      <c r="B117" s="21"/>
      <c r="C117" s="621"/>
      <c r="D117" s="81"/>
      <c r="E117" s="634"/>
    </row>
    <row r="118" spans="2:5" ht="13" x14ac:dyDescent="0.25">
      <c r="B118" s="21"/>
      <c r="C118" s="621"/>
      <c r="D118" s="81"/>
      <c r="E118" s="634"/>
    </row>
    <row r="119" spans="2:5" ht="13" x14ac:dyDescent="0.25">
      <c r="B119" s="21"/>
      <c r="C119" s="621"/>
      <c r="D119" s="81"/>
      <c r="E119" s="634"/>
    </row>
    <row r="120" spans="2:5" ht="13" x14ac:dyDescent="0.25">
      <c r="B120" s="21"/>
      <c r="C120" s="621"/>
      <c r="D120" s="81"/>
      <c r="E120" s="634"/>
    </row>
    <row r="121" spans="2:5" ht="13" x14ac:dyDescent="0.25">
      <c r="B121" s="21"/>
      <c r="C121" s="621"/>
      <c r="D121" s="81"/>
      <c r="E121" s="634"/>
    </row>
    <row r="122" spans="2:5" ht="13" x14ac:dyDescent="0.25">
      <c r="B122" s="21"/>
      <c r="C122" s="621"/>
      <c r="D122" s="81"/>
      <c r="E122" s="634"/>
    </row>
    <row r="123" spans="2:5" ht="13" x14ac:dyDescent="0.25">
      <c r="B123" s="21"/>
      <c r="C123" s="621"/>
      <c r="D123" s="81"/>
      <c r="E123" s="634"/>
    </row>
    <row r="124" spans="2:5" ht="13" x14ac:dyDescent="0.25">
      <c r="B124" s="21"/>
      <c r="C124" s="621"/>
      <c r="D124" s="81"/>
      <c r="E124" s="634"/>
    </row>
    <row r="125" spans="2:5" ht="13" x14ac:dyDescent="0.25">
      <c r="B125" s="21"/>
      <c r="C125" s="621"/>
      <c r="D125" s="81"/>
      <c r="E125" s="634"/>
    </row>
    <row r="126" spans="2:5" ht="13" x14ac:dyDescent="0.25">
      <c r="B126" s="21"/>
      <c r="C126" s="621"/>
      <c r="D126" s="81"/>
      <c r="E126" s="634"/>
    </row>
    <row r="127" spans="2:5" ht="13" x14ac:dyDescent="0.25">
      <c r="B127" s="21"/>
      <c r="C127" s="621"/>
      <c r="D127" s="81"/>
      <c r="E127" s="634"/>
    </row>
    <row r="128" spans="2:5" ht="13" x14ac:dyDescent="0.25">
      <c r="B128" s="21"/>
      <c r="C128" s="621"/>
      <c r="D128" s="81"/>
      <c r="E128" s="634"/>
    </row>
    <row r="129" spans="2:6" ht="13" x14ac:dyDescent="0.25">
      <c r="B129" s="21"/>
      <c r="C129" s="621"/>
      <c r="D129" s="81"/>
      <c r="E129" s="634"/>
    </row>
    <row r="130" spans="2:6" ht="13" x14ac:dyDescent="0.25">
      <c r="B130" s="21"/>
      <c r="C130" s="621"/>
      <c r="D130" s="81"/>
      <c r="E130" s="634"/>
    </row>
    <row r="131" spans="2:6" ht="13" x14ac:dyDescent="0.25">
      <c r="B131" s="21"/>
      <c r="C131" s="621"/>
      <c r="D131" s="81"/>
      <c r="E131" s="634"/>
    </row>
    <row r="132" spans="2:6" ht="13" x14ac:dyDescent="0.25">
      <c r="B132" s="21"/>
      <c r="C132" s="621"/>
      <c r="D132" s="81"/>
      <c r="E132" s="634"/>
    </row>
    <row r="133" spans="2:6" ht="13" x14ac:dyDescent="0.25">
      <c r="B133" s="21"/>
      <c r="C133" s="621"/>
      <c r="D133" s="81"/>
      <c r="E133" s="634"/>
    </row>
    <row r="134" spans="2:6" ht="13" x14ac:dyDescent="0.25">
      <c r="B134" s="21"/>
      <c r="C134" s="621"/>
      <c r="D134" s="81"/>
      <c r="E134" s="634"/>
    </row>
    <row r="135" spans="2:6" ht="13" x14ac:dyDescent="0.25">
      <c r="B135" s="21"/>
      <c r="C135" s="621"/>
      <c r="D135" s="81"/>
      <c r="E135" s="634"/>
    </row>
    <row r="136" spans="2:6" ht="13" x14ac:dyDescent="0.25">
      <c r="B136" s="21"/>
      <c r="C136" s="621"/>
      <c r="D136" s="81"/>
      <c r="E136" s="634"/>
    </row>
    <row r="137" spans="2:6" ht="13" x14ac:dyDescent="0.25">
      <c r="B137" s="21"/>
      <c r="C137" s="621"/>
      <c r="D137" s="81"/>
      <c r="E137" s="634"/>
    </row>
    <row r="138" spans="2:6" ht="13" x14ac:dyDescent="0.25">
      <c r="B138" s="21"/>
      <c r="C138" s="621"/>
      <c r="D138" s="81"/>
      <c r="E138" s="634"/>
    </row>
    <row r="139" spans="2:6" ht="13" x14ac:dyDescent="0.25">
      <c r="B139" s="21"/>
      <c r="C139" s="621"/>
      <c r="D139" s="81"/>
      <c r="E139" s="634"/>
    </row>
    <row r="140" spans="2:6" ht="13" x14ac:dyDescent="0.25">
      <c r="B140" s="21"/>
      <c r="C140" s="621"/>
      <c r="D140" s="81"/>
      <c r="E140" s="634"/>
    </row>
    <row r="141" spans="2:6" ht="13" x14ac:dyDescent="0.25">
      <c r="B141" s="21"/>
      <c r="C141" s="621"/>
      <c r="D141" s="81"/>
      <c r="E141" s="634"/>
    </row>
    <row r="142" spans="2:6" ht="13" x14ac:dyDescent="0.25">
      <c r="B142" s="21"/>
      <c r="C142" s="621"/>
      <c r="D142" s="81"/>
      <c r="E142" s="634"/>
    </row>
    <row r="143" spans="2:6" ht="13" x14ac:dyDescent="0.25">
      <c r="B143" s="21"/>
      <c r="C143" s="621"/>
      <c r="D143" s="81"/>
      <c r="E143" s="635"/>
    </row>
    <row r="144" spans="2:6" s="28" customFormat="1" ht="19.5" customHeight="1" x14ac:dyDescent="0.25">
      <c r="B144" s="654" t="str">
        <f ca="1">"TOTAL SCHEDULE A: ROADWORKS CARRIED FORWARD"&amp;IF(E144=E$1," TO SUMMARY (Page C"&amp;_Summary&amp;")","")</f>
        <v>TOTAL SCHEDULE A: ROADWORKS CARRIED FORWARD TO SUMMARY (Page C73)</v>
      </c>
      <c r="C144" s="654"/>
      <c r="D144" s="654"/>
      <c r="E144" s="636">
        <f ca="1">SUM(E82:E143)</f>
        <v>9645915</v>
      </c>
      <c r="F144" s="34"/>
    </row>
  </sheetData>
  <mergeCells count="3">
    <mergeCell ref="D74:E74"/>
    <mergeCell ref="B77:E79"/>
    <mergeCell ref="B5:E7"/>
  </mergeCells>
  <conditionalFormatting sqref="E10:E73">
    <cfRule type="expression" dxfId="67" priority="1">
      <formula>_Show_Price=FALSE</formula>
    </cfRule>
  </conditionalFormatting>
  <pageMargins left="0.43307086614173229" right="0.31496062992125984" top="0.43307086614173229" bottom="0.62992125984251968" header="0.31496062992125984" footer="0.31496062992125984"/>
  <pageSetup paperSize="9" scale="77" firstPageNumber="32"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&amp;L&amp;"Arial,Bold"________________________________________________________________________________________________________________________
CIDB OPEN TENDER: Contract Ver. 20-10-2021: COTO&amp;R&amp;"Arial,Bold"_____________________
C&amp;P   </oddFooter>
  </headerFooter>
  <rowBreaks count="1" manualBreakCount="1">
    <brk id="7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N205"/>
  <sheetViews>
    <sheetView view="pageBreakPreview" zoomScale="90" zoomScaleNormal="125" zoomScaleSheetLayoutView="90" zoomScalePageLayoutView="125" workbookViewId="0">
      <pane ySplit="2" topLeftCell="A3" activePane="bottomLeft" state="frozen"/>
      <selection activeCell="C28" sqref="C28"/>
      <selection pane="bottomLeft" activeCell="G20" sqref="G20"/>
    </sheetView>
  </sheetViews>
  <sheetFormatPr defaultColWidth="6.81640625" defaultRowHeight="12.5" x14ac:dyDescent="0.25"/>
  <cols>
    <col min="1" max="1" width="0.81640625" style="1" customWidth="1"/>
    <col min="2" max="2" width="11.7265625" style="35" customWidth="1"/>
    <col min="3" max="3" width="46.179687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MAX(H2:H218)</f>
        <v>0</v>
      </c>
      <c r="I1" s="247">
        <f>MAX(I2:I218)</f>
        <v>0</v>
      </c>
      <c r="J1" s="248"/>
      <c r="K1" s="249"/>
      <c r="L1" s="247">
        <f>MAX(L2:L218)</f>
        <v>13872.25</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"&amp;B14</f>
        <v>CHAPTER C13.1</v>
      </c>
      <c r="I6" s="6"/>
    </row>
    <row r="7" spans="1:14" ht="9.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12.75" customHeight="1" x14ac:dyDescent="0.25">
      <c r="B9" s="1117"/>
      <c r="C9" s="1118"/>
      <c r="D9" s="1118"/>
      <c r="E9" s="1118"/>
      <c r="F9" s="1118"/>
      <c r="G9" s="1118"/>
      <c r="H9" s="1122"/>
      <c r="I9" s="8"/>
    </row>
    <row r="10" spans="1:14" ht="12.75" customHeight="1" x14ac:dyDescent="0.25">
      <c r="B10" s="656" t="s">
        <v>1775</v>
      </c>
      <c r="C10" s="641"/>
      <c r="D10" s="12"/>
      <c r="E10" s="12"/>
      <c r="F10" s="641"/>
      <c r="G10" s="641"/>
      <c r="H10" s="1122"/>
      <c r="I10" s="8"/>
    </row>
    <row r="11" spans="1:14" ht="7.5" customHeight="1" x14ac:dyDescent="0.25">
      <c r="B11" s="611"/>
      <c r="C11" s="612"/>
      <c r="D11" s="679"/>
      <c r="E11" s="679"/>
      <c r="F11" s="612"/>
      <c r="G11" s="612"/>
      <c r="H11" s="1123"/>
      <c r="I11" s="8"/>
    </row>
    <row r="12" spans="1:14" s="9" customFormat="1" ht="25" customHeight="1" x14ac:dyDescent="0.25">
      <c r="B12" s="10" t="s">
        <v>0</v>
      </c>
      <c r="C12" s="11" t="s">
        <v>1</v>
      </c>
      <c r="D12" s="11" t="s">
        <v>2</v>
      </c>
      <c r="E12" s="11" t="s">
        <v>996</v>
      </c>
      <c r="F12" s="11" t="s">
        <v>3</v>
      </c>
      <c r="G12" s="11" t="s">
        <v>4</v>
      </c>
      <c r="H12" s="11" t="s">
        <v>5</v>
      </c>
      <c r="I12" s="12"/>
      <c r="J12" s="408" t="s">
        <v>996</v>
      </c>
      <c r="K12" s="253" t="s">
        <v>997</v>
      </c>
      <c r="L12" s="253" t="s">
        <v>998</v>
      </c>
      <c r="M12" s="253" t="s">
        <v>999</v>
      </c>
    </row>
    <row r="13" spans="1:14" x14ac:dyDescent="0.25">
      <c r="B13" s="58"/>
      <c r="C13" s="65"/>
      <c r="D13" s="15"/>
      <c r="E13" s="15"/>
      <c r="F13" s="15"/>
      <c r="G13" s="411"/>
      <c r="H13" s="17" t="str">
        <f t="shared" ref="H13:H50" si="0">IF(D13="","",F13*G13)</f>
        <v/>
      </c>
      <c r="I13" s="18"/>
      <c r="J13" s="61"/>
      <c r="K13" s="399"/>
      <c r="L13" s="420" t="str">
        <f t="shared" ref="L13:L70" si="1">IF(J13="","",F13*K13)</f>
        <v/>
      </c>
      <c r="M13" s="401" t="str">
        <f t="shared" ref="M13:M71" si="2">IF(J13="","",IF(SUM(H13)=0,"",L13/H13))</f>
        <v/>
      </c>
    </row>
    <row r="14" spans="1:14" ht="13" x14ac:dyDescent="0.25">
      <c r="B14" s="146" t="s">
        <v>277</v>
      </c>
      <c r="C14" s="672" t="s">
        <v>278</v>
      </c>
      <c r="D14" s="15"/>
      <c r="E14" s="15"/>
      <c r="F14" s="15"/>
      <c r="G14" s="411"/>
      <c r="H14" s="17" t="str">
        <f t="shared" si="0"/>
        <v/>
      </c>
      <c r="I14" s="18"/>
      <c r="J14" s="61"/>
      <c r="K14" s="399"/>
      <c r="L14" s="420" t="str">
        <f t="shared" ref="L14:L26" si="3">IF(J14="","",F14*K14)</f>
        <v/>
      </c>
      <c r="M14" s="401" t="str">
        <f t="shared" ref="M14:M26" si="4">IF(J14="","",IF(SUM(H14)=0,"",L14/H14))</f>
        <v/>
      </c>
    </row>
    <row r="15" spans="1:14" x14ac:dyDescent="0.25">
      <c r="B15" s="58"/>
      <c r="C15" s="65"/>
      <c r="D15" s="15"/>
      <c r="E15" s="15"/>
      <c r="F15" s="15"/>
      <c r="G15" s="411"/>
      <c r="H15" s="17" t="str">
        <f t="shared" si="0"/>
        <v/>
      </c>
      <c r="I15" s="18"/>
      <c r="J15" s="61"/>
      <c r="K15" s="399"/>
      <c r="L15" s="420" t="str">
        <f t="shared" si="3"/>
        <v/>
      </c>
      <c r="M15" s="401" t="str">
        <f t="shared" si="4"/>
        <v/>
      </c>
    </row>
    <row r="16" spans="1:14" ht="13" x14ac:dyDescent="0.25">
      <c r="B16" s="146" t="s">
        <v>286</v>
      </c>
      <c r="C16" s="672" t="s">
        <v>279</v>
      </c>
      <c r="D16" s="15"/>
      <c r="E16" s="15"/>
      <c r="F16" s="24"/>
      <c r="G16" s="421"/>
      <c r="H16" s="17" t="str">
        <f t="shared" si="0"/>
        <v/>
      </c>
      <c r="I16" s="18"/>
      <c r="J16" s="61"/>
      <c r="K16" s="399"/>
      <c r="L16" s="420" t="str">
        <f t="shared" si="3"/>
        <v/>
      </c>
      <c r="M16" s="401" t="str">
        <f t="shared" si="4"/>
        <v/>
      </c>
    </row>
    <row r="17" spans="2:13" x14ac:dyDescent="0.25">
      <c r="B17" s="58"/>
      <c r="C17" s="784"/>
      <c r="D17" s="15"/>
      <c r="E17" s="15"/>
      <c r="F17" s="24"/>
      <c r="G17" s="421"/>
      <c r="H17" s="17" t="str">
        <f t="shared" si="0"/>
        <v/>
      </c>
      <c r="I17" s="18"/>
      <c r="J17" s="61"/>
      <c r="K17" s="399"/>
      <c r="L17" s="420" t="str">
        <f t="shared" si="3"/>
        <v/>
      </c>
      <c r="M17" s="401" t="str">
        <f t="shared" si="4"/>
        <v/>
      </c>
    </row>
    <row r="18" spans="2:13" ht="25" x14ac:dyDescent="0.25">
      <c r="B18" s="58" t="s">
        <v>287</v>
      </c>
      <c r="C18" s="65" t="s">
        <v>280</v>
      </c>
      <c r="D18" s="15"/>
      <c r="E18" s="15"/>
      <c r="F18" s="647"/>
      <c r="G18" s="422"/>
      <c r="H18" s="17" t="str">
        <f t="shared" si="0"/>
        <v/>
      </c>
      <c r="I18" s="57"/>
      <c r="J18" s="61"/>
      <c r="K18" s="400"/>
      <c r="L18" s="420" t="str">
        <f t="shared" si="3"/>
        <v/>
      </c>
      <c r="M18" s="401" t="str">
        <f t="shared" si="4"/>
        <v/>
      </c>
    </row>
    <row r="19" spans="2:13" x14ac:dyDescent="0.25">
      <c r="B19" s="58"/>
      <c r="C19" s="65"/>
      <c r="D19" s="15"/>
      <c r="E19" s="15"/>
      <c r="F19" s="647"/>
      <c r="G19" s="421"/>
      <c r="H19" s="17" t="str">
        <f t="shared" si="0"/>
        <v/>
      </c>
      <c r="I19" s="57"/>
      <c r="J19" s="61"/>
      <c r="K19" s="399"/>
      <c r="L19" s="420" t="str">
        <f t="shared" si="3"/>
        <v/>
      </c>
      <c r="M19" s="401" t="str">
        <f t="shared" si="4"/>
        <v/>
      </c>
    </row>
    <row r="20" spans="2:13" ht="14.5" x14ac:dyDescent="0.25">
      <c r="B20" s="58" t="s">
        <v>39</v>
      </c>
      <c r="C20" s="65" t="s">
        <v>281</v>
      </c>
      <c r="D20" s="15" t="s">
        <v>23</v>
      </c>
      <c r="E20" s="15"/>
      <c r="F20" s="647">
        <v>500</v>
      </c>
      <c r="G20" s="421"/>
      <c r="H20" s="17">
        <f t="shared" si="0"/>
        <v>0</v>
      </c>
      <c r="I20" s="57"/>
      <c r="J20" s="61" t="s">
        <v>1721</v>
      </c>
      <c r="K20" s="402">
        <f>IF(D20="","",ROUND(Labour_perc_structures*G20,1))</f>
        <v>0</v>
      </c>
      <c r="L20" s="420">
        <f t="shared" si="3"/>
        <v>0</v>
      </c>
      <c r="M20" s="401" t="str">
        <f t="shared" si="4"/>
        <v/>
      </c>
    </row>
    <row r="21" spans="2:13" x14ac:dyDescent="0.25">
      <c r="B21" s="58"/>
      <c r="C21" s="65"/>
      <c r="D21" s="15"/>
      <c r="E21" s="15"/>
      <c r="F21" s="647"/>
      <c r="G21" s="421"/>
      <c r="H21" s="17" t="str">
        <f t="shared" si="0"/>
        <v/>
      </c>
      <c r="I21" s="57"/>
      <c r="J21" s="61"/>
      <c r="K21" s="399"/>
      <c r="L21" s="420" t="str">
        <f t="shared" si="3"/>
        <v/>
      </c>
      <c r="M21" s="401" t="str">
        <f t="shared" si="4"/>
        <v/>
      </c>
    </row>
    <row r="22" spans="2:13" ht="14.5" x14ac:dyDescent="0.25">
      <c r="B22" s="58" t="s">
        <v>41</v>
      </c>
      <c r="C22" s="65" t="s">
        <v>282</v>
      </c>
      <c r="D22" s="15" t="s">
        <v>23</v>
      </c>
      <c r="E22" s="15"/>
      <c r="F22" s="647">
        <v>350</v>
      </c>
      <c r="G22" s="421"/>
      <c r="H22" s="17">
        <f t="shared" si="0"/>
        <v>0</v>
      </c>
      <c r="I22" s="57"/>
      <c r="J22" s="61" t="s">
        <v>1721</v>
      </c>
      <c r="K22" s="402">
        <f>IF(D22="","",ROUND(Labour_perc_structures*G22,1))</f>
        <v>0</v>
      </c>
      <c r="L22" s="420">
        <f t="shared" si="3"/>
        <v>0</v>
      </c>
      <c r="M22" s="401" t="str">
        <f t="shared" si="4"/>
        <v/>
      </c>
    </row>
    <row r="23" spans="2:13" x14ac:dyDescent="0.25">
      <c r="B23" s="58"/>
      <c r="C23" s="65"/>
      <c r="D23" s="15"/>
      <c r="E23" s="15"/>
      <c r="F23" s="647"/>
      <c r="G23" s="421"/>
      <c r="H23" s="17" t="str">
        <f t="shared" si="0"/>
        <v/>
      </c>
      <c r="I23" s="57"/>
      <c r="J23" s="61"/>
      <c r="K23" s="399"/>
      <c r="L23" s="420" t="str">
        <f t="shared" si="3"/>
        <v/>
      </c>
      <c r="M23" s="401" t="str">
        <f t="shared" si="4"/>
        <v/>
      </c>
    </row>
    <row r="24" spans="2:13" ht="14.5" x14ac:dyDescent="0.25">
      <c r="B24" s="58" t="s">
        <v>52</v>
      </c>
      <c r="C24" s="65" t="s">
        <v>1961</v>
      </c>
      <c r="D24" s="15" t="s">
        <v>23</v>
      </c>
      <c r="E24" s="15"/>
      <c r="F24" s="647">
        <v>250</v>
      </c>
      <c r="G24" s="421"/>
      <c r="H24" s="17">
        <f t="shared" si="0"/>
        <v>0</v>
      </c>
      <c r="I24" s="57"/>
      <c r="J24" s="61" t="s">
        <v>1721</v>
      </c>
      <c r="K24" s="402">
        <f>IF(D24="","",ROUND(Labour_perc_structures*G24,1))</f>
        <v>0</v>
      </c>
      <c r="L24" s="420">
        <f t="shared" si="3"/>
        <v>0</v>
      </c>
      <c r="M24" s="401" t="str">
        <f t="shared" si="4"/>
        <v/>
      </c>
    </row>
    <row r="25" spans="2:13" x14ac:dyDescent="0.25">
      <c r="B25" s="58"/>
      <c r="C25" s="65"/>
      <c r="D25" s="15"/>
      <c r="E25" s="15"/>
      <c r="F25" s="647"/>
      <c r="G25" s="421"/>
      <c r="H25" s="17" t="str">
        <f t="shared" si="0"/>
        <v/>
      </c>
      <c r="I25" s="57"/>
      <c r="J25" s="61"/>
      <c r="K25" s="399"/>
      <c r="L25" s="420" t="str">
        <f t="shared" si="3"/>
        <v/>
      </c>
      <c r="M25" s="401" t="str">
        <f t="shared" si="4"/>
        <v/>
      </c>
    </row>
    <row r="26" spans="2:13" ht="14.5" x14ac:dyDescent="0.25">
      <c r="B26" s="58" t="s">
        <v>43</v>
      </c>
      <c r="C26" s="65" t="s">
        <v>1962</v>
      </c>
      <c r="D26" s="15" t="s">
        <v>23</v>
      </c>
      <c r="E26" s="15"/>
      <c r="F26" s="647">
        <v>100</v>
      </c>
      <c r="G26" s="421"/>
      <c r="H26" s="17">
        <f t="shared" si="0"/>
        <v>0</v>
      </c>
      <c r="I26" s="57"/>
      <c r="J26" s="61" t="s">
        <v>1721</v>
      </c>
      <c r="K26" s="402">
        <f>IF(D26="","",ROUND(Labour_perc_structures*G26,1))</f>
        <v>0</v>
      </c>
      <c r="L26" s="420">
        <f t="shared" si="3"/>
        <v>0</v>
      </c>
      <c r="M26" s="401" t="str">
        <f t="shared" si="4"/>
        <v/>
      </c>
    </row>
    <row r="27" spans="2:13" x14ac:dyDescent="0.25">
      <c r="B27" s="58"/>
      <c r="C27" s="65"/>
      <c r="D27" s="15"/>
      <c r="E27" s="15"/>
      <c r="F27" s="24"/>
      <c r="G27" s="411"/>
      <c r="H27" s="17" t="str">
        <f t="shared" si="0"/>
        <v/>
      </c>
      <c r="I27" s="18"/>
      <c r="J27" s="61"/>
      <c r="K27" s="402"/>
      <c r="L27" s="420" t="str">
        <f t="shared" si="1"/>
        <v/>
      </c>
      <c r="M27" s="401" t="str">
        <f t="shared" si="2"/>
        <v/>
      </c>
    </row>
    <row r="28" spans="2:13" ht="25" x14ac:dyDescent="0.25">
      <c r="B28" s="58" t="s">
        <v>288</v>
      </c>
      <c r="C28" s="65" t="s">
        <v>283</v>
      </c>
      <c r="D28" s="15" t="s">
        <v>23</v>
      </c>
      <c r="E28" s="15"/>
      <c r="F28" s="24">
        <v>400</v>
      </c>
      <c r="G28" s="422"/>
      <c r="H28" s="17">
        <f t="shared" si="0"/>
        <v>0</v>
      </c>
      <c r="I28" s="63"/>
      <c r="J28" s="61" t="s">
        <v>1721</v>
      </c>
      <c r="K28" s="402">
        <f>IF(D28="","",ROUND(Labour_perc_structures*G28,1))</f>
        <v>0</v>
      </c>
      <c r="L28" s="420">
        <f t="shared" si="1"/>
        <v>0</v>
      </c>
      <c r="M28" s="401" t="str">
        <f t="shared" si="2"/>
        <v/>
      </c>
    </row>
    <row r="29" spans="2:13" x14ac:dyDescent="0.25">
      <c r="B29" s="58"/>
      <c r="C29" s="65"/>
      <c r="D29" s="15"/>
      <c r="E29" s="15"/>
      <c r="F29" s="24"/>
      <c r="G29" s="411"/>
      <c r="H29" s="17" t="str">
        <f t="shared" si="0"/>
        <v/>
      </c>
      <c r="I29" s="63"/>
      <c r="J29" s="61"/>
      <c r="K29" s="402"/>
      <c r="L29" s="420" t="str">
        <f t="shared" si="1"/>
        <v/>
      </c>
      <c r="M29" s="401" t="str">
        <f t="shared" si="2"/>
        <v/>
      </c>
    </row>
    <row r="30" spans="2:13" ht="25" x14ac:dyDescent="0.25">
      <c r="B30" s="58" t="s">
        <v>289</v>
      </c>
      <c r="C30" s="65" t="s">
        <v>284</v>
      </c>
      <c r="D30" s="15" t="s">
        <v>23</v>
      </c>
      <c r="E30" s="15"/>
      <c r="F30" s="24">
        <v>40</v>
      </c>
      <c r="G30" s="411"/>
      <c r="H30" s="17">
        <f t="shared" si="0"/>
        <v>0</v>
      </c>
      <c r="I30" s="63"/>
      <c r="J30" s="61" t="s">
        <v>1721</v>
      </c>
      <c r="K30" s="402">
        <f>IF(D30="","",ROUND(Labour_perc_structures*G30,1))</f>
        <v>0</v>
      </c>
      <c r="L30" s="420">
        <f t="shared" si="1"/>
        <v>0</v>
      </c>
      <c r="M30" s="401" t="str">
        <f t="shared" si="2"/>
        <v/>
      </c>
    </row>
    <row r="31" spans="2:13" x14ac:dyDescent="0.25">
      <c r="B31" s="58"/>
      <c r="C31" s="65"/>
      <c r="D31" s="15"/>
      <c r="E31" s="15"/>
      <c r="F31" s="24"/>
      <c r="G31" s="411"/>
      <c r="H31" s="17" t="str">
        <f t="shared" si="0"/>
        <v/>
      </c>
      <c r="I31" s="63"/>
      <c r="J31" s="61"/>
      <c r="K31" s="402"/>
      <c r="L31" s="420" t="str">
        <f t="shared" si="1"/>
        <v/>
      </c>
      <c r="M31" s="401" t="str">
        <f t="shared" si="2"/>
        <v/>
      </c>
    </row>
    <row r="32" spans="2:13" ht="13" x14ac:dyDescent="0.25">
      <c r="B32" s="146" t="s">
        <v>292</v>
      </c>
      <c r="C32" s="672" t="s">
        <v>291</v>
      </c>
      <c r="D32" s="15"/>
      <c r="E32" s="15"/>
      <c r="F32" s="15"/>
      <c r="G32" s="422"/>
      <c r="H32" s="17" t="str">
        <f t="shared" si="0"/>
        <v/>
      </c>
      <c r="I32" s="63"/>
      <c r="J32" s="61"/>
      <c r="K32" s="399"/>
      <c r="L32" s="420" t="str">
        <f t="shared" si="1"/>
        <v/>
      </c>
      <c r="M32" s="401" t="str">
        <f t="shared" si="2"/>
        <v/>
      </c>
    </row>
    <row r="33" spans="2:13" x14ac:dyDescent="0.25">
      <c r="B33" s="58"/>
      <c r="C33" s="65"/>
      <c r="D33" s="15"/>
      <c r="E33" s="15"/>
      <c r="F33" s="15"/>
      <c r="G33" s="422"/>
      <c r="H33" s="17" t="str">
        <f t="shared" si="0"/>
        <v/>
      </c>
      <c r="I33" s="63"/>
      <c r="J33" s="61"/>
      <c r="K33" s="399"/>
      <c r="L33" s="420" t="str">
        <f t="shared" si="1"/>
        <v/>
      </c>
      <c r="M33" s="401" t="str">
        <f t="shared" si="2"/>
        <v/>
      </c>
    </row>
    <row r="34" spans="2:13" x14ac:dyDescent="0.25">
      <c r="B34" s="58" t="s">
        <v>293</v>
      </c>
      <c r="C34" s="65" t="s">
        <v>295</v>
      </c>
      <c r="D34" s="15" t="s">
        <v>11</v>
      </c>
      <c r="E34" s="15"/>
      <c r="F34" s="15">
        <v>1</v>
      </c>
      <c r="G34" s="422"/>
      <c r="H34" s="17">
        <f t="shared" si="0"/>
        <v>0</v>
      </c>
      <c r="I34" s="57"/>
      <c r="J34" s="61" t="s">
        <v>1721</v>
      </c>
      <c r="K34" s="399">
        <f>IF(D34="","",ROUND(Labour_perc_structures*F34,4))</f>
        <v>2.9000000000000001E-2</v>
      </c>
      <c r="L34" s="420">
        <f>IF(J34="","",G34*K34)</f>
        <v>0</v>
      </c>
      <c r="M34" s="401" t="str">
        <f t="shared" si="2"/>
        <v/>
      </c>
    </row>
    <row r="35" spans="2:13" x14ac:dyDescent="0.25">
      <c r="B35" s="58"/>
      <c r="C35" s="65"/>
      <c r="D35" s="15"/>
      <c r="E35" s="15"/>
      <c r="F35" s="24"/>
      <c r="G35" s="411"/>
      <c r="H35" s="17" t="str">
        <f t="shared" si="0"/>
        <v/>
      </c>
      <c r="I35" s="18"/>
      <c r="J35" s="61"/>
      <c r="K35" s="399"/>
      <c r="L35" s="420" t="str">
        <f t="shared" si="1"/>
        <v/>
      </c>
      <c r="M35" s="401" t="str">
        <f t="shared" si="2"/>
        <v/>
      </c>
    </row>
    <row r="36" spans="2:13" s="36" customFormat="1" x14ac:dyDescent="0.25">
      <c r="B36" s="58" t="s">
        <v>294</v>
      </c>
      <c r="C36" s="65" t="s">
        <v>296</v>
      </c>
      <c r="D36" s="15" t="s">
        <v>11</v>
      </c>
      <c r="E36" s="15"/>
      <c r="F36" s="15">
        <v>1</v>
      </c>
      <c r="G36" s="422"/>
      <c r="H36" s="17">
        <f t="shared" si="0"/>
        <v>0</v>
      </c>
      <c r="I36" s="18"/>
      <c r="J36" s="61" t="s">
        <v>1721</v>
      </c>
      <c r="K36" s="399">
        <f>IF(D36="","",ROUND(Labour_perc_structures*F36,4))</f>
        <v>2.9000000000000001E-2</v>
      </c>
      <c r="L36" s="420">
        <f>IF(J36="","",G36*K36)</f>
        <v>0</v>
      </c>
      <c r="M36" s="401" t="str">
        <f t="shared" si="2"/>
        <v/>
      </c>
    </row>
    <row r="37" spans="2:13" s="36" customFormat="1" x14ac:dyDescent="0.25">
      <c r="B37" s="58"/>
      <c r="C37" s="65"/>
      <c r="D37" s="61"/>
      <c r="E37" s="61"/>
      <c r="F37" s="61"/>
      <c r="G37" s="422"/>
      <c r="H37" s="17" t="str">
        <f t="shared" si="0"/>
        <v/>
      </c>
      <c r="I37" s="18"/>
      <c r="J37" s="61"/>
      <c r="K37" s="399"/>
      <c r="L37" s="420" t="str">
        <f t="shared" si="1"/>
        <v/>
      </c>
      <c r="M37" s="401" t="str">
        <f t="shared" si="2"/>
        <v/>
      </c>
    </row>
    <row r="38" spans="2:13" s="36" customFormat="1" ht="13" x14ac:dyDescent="0.25">
      <c r="B38" s="146" t="s">
        <v>299</v>
      </c>
      <c r="C38" s="672" t="s">
        <v>297</v>
      </c>
      <c r="D38" s="61"/>
      <c r="E38" s="61"/>
      <c r="F38" s="61"/>
      <c r="G38" s="422"/>
      <c r="H38" s="17" t="str">
        <f t="shared" si="0"/>
        <v/>
      </c>
      <c r="I38" s="18"/>
      <c r="J38" s="61"/>
      <c r="K38" s="399"/>
      <c r="L38" s="420" t="str">
        <f t="shared" si="1"/>
        <v/>
      </c>
      <c r="M38" s="401" t="str">
        <f t="shared" si="2"/>
        <v/>
      </c>
    </row>
    <row r="39" spans="2:13" s="36" customFormat="1" x14ac:dyDescent="0.25">
      <c r="B39" s="58"/>
      <c r="C39" s="65"/>
      <c r="D39" s="15"/>
      <c r="E39" s="15"/>
      <c r="F39" s="15"/>
      <c r="G39" s="422"/>
      <c r="H39" s="17" t="str">
        <f t="shared" si="0"/>
        <v/>
      </c>
      <c r="I39" s="18"/>
      <c r="J39" s="61"/>
      <c r="K39" s="399"/>
      <c r="L39" s="420" t="str">
        <f t="shared" si="1"/>
        <v/>
      </c>
      <c r="M39" s="401" t="str">
        <f t="shared" si="2"/>
        <v/>
      </c>
    </row>
    <row r="40" spans="2:13" ht="14.5" x14ac:dyDescent="0.25">
      <c r="B40" s="58" t="s">
        <v>300</v>
      </c>
      <c r="C40" s="65" t="s">
        <v>298</v>
      </c>
      <c r="D40" s="15" t="s">
        <v>23</v>
      </c>
      <c r="E40" s="15"/>
      <c r="F40" s="15">
        <v>1100</v>
      </c>
      <c r="G40" s="422"/>
      <c r="H40" s="17">
        <f t="shared" si="0"/>
        <v>0</v>
      </c>
      <c r="I40" s="57"/>
      <c r="J40" s="61" t="s">
        <v>1721</v>
      </c>
      <c r="K40" s="399">
        <f>IF(D40="","",ROUND(Labour_perc_structures*G40,1))</f>
        <v>0</v>
      </c>
      <c r="L40" s="420">
        <f t="shared" si="1"/>
        <v>0</v>
      </c>
      <c r="M40" s="401" t="str">
        <f t="shared" si="2"/>
        <v/>
      </c>
    </row>
    <row r="41" spans="2:13" x14ac:dyDescent="0.25">
      <c r="B41" s="58"/>
      <c r="C41" s="65"/>
      <c r="D41" s="15"/>
      <c r="E41" s="15"/>
      <c r="F41" s="15"/>
      <c r="G41" s="422"/>
      <c r="H41" s="17" t="str">
        <f t="shared" si="0"/>
        <v/>
      </c>
      <c r="I41" s="18"/>
      <c r="J41" s="61"/>
      <c r="K41" s="399"/>
      <c r="L41" s="420" t="str">
        <f t="shared" si="1"/>
        <v/>
      </c>
      <c r="M41" s="401" t="str">
        <f t="shared" si="2"/>
        <v/>
      </c>
    </row>
    <row r="42" spans="2:13" ht="25" x14ac:dyDescent="0.25">
      <c r="B42" s="58" t="s">
        <v>301</v>
      </c>
      <c r="C42" s="65" t="s">
        <v>2131</v>
      </c>
      <c r="D42" s="15" t="s">
        <v>23</v>
      </c>
      <c r="E42" s="15"/>
      <c r="F42" s="15">
        <v>400</v>
      </c>
      <c r="G42" s="422"/>
      <c r="H42" s="17">
        <f t="shared" si="0"/>
        <v>0</v>
      </c>
      <c r="I42" s="18"/>
      <c r="J42" s="61" t="s">
        <v>1721</v>
      </c>
      <c r="K42" s="402">
        <f>IF(D42="","",ROUND(Labour_perc_structures*G42,1))</f>
        <v>0</v>
      </c>
      <c r="L42" s="420">
        <f t="shared" si="1"/>
        <v>0</v>
      </c>
      <c r="M42" s="401" t="str">
        <f t="shared" si="2"/>
        <v/>
      </c>
    </row>
    <row r="43" spans="2:13" x14ac:dyDescent="0.25">
      <c r="B43" s="58"/>
      <c r="C43" s="65"/>
      <c r="D43" s="15"/>
      <c r="E43" s="15"/>
      <c r="F43" s="24"/>
      <c r="G43" s="423"/>
      <c r="H43" s="17" t="str">
        <f t="shared" si="0"/>
        <v/>
      </c>
      <c r="I43" s="18"/>
      <c r="J43" s="61"/>
      <c r="K43" s="399"/>
      <c r="L43" s="420" t="str">
        <f t="shared" si="1"/>
        <v/>
      </c>
      <c r="M43" s="401" t="str">
        <f t="shared" si="2"/>
        <v/>
      </c>
    </row>
    <row r="44" spans="2:13" ht="14.5" x14ac:dyDescent="0.25">
      <c r="B44" s="146" t="s">
        <v>1886</v>
      </c>
      <c r="C44" s="672" t="s">
        <v>302</v>
      </c>
      <c r="D44" s="15" t="s">
        <v>23</v>
      </c>
      <c r="E44" s="15"/>
      <c r="F44" s="15">
        <v>100</v>
      </c>
      <c r="G44" s="422"/>
      <c r="H44" s="17">
        <f t="shared" si="0"/>
        <v>0</v>
      </c>
      <c r="I44" s="18"/>
      <c r="J44" s="61" t="s">
        <v>1721</v>
      </c>
      <c r="K44" s="402">
        <f>IF(D44="","",ROUND(Labour_perc_structures*G44,1))</f>
        <v>0</v>
      </c>
      <c r="L44" s="420">
        <f t="shared" si="1"/>
        <v>0</v>
      </c>
      <c r="M44" s="401" t="str">
        <f t="shared" si="2"/>
        <v/>
      </c>
    </row>
    <row r="45" spans="2:13" x14ac:dyDescent="0.25">
      <c r="B45" s="58"/>
      <c r="C45" s="65"/>
      <c r="D45" s="15"/>
      <c r="E45" s="15"/>
      <c r="F45" s="15"/>
      <c r="G45" s="422"/>
      <c r="H45" s="17" t="str">
        <f t="shared" si="0"/>
        <v/>
      </c>
      <c r="I45" s="18"/>
      <c r="J45" s="61"/>
      <c r="K45" s="399"/>
      <c r="L45" s="420" t="str">
        <f t="shared" si="1"/>
        <v/>
      </c>
      <c r="M45" s="401" t="str">
        <f t="shared" si="2"/>
        <v/>
      </c>
    </row>
    <row r="46" spans="2:13" ht="39" x14ac:dyDescent="0.25">
      <c r="B46" s="146" t="s">
        <v>304</v>
      </c>
      <c r="C46" s="672" t="s">
        <v>303</v>
      </c>
      <c r="D46" s="15" t="s">
        <v>510</v>
      </c>
      <c r="E46" s="15"/>
      <c r="F46" s="15">
        <v>9000</v>
      </c>
      <c r="G46" s="422"/>
      <c r="H46" s="17">
        <f t="shared" si="0"/>
        <v>0</v>
      </c>
      <c r="I46" s="18"/>
      <c r="J46" s="61" t="s">
        <v>1721</v>
      </c>
      <c r="K46" s="402">
        <f>IF(D46="","",ROUND(Labour_perc_structures*G46,1))</f>
        <v>0</v>
      </c>
      <c r="L46" s="420">
        <f t="shared" si="1"/>
        <v>0</v>
      </c>
      <c r="M46" s="401" t="str">
        <f t="shared" si="2"/>
        <v/>
      </c>
    </row>
    <row r="47" spans="2:13" x14ac:dyDescent="0.25">
      <c r="B47" s="58"/>
      <c r="C47" s="65"/>
      <c r="D47" s="15"/>
      <c r="E47" s="15"/>
      <c r="F47" s="15"/>
      <c r="G47" s="422"/>
      <c r="H47" s="17" t="str">
        <f t="shared" si="0"/>
        <v/>
      </c>
      <c r="I47" s="18"/>
      <c r="J47" s="61"/>
      <c r="K47" s="399"/>
      <c r="L47" s="420" t="str">
        <f t="shared" si="1"/>
        <v/>
      </c>
      <c r="M47" s="401" t="str">
        <f t="shared" si="2"/>
        <v/>
      </c>
    </row>
    <row r="48" spans="2:13" ht="13" x14ac:dyDescent="0.25">
      <c r="B48" s="146" t="s">
        <v>1887</v>
      </c>
      <c r="C48" s="672" t="s">
        <v>309</v>
      </c>
      <c r="D48" s="15"/>
      <c r="E48" s="15"/>
      <c r="F48" s="15"/>
      <c r="G48" s="422"/>
      <c r="H48" s="17" t="str">
        <f t="shared" si="0"/>
        <v/>
      </c>
      <c r="I48" s="18"/>
      <c r="J48" s="61"/>
      <c r="K48" s="399"/>
      <c r="L48" s="420" t="str">
        <f t="shared" si="1"/>
        <v/>
      </c>
      <c r="M48" s="401" t="str">
        <f t="shared" si="2"/>
        <v/>
      </c>
    </row>
    <row r="49" spans="2:13" x14ac:dyDescent="0.25">
      <c r="B49" s="58"/>
      <c r="C49" s="65"/>
      <c r="D49" s="15"/>
      <c r="E49" s="15"/>
      <c r="F49" s="15"/>
      <c r="G49" s="422"/>
      <c r="H49" s="17" t="str">
        <f t="shared" si="0"/>
        <v/>
      </c>
      <c r="I49" s="18"/>
      <c r="J49" s="61"/>
      <c r="K49" s="399"/>
      <c r="L49" s="420" t="str">
        <f t="shared" si="1"/>
        <v/>
      </c>
      <c r="M49" s="401" t="str">
        <f t="shared" si="2"/>
        <v/>
      </c>
    </row>
    <row r="50" spans="2:13" ht="14.5" x14ac:dyDescent="0.25">
      <c r="B50" s="58" t="s">
        <v>305</v>
      </c>
      <c r="C50" s="65" t="s">
        <v>227</v>
      </c>
      <c r="D50" s="15" t="s">
        <v>23</v>
      </c>
      <c r="E50" s="15"/>
      <c r="F50" s="15">
        <v>80</v>
      </c>
      <c r="G50" s="422"/>
      <c r="H50" s="17">
        <f t="shared" si="0"/>
        <v>0</v>
      </c>
      <c r="I50" s="18"/>
      <c r="J50" s="61" t="s">
        <v>1721</v>
      </c>
      <c r="K50" s="399">
        <f>IF(D50="","",ROUND(Labour_perc_structures*G50,1))</f>
        <v>0</v>
      </c>
      <c r="L50" s="420">
        <f t="shared" si="1"/>
        <v>0</v>
      </c>
      <c r="M50" s="401" t="str">
        <f t="shared" si="2"/>
        <v/>
      </c>
    </row>
    <row r="51" spans="2:13" x14ac:dyDescent="0.25">
      <c r="B51" s="58"/>
      <c r="C51" s="65"/>
      <c r="D51" s="15"/>
      <c r="E51" s="15"/>
      <c r="F51" s="15"/>
      <c r="G51" s="422"/>
      <c r="H51" s="17" t="str">
        <f t="shared" ref="H51:H70" si="5">IF(D51="","",F51*G51)</f>
        <v/>
      </c>
      <c r="I51" s="18"/>
      <c r="J51" s="61"/>
      <c r="K51" s="399"/>
      <c r="L51" s="420" t="str">
        <f t="shared" si="1"/>
        <v/>
      </c>
      <c r="M51" s="401" t="str">
        <f t="shared" si="2"/>
        <v/>
      </c>
    </row>
    <row r="52" spans="2:13" ht="14.5" x14ac:dyDescent="0.25">
      <c r="B52" s="58" t="s">
        <v>307</v>
      </c>
      <c r="C52" s="65" t="s">
        <v>2132</v>
      </c>
      <c r="D52" s="15" t="s">
        <v>23</v>
      </c>
      <c r="E52" s="15"/>
      <c r="F52" s="15">
        <v>120</v>
      </c>
      <c r="G52" s="422"/>
      <c r="H52" s="17">
        <f t="shared" si="5"/>
        <v>0</v>
      </c>
      <c r="I52" s="18"/>
      <c r="J52" s="61" t="s">
        <v>1721</v>
      </c>
      <c r="K52" s="399">
        <f>IF(D52="","",ROUND(Labour_perc_structures*G52,1))</f>
        <v>0</v>
      </c>
      <c r="L52" s="420">
        <f t="shared" si="1"/>
        <v>0</v>
      </c>
      <c r="M52" s="401" t="str">
        <f t="shared" si="2"/>
        <v/>
      </c>
    </row>
    <row r="53" spans="2:13" x14ac:dyDescent="0.25">
      <c r="B53" s="58"/>
      <c r="C53" s="65"/>
      <c r="D53" s="15"/>
      <c r="E53" s="15"/>
      <c r="F53" s="15"/>
      <c r="G53" s="422"/>
      <c r="H53" s="17" t="str">
        <f t="shared" si="5"/>
        <v/>
      </c>
      <c r="I53" s="18"/>
      <c r="J53" s="61"/>
      <c r="K53" s="399"/>
      <c r="L53" s="420" t="str">
        <f t="shared" si="1"/>
        <v/>
      </c>
      <c r="M53" s="401" t="str">
        <f t="shared" si="2"/>
        <v/>
      </c>
    </row>
    <row r="54" spans="2:13" ht="14.5" x14ac:dyDescent="0.25">
      <c r="B54" s="58" t="s">
        <v>308</v>
      </c>
      <c r="C54" s="65" t="s">
        <v>2133</v>
      </c>
      <c r="D54" s="15" t="s">
        <v>23</v>
      </c>
      <c r="E54" s="15" t="s">
        <v>996</v>
      </c>
      <c r="F54" s="15">
        <v>35</v>
      </c>
      <c r="G54" s="422"/>
      <c r="H54" s="17">
        <f t="shared" si="5"/>
        <v>0</v>
      </c>
      <c r="I54" s="18"/>
      <c r="J54" s="61" t="s">
        <v>996</v>
      </c>
      <c r="K54" s="399">
        <f>ROUND(_Mix+_Haul+_Place,1)*0.5</f>
        <v>396.35</v>
      </c>
      <c r="L54" s="420">
        <f t="shared" si="1"/>
        <v>13872.25</v>
      </c>
      <c r="M54" s="401" t="str">
        <f t="shared" si="2"/>
        <v/>
      </c>
    </row>
    <row r="55" spans="2:13" x14ac:dyDescent="0.25">
      <c r="B55" s="58"/>
      <c r="C55" s="65"/>
      <c r="D55" s="15"/>
      <c r="E55" s="15"/>
      <c r="F55" s="15"/>
      <c r="G55" s="424"/>
      <c r="H55" s="17" t="str">
        <f t="shared" si="5"/>
        <v/>
      </c>
      <c r="I55" s="18"/>
      <c r="J55" s="62"/>
      <c r="K55" s="62"/>
      <c r="L55" s="420" t="str">
        <f t="shared" si="1"/>
        <v/>
      </c>
      <c r="M55" s="401" t="str">
        <f t="shared" si="2"/>
        <v/>
      </c>
    </row>
    <row r="56" spans="2:13" x14ac:dyDescent="0.25">
      <c r="B56" s="58"/>
      <c r="C56" s="65"/>
      <c r="D56" s="15"/>
      <c r="E56" s="15"/>
      <c r="F56" s="15"/>
      <c r="G56" s="424"/>
      <c r="H56" s="17" t="str">
        <f t="shared" si="5"/>
        <v/>
      </c>
      <c r="I56" s="18"/>
      <c r="J56" s="62"/>
      <c r="K56" s="62"/>
      <c r="L56" s="420" t="str">
        <f t="shared" si="1"/>
        <v/>
      </c>
      <c r="M56" s="401" t="str">
        <f t="shared" si="2"/>
        <v/>
      </c>
    </row>
    <row r="57" spans="2:13" ht="12" customHeight="1" x14ac:dyDescent="0.25">
      <c r="B57" s="58"/>
      <c r="C57" s="65"/>
      <c r="D57" s="15"/>
      <c r="E57" s="15"/>
      <c r="F57" s="15"/>
      <c r="G57" s="422"/>
      <c r="H57" s="17" t="str">
        <f t="shared" si="5"/>
        <v/>
      </c>
      <c r="I57" s="18"/>
      <c r="J57" s="62"/>
      <c r="K57" s="62"/>
      <c r="L57" s="420" t="str">
        <f t="shared" si="1"/>
        <v/>
      </c>
      <c r="M57" s="401" t="str">
        <f t="shared" si="2"/>
        <v/>
      </c>
    </row>
    <row r="58" spans="2:13" x14ac:dyDescent="0.25">
      <c r="B58" s="58"/>
      <c r="C58" s="65"/>
      <c r="D58" s="15"/>
      <c r="E58" s="15"/>
      <c r="F58" s="15"/>
      <c r="G58" s="422"/>
      <c r="H58" s="17" t="str">
        <f t="shared" si="5"/>
        <v/>
      </c>
      <c r="I58" s="18"/>
      <c r="J58" s="62"/>
      <c r="K58" s="62"/>
      <c r="L58" s="420" t="str">
        <f t="shared" si="1"/>
        <v/>
      </c>
      <c r="M58" s="401" t="str">
        <f t="shared" si="2"/>
        <v/>
      </c>
    </row>
    <row r="59" spans="2:13" ht="12" customHeight="1" x14ac:dyDescent="0.25">
      <c r="B59" s="58"/>
      <c r="C59" s="65"/>
      <c r="D59" s="61"/>
      <c r="E59" s="61"/>
      <c r="F59" s="61"/>
      <c r="G59" s="422"/>
      <c r="H59" s="17" t="str">
        <f t="shared" si="5"/>
        <v/>
      </c>
      <c r="I59" s="63"/>
      <c r="J59" s="62"/>
      <c r="K59" s="62"/>
      <c r="L59" s="420" t="str">
        <f t="shared" si="1"/>
        <v/>
      </c>
      <c r="M59" s="401" t="str">
        <f t="shared" si="2"/>
        <v/>
      </c>
    </row>
    <row r="60" spans="2:13" ht="12" customHeight="1" x14ac:dyDescent="0.25">
      <c r="B60" s="58"/>
      <c r="C60" s="787"/>
      <c r="D60" s="15"/>
      <c r="E60" s="15"/>
      <c r="F60" s="61"/>
      <c r="G60" s="422"/>
      <c r="H60" s="17" t="str">
        <f t="shared" ref="H60" si="6">IF(D60="","",F60*G60)</f>
        <v/>
      </c>
      <c r="I60" s="63"/>
      <c r="J60" s="62"/>
      <c r="K60" s="62"/>
      <c r="L60" s="420" t="str">
        <f t="shared" si="1"/>
        <v/>
      </c>
      <c r="M60" s="401" t="str">
        <f t="shared" si="2"/>
        <v/>
      </c>
    </row>
    <row r="61" spans="2:13" ht="12" customHeight="1" x14ac:dyDescent="0.25">
      <c r="B61" s="58"/>
      <c r="C61" s="65"/>
      <c r="D61" s="61"/>
      <c r="E61" s="61"/>
      <c r="F61" s="61"/>
      <c r="G61" s="422"/>
      <c r="H61" s="17"/>
      <c r="I61" s="63"/>
      <c r="J61" s="62"/>
      <c r="K61" s="62"/>
      <c r="L61" s="420" t="str">
        <f t="shared" si="1"/>
        <v/>
      </c>
      <c r="M61" s="401" t="str">
        <f t="shared" si="2"/>
        <v/>
      </c>
    </row>
    <row r="62" spans="2:13" ht="12" customHeight="1" x14ac:dyDescent="0.25">
      <c r="B62" s="58"/>
      <c r="C62" s="787"/>
      <c r="D62" s="15"/>
      <c r="E62" s="15"/>
      <c r="F62" s="61"/>
      <c r="G62" s="422"/>
      <c r="H62" s="17" t="str">
        <f t="shared" ref="H62" si="7">IF(D62="","",F62*G62)</f>
        <v/>
      </c>
      <c r="I62" s="63"/>
      <c r="J62" s="62"/>
      <c r="K62" s="62"/>
      <c r="L62" s="420" t="str">
        <f t="shared" si="1"/>
        <v/>
      </c>
      <c r="M62" s="401" t="str">
        <f t="shared" si="2"/>
        <v/>
      </c>
    </row>
    <row r="63" spans="2:13" ht="12" customHeight="1" x14ac:dyDescent="0.25">
      <c r="B63" s="58"/>
      <c r="C63" s="65"/>
      <c r="D63" s="61"/>
      <c r="E63" s="61"/>
      <c r="F63" s="61"/>
      <c r="G63" s="422"/>
      <c r="H63" s="17"/>
      <c r="I63" s="63"/>
      <c r="J63" s="61"/>
      <c r="K63" s="62"/>
      <c r="L63" s="420" t="str">
        <f t="shared" si="1"/>
        <v/>
      </c>
      <c r="M63" s="401" t="str">
        <f t="shared" si="2"/>
        <v/>
      </c>
    </row>
    <row r="64" spans="2:13" x14ac:dyDescent="0.25">
      <c r="B64" s="58"/>
      <c r="C64" s="65"/>
      <c r="D64" s="15"/>
      <c r="E64" s="15"/>
      <c r="F64" s="15"/>
      <c r="G64" s="422"/>
      <c r="H64" s="17" t="str">
        <f t="shared" si="5"/>
        <v/>
      </c>
      <c r="I64" s="18"/>
      <c r="J64" s="62"/>
      <c r="K64" s="62"/>
      <c r="L64" s="420" t="str">
        <f t="shared" si="1"/>
        <v/>
      </c>
      <c r="M64" s="401" t="str">
        <f t="shared" si="2"/>
        <v/>
      </c>
    </row>
    <row r="65" spans="2:13" ht="12" customHeight="1" x14ac:dyDescent="0.25">
      <c r="B65" s="58"/>
      <c r="C65" s="65"/>
      <c r="D65" s="61"/>
      <c r="E65" s="61"/>
      <c r="F65" s="61"/>
      <c r="G65" s="422"/>
      <c r="H65" s="17" t="str">
        <f t="shared" si="5"/>
        <v/>
      </c>
      <c r="I65" s="69"/>
      <c r="J65" s="62"/>
      <c r="K65" s="62"/>
      <c r="L65" s="420" t="str">
        <f t="shared" si="1"/>
        <v/>
      </c>
      <c r="M65" s="401" t="str">
        <f t="shared" si="2"/>
        <v/>
      </c>
    </row>
    <row r="66" spans="2:13" ht="12" customHeight="1" x14ac:dyDescent="0.25">
      <c r="B66" s="58"/>
      <c r="C66" s="65"/>
      <c r="D66" s="15"/>
      <c r="E66" s="15"/>
      <c r="F66" s="15"/>
      <c r="G66" s="422"/>
      <c r="H66" s="17" t="str">
        <f t="shared" si="5"/>
        <v/>
      </c>
      <c r="I66" s="18"/>
      <c r="J66" s="62"/>
      <c r="K66" s="62"/>
      <c r="L66" s="420" t="str">
        <f t="shared" si="1"/>
        <v/>
      </c>
      <c r="M66" s="401" t="str">
        <f t="shared" si="2"/>
        <v/>
      </c>
    </row>
    <row r="67" spans="2:13" x14ac:dyDescent="0.25">
      <c r="B67" s="58"/>
      <c r="C67" s="65"/>
      <c r="D67" s="15"/>
      <c r="E67" s="15"/>
      <c r="F67" s="15"/>
      <c r="G67" s="422"/>
      <c r="H67" s="17" t="str">
        <f t="shared" si="5"/>
        <v/>
      </c>
      <c r="I67" s="18"/>
      <c r="J67" s="62"/>
      <c r="K67" s="62"/>
      <c r="L67" s="420" t="str">
        <f t="shared" si="1"/>
        <v/>
      </c>
      <c r="M67" s="401" t="str">
        <f t="shared" si="2"/>
        <v/>
      </c>
    </row>
    <row r="68" spans="2:13" ht="12" customHeight="1" x14ac:dyDescent="0.25">
      <c r="B68" s="58"/>
      <c r="C68" s="65"/>
      <c r="D68" s="15"/>
      <c r="E68" s="15"/>
      <c r="F68" s="15"/>
      <c r="G68" s="422"/>
      <c r="H68" s="17" t="str">
        <f t="shared" si="5"/>
        <v/>
      </c>
      <c r="I68" s="18"/>
      <c r="J68" s="62"/>
      <c r="K68" s="62"/>
      <c r="L68" s="420" t="str">
        <f t="shared" si="1"/>
        <v/>
      </c>
      <c r="M68" s="401" t="str">
        <f t="shared" si="2"/>
        <v/>
      </c>
    </row>
    <row r="69" spans="2:13" x14ac:dyDescent="0.25">
      <c r="B69" s="58"/>
      <c r="C69" s="65"/>
      <c r="D69" s="15"/>
      <c r="E69" s="15"/>
      <c r="F69" s="15"/>
      <c r="G69" s="422"/>
      <c r="H69" s="17" t="str">
        <f t="shared" si="5"/>
        <v/>
      </c>
      <c r="I69" s="18"/>
      <c r="J69" s="62"/>
      <c r="K69" s="62"/>
      <c r="L69" s="420" t="str">
        <f t="shared" si="1"/>
        <v/>
      </c>
      <c r="M69" s="401" t="str">
        <f t="shared" si="2"/>
        <v/>
      </c>
    </row>
    <row r="70" spans="2:13" ht="12" customHeight="1" x14ac:dyDescent="0.25">
      <c r="B70" s="58"/>
      <c r="C70" s="65"/>
      <c r="D70" s="15"/>
      <c r="E70" s="15"/>
      <c r="F70" s="15"/>
      <c r="G70" s="422"/>
      <c r="H70" s="17" t="str">
        <f t="shared" si="5"/>
        <v/>
      </c>
      <c r="I70" s="18"/>
      <c r="J70" s="61"/>
      <c r="K70" s="696"/>
      <c r="L70" s="420" t="str">
        <f t="shared" si="1"/>
        <v/>
      </c>
      <c r="M70" s="401" t="str">
        <f t="shared" si="2"/>
        <v/>
      </c>
    </row>
    <row r="71" spans="2:13" s="28" customFormat="1" ht="19.5" customHeight="1" x14ac:dyDescent="0.25">
      <c r="B71" s="135" t="str">
        <f>$B$14</f>
        <v>C13.1</v>
      </c>
      <c r="C71" s="498" t="str">
        <f>"TOTAL CARRIED FORWARD"&amp;IF(H71=H$1," TO SUMMARY (Page C"&amp;Page_B&amp;")","")</f>
        <v>TOTAL CARRIED FORWARD TO SUMMARY (Page C65)</v>
      </c>
      <c r="D71" s="31"/>
      <c r="E71" s="31"/>
      <c r="F71" s="32"/>
      <c r="G71" s="31"/>
      <c r="H71" s="33">
        <f>SUM(H13:H70)</f>
        <v>0</v>
      </c>
      <c r="I71" s="34"/>
      <c r="J71" s="408"/>
      <c r="K71" s="406"/>
      <c r="L71" s="418">
        <f>SUM(L13:L70)</f>
        <v>13872.25</v>
      </c>
      <c r="M71" s="407" t="str">
        <f t="shared" si="2"/>
        <v/>
      </c>
    </row>
    <row r="72" spans="2:13" ht="13" x14ac:dyDescent="0.25">
      <c r="B72" s="1108" t="str">
        <f>Client1</f>
        <v>Province of KwaZulu-Natal</v>
      </c>
      <c r="C72" s="1108"/>
      <c r="D72" s="1108"/>
      <c r="E72" s="87"/>
      <c r="F72" s="1109" t="str">
        <f>"Contract No. "&amp;ContractNo</f>
        <v>Contract No. ZNB 00399/00000/HOD/INF/21/T</v>
      </c>
      <c r="G72" s="1109"/>
      <c r="H72" s="1109"/>
    </row>
    <row r="73" spans="2:13" ht="13" x14ac:dyDescent="0.25">
      <c r="B73" s="1108" t="str">
        <f>Client2</f>
        <v>Department of Transport</v>
      </c>
      <c r="C73" s="1108"/>
      <c r="D73" s="1108"/>
      <c r="E73" s="87"/>
      <c r="F73" s="1109"/>
      <c r="G73" s="1109"/>
      <c r="H73" s="1109"/>
    </row>
    <row r="74" spans="2:13" x14ac:dyDescent="0.25">
      <c r="B74" s="1111"/>
      <c r="C74" s="1111"/>
      <c r="D74" s="1111"/>
      <c r="E74" s="78"/>
      <c r="F74" s="1110"/>
      <c r="G74" s="1110"/>
      <c r="H74" s="1110"/>
    </row>
    <row r="75" spans="2:13" ht="13" x14ac:dyDescent="0.25">
      <c r="B75" s="1112" t="s">
        <v>8</v>
      </c>
      <c r="C75" s="1113"/>
      <c r="D75" s="1113"/>
      <c r="E75" s="1113"/>
      <c r="F75" s="1113"/>
      <c r="G75" s="1113"/>
      <c r="H75" s="1125" t="str">
        <f>$H$6</f>
        <v>CHAPTER C13.1</v>
      </c>
      <c r="I75" s="6"/>
    </row>
    <row r="76" spans="2:13" ht="13" x14ac:dyDescent="0.25">
      <c r="B76" s="1117" t="str">
        <f>ContractDescription</f>
        <v>THE CONSTRUCTION OF EARTHWORKS, LAYERWORKS, SURFACING, CULVERTS AND CWAKA RIVER BRIDGE FROM KM 11.600 TO KM 14.000 ON MAIN ROAD P494 IN THE KING CETSHWAYO DISTRICT UNDER EMPANGENI REGION</v>
      </c>
      <c r="C76" s="1118"/>
      <c r="D76" s="1118"/>
      <c r="E76" s="1118"/>
      <c r="F76" s="1118"/>
      <c r="G76" s="1118"/>
      <c r="H76" s="1126"/>
      <c r="I76" s="8"/>
    </row>
    <row r="77" spans="2:13" ht="13" x14ac:dyDescent="0.25">
      <c r="B77" s="1117"/>
      <c r="C77" s="1118"/>
      <c r="D77" s="1118"/>
      <c r="E77" s="1118"/>
      <c r="F77" s="1118"/>
      <c r="G77" s="1118"/>
      <c r="H77" s="1126"/>
      <c r="I77" s="8"/>
    </row>
    <row r="78" spans="2:13" ht="13" x14ac:dyDescent="0.25">
      <c r="B78" s="1119"/>
      <c r="C78" s="1120"/>
      <c r="D78" s="1120"/>
      <c r="E78" s="1120"/>
      <c r="F78" s="1120"/>
      <c r="G78" s="1120"/>
      <c r="H78" s="1127"/>
      <c r="I78" s="8"/>
    </row>
    <row r="79" spans="2:13" s="9" customFormat="1" ht="25" customHeight="1" x14ac:dyDescent="0.25">
      <c r="B79" s="74" t="s">
        <v>0</v>
      </c>
      <c r="C79" s="11" t="s">
        <v>1</v>
      </c>
      <c r="D79" s="11" t="s">
        <v>2</v>
      </c>
      <c r="E79" s="11"/>
      <c r="F79" s="11" t="s">
        <v>3</v>
      </c>
      <c r="G79" s="11" t="s">
        <v>4</v>
      </c>
      <c r="H79" s="11" t="s">
        <v>5</v>
      </c>
      <c r="I79" s="12"/>
    </row>
    <row r="80" spans="2:13" s="28" customFormat="1" ht="19.5" customHeight="1" x14ac:dyDescent="0.25">
      <c r="B80" s="80"/>
      <c r="C80" s="30" t="s">
        <v>27</v>
      </c>
      <c r="D80" s="31"/>
      <c r="E80" s="31"/>
      <c r="F80" s="32"/>
      <c r="G80" s="31"/>
      <c r="H80" s="33">
        <f>H71</f>
        <v>0</v>
      </c>
      <c r="I80" s="34"/>
    </row>
    <row r="81" spans="2:9" x14ac:dyDescent="0.25">
      <c r="B81" s="46"/>
      <c r="C81" s="14"/>
      <c r="D81" s="21"/>
      <c r="E81" s="21"/>
      <c r="F81" s="21"/>
      <c r="G81" s="38"/>
      <c r="H81" s="17"/>
      <c r="I81" s="40"/>
    </row>
    <row r="82" spans="2:9" x14ac:dyDescent="0.25">
      <c r="B82" s="46"/>
      <c r="C82" s="14"/>
      <c r="D82" s="21"/>
      <c r="E82" s="21"/>
      <c r="F82" s="21"/>
      <c r="G82" s="38"/>
      <c r="H82" s="17"/>
      <c r="I82" s="40"/>
    </row>
    <row r="83" spans="2:9" x14ac:dyDescent="0.25">
      <c r="B83" s="46"/>
      <c r="C83" s="14"/>
      <c r="D83" s="21"/>
      <c r="E83" s="21"/>
      <c r="F83" s="21"/>
      <c r="G83" s="38"/>
      <c r="H83" s="17"/>
      <c r="I83" s="40"/>
    </row>
    <row r="84" spans="2:9" x14ac:dyDescent="0.25">
      <c r="B84" s="46"/>
      <c r="C84" s="14"/>
      <c r="D84" s="21"/>
      <c r="E84" s="21"/>
      <c r="F84" s="21"/>
      <c r="G84" s="38"/>
      <c r="H84" s="17"/>
      <c r="I84" s="40"/>
    </row>
    <row r="85" spans="2:9" x14ac:dyDescent="0.25">
      <c r="B85" s="46"/>
      <c r="C85" s="14"/>
      <c r="D85" s="21"/>
      <c r="E85" s="21"/>
      <c r="F85" s="21"/>
      <c r="G85" s="38"/>
      <c r="H85" s="17"/>
      <c r="I85" s="40"/>
    </row>
    <row r="86" spans="2:9" x14ac:dyDescent="0.25">
      <c r="B86" s="46"/>
      <c r="C86" s="14"/>
      <c r="D86" s="21"/>
      <c r="E86" s="21"/>
      <c r="F86" s="21"/>
      <c r="G86" s="38"/>
      <c r="H86" s="17"/>
      <c r="I86" s="40"/>
    </row>
    <row r="87" spans="2:9" x14ac:dyDescent="0.25">
      <c r="B87" s="46"/>
      <c r="C87" s="14"/>
      <c r="D87" s="21"/>
      <c r="E87" s="21"/>
      <c r="F87" s="21"/>
      <c r="G87" s="38"/>
      <c r="H87" s="17"/>
      <c r="I87" s="40"/>
    </row>
    <row r="88" spans="2:9" x14ac:dyDescent="0.25">
      <c r="B88" s="46"/>
      <c r="C88" s="14"/>
      <c r="D88" s="21"/>
      <c r="E88" s="21"/>
      <c r="F88" s="21"/>
      <c r="G88" s="38"/>
      <c r="H88" s="17"/>
      <c r="I88" s="40"/>
    </row>
    <row r="89" spans="2:9" x14ac:dyDescent="0.25">
      <c r="B89" s="46"/>
      <c r="C89" s="14"/>
      <c r="D89" s="21"/>
      <c r="E89" s="21"/>
      <c r="F89" s="21"/>
      <c r="G89" s="38"/>
      <c r="H89" s="17"/>
      <c r="I89" s="40"/>
    </row>
    <row r="90" spans="2:9" x14ac:dyDescent="0.25">
      <c r="B90" s="46"/>
      <c r="C90" s="14"/>
      <c r="D90" s="21"/>
      <c r="E90" s="21"/>
      <c r="F90" s="21"/>
      <c r="G90" s="38"/>
      <c r="H90" s="17"/>
      <c r="I90" s="40"/>
    </row>
    <row r="91" spans="2:9" x14ac:dyDescent="0.25">
      <c r="B91" s="46"/>
      <c r="C91" s="14"/>
      <c r="D91" s="21"/>
      <c r="E91" s="21"/>
      <c r="F91" s="21"/>
      <c r="G91" s="38"/>
      <c r="H91" s="17"/>
      <c r="I91" s="40"/>
    </row>
    <row r="92" spans="2:9" x14ac:dyDescent="0.25">
      <c r="B92" s="46"/>
      <c r="C92" s="14"/>
      <c r="D92" s="21"/>
      <c r="E92" s="21"/>
      <c r="F92" s="21"/>
      <c r="G92" s="38"/>
      <c r="H92" s="17"/>
      <c r="I92" s="40"/>
    </row>
    <row r="93" spans="2:9" x14ac:dyDescent="0.25">
      <c r="B93" s="46"/>
      <c r="C93" s="14"/>
      <c r="D93" s="21"/>
      <c r="E93" s="21"/>
      <c r="F93" s="21"/>
      <c r="G93" s="38"/>
      <c r="H93" s="17"/>
      <c r="I93" s="40"/>
    </row>
    <row r="94" spans="2:9" x14ac:dyDescent="0.25">
      <c r="B94" s="46"/>
      <c r="C94" s="14"/>
      <c r="D94" s="21"/>
      <c r="E94" s="21"/>
      <c r="F94" s="21"/>
      <c r="G94" s="38"/>
      <c r="H94" s="17"/>
      <c r="I94" s="40"/>
    </row>
    <row r="95" spans="2:9" x14ac:dyDescent="0.25">
      <c r="B95" s="46"/>
      <c r="C95" s="14"/>
      <c r="D95" s="21"/>
      <c r="E95" s="21"/>
      <c r="F95" s="21"/>
      <c r="G95" s="38"/>
      <c r="H95" s="17"/>
      <c r="I95" s="40"/>
    </row>
    <row r="96" spans="2:9" x14ac:dyDescent="0.25">
      <c r="B96" s="46"/>
      <c r="C96" s="14"/>
      <c r="D96" s="21"/>
      <c r="E96" s="21"/>
      <c r="F96" s="21"/>
      <c r="G96" s="38"/>
      <c r="H96" s="17"/>
      <c r="I96" s="40"/>
    </row>
    <row r="97" spans="2:9" x14ac:dyDescent="0.25">
      <c r="B97" s="46"/>
      <c r="C97" s="14"/>
      <c r="D97" s="21"/>
      <c r="E97" s="21"/>
      <c r="F97" s="21"/>
      <c r="G97" s="38"/>
      <c r="H97" s="17"/>
      <c r="I97" s="40"/>
    </row>
    <row r="98" spans="2:9" x14ac:dyDescent="0.25">
      <c r="B98" s="46"/>
      <c r="C98" s="14"/>
      <c r="D98" s="21"/>
      <c r="E98" s="21"/>
      <c r="F98" s="21"/>
      <c r="G98" s="38"/>
      <c r="H98" s="17"/>
      <c r="I98" s="40"/>
    </row>
    <row r="99" spans="2:9" x14ac:dyDescent="0.25">
      <c r="B99" s="46"/>
      <c r="C99" s="14"/>
      <c r="D99" s="21"/>
      <c r="E99" s="21"/>
      <c r="F99" s="21"/>
      <c r="G99" s="38"/>
      <c r="H99" s="17"/>
      <c r="I99" s="40"/>
    </row>
    <row r="100" spans="2:9" x14ac:dyDescent="0.25">
      <c r="B100" s="46"/>
      <c r="C100" s="14"/>
      <c r="D100" s="21"/>
      <c r="E100" s="21"/>
      <c r="F100" s="21"/>
      <c r="G100" s="38"/>
      <c r="H100" s="17"/>
      <c r="I100" s="40"/>
    </row>
    <row r="101" spans="2:9" x14ac:dyDescent="0.25">
      <c r="B101" s="46"/>
      <c r="C101" s="14"/>
      <c r="D101" s="21"/>
      <c r="E101" s="21"/>
      <c r="F101" s="21"/>
      <c r="G101" s="38"/>
      <c r="H101" s="17"/>
      <c r="I101" s="40"/>
    </row>
    <row r="102" spans="2:9" x14ac:dyDescent="0.25">
      <c r="B102" s="46"/>
      <c r="C102" s="14"/>
      <c r="D102" s="21"/>
      <c r="E102" s="21"/>
      <c r="F102" s="21"/>
      <c r="G102" s="38"/>
      <c r="H102" s="17"/>
      <c r="I102" s="40"/>
    </row>
    <row r="103" spans="2:9" x14ac:dyDescent="0.25">
      <c r="B103" s="46"/>
      <c r="C103" s="14"/>
      <c r="D103" s="21"/>
      <c r="E103" s="21"/>
      <c r="F103" s="21"/>
      <c r="G103" s="38"/>
      <c r="H103" s="17"/>
      <c r="I103" s="40"/>
    </row>
    <row r="104" spans="2:9" x14ac:dyDescent="0.25">
      <c r="B104" s="46"/>
      <c r="C104" s="14"/>
      <c r="D104" s="21"/>
      <c r="E104" s="21"/>
      <c r="F104" s="21"/>
      <c r="G104" s="38"/>
      <c r="H104" s="17"/>
      <c r="I104" s="40"/>
    </row>
    <row r="105" spans="2:9" x14ac:dyDescent="0.25">
      <c r="B105" s="46"/>
      <c r="C105" s="14"/>
      <c r="D105" s="21"/>
      <c r="E105" s="21"/>
      <c r="F105" s="21"/>
      <c r="G105" s="38"/>
      <c r="H105" s="17"/>
      <c r="I105" s="40"/>
    </row>
    <row r="106" spans="2:9" x14ac:dyDescent="0.25">
      <c r="B106" s="46"/>
      <c r="C106" s="14"/>
      <c r="D106" s="21"/>
      <c r="E106" s="21"/>
      <c r="F106" s="21"/>
      <c r="G106" s="38"/>
      <c r="H106" s="17"/>
      <c r="I106" s="40"/>
    </row>
    <row r="107" spans="2:9" x14ac:dyDescent="0.25">
      <c r="B107" s="46"/>
      <c r="C107" s="14"/>
      <c r="D107" s="21"/>
      <c r="E107" s="21"/>
      <c r="F107" s="21"/>
      <c r="G107" s="38"/>
      <c r="H107" s="17"/>
      <c r="I107" s="40"/>
    </row>
    <row r="108" spans="2:9" x14ac:dyDescent="0.25">
      <c r="B108" s="46"/>
      <c r="C108" s="14"/>
      <c r="D108" s="21"/>
      <c r="E108" s="21"/>
      <c r="F108" s="21"/>
      <c r="G108" s="38"/>
      <c r="H108" s="17"/>
      <c r="I108" s="40"/>
    </row>
    <row r="109" spans="2:9" x14ac:dyDescent="0.25">
      <c r="B109" s="46"/>
      <c r="C109" s="14"/>
      <c r="D109" s="21"/>
      <c r="E109" s="21"/>
      <c r="F109" s="21"/>
      <c r="G109" s="38"/>
      <c r="H109" s="17"/>
      <c r="I109" s="40"/>
    </row>
    <row r="110" spans="2:9" x14ac:dyDescent="0.25">
      <c r="B110" s="46"/>
      <c r="C110" s="14"/>
      <c r="D110" s="21"/>
      <c r="E110" s="21"/>
      <c r="F110" s="21"/>
      <c r="G110" s="38"/>
      <c r="H110" s="17"/>
      <c r="I110" s="40"/>
    </row>
    <row r="111" spans="2:9" x14ac:dyDescent="0.25">
      <c r="B111" s="46"/>
      <c r="C111" s="14"/>
      <c r="D111" s="21"/>
      <c r="E111" s="21"/>
      <c r="F111" s="21"/>
      <c r="G111" s="38"/>
      <c r="H111" s="17"/>
      <c r="I111" s="40"/>
    </row>
    <row r="112" spans="2:9" x14ac:dyDescent="0.25">
      <c r="B112" s="46"/>
      <c r="C112" s="14"/>
      <c r="D112" s="21"/>
      <c r="E112" s="21"/>
      <c r="F112" s="21"/>
      <c r="G112" s="38"/>
      <c r="H112" s="17"/>
      <c r="I112" s="40"/>
    </row>
    <row r="113" spans="2:9" x14ac:dyDescent="0.25">
      <c r="B113" s="46"/>
      <c r="C113" s="14"/>
      <c r="D113" s="21"/>
      <c r="E113" s="21"/>
      <c r="F113" s="21"/>
      <c r="G113" s="38"/>
      <c r="H113" s="17"/>
      <c r="I113" s="40"/>
    </row>
    <row r="114" spans="2:9" x14ac:dyDescent="0.25">
      <c r="B114" s="46"/>
      <c r="C114" s="14"/>
      <c r="D114" s="21"/>
      <c r="E114" s="21"/>
      <c r="F114" s="21"/>
      <c r="G114" s="38"/>
      <c r="H114" s="17"/>
      <c r="I114" s="40"/>
    </row>
    <row r="115" spans="2:9" x14ac:dyDescent="0.25">
      <c r="B115" s="46"/>
      <c r="C115" s="14"/>
      <c r="D115" s="21"/>
      <c r="E115" s="21"/>
      <c r="F115" s="21"/>
      <c r="G115" s="38"/>
      <c r="H115" s="17"/>
      <c r="I115" s="40"/>
    </row>
    <row r="116" spans="2:9" x14ac:dyDescent="0.25">
      <c r="B116" s="46"/>
      <c r="C116" s="14"/>
      <c r="D116" s="21"/>
      <c r="E116" s="21"/>
      <c r="F116" s="21"/>
      <c r="G116" s="38"/>
      <c r="H116" s="17"/>
      <c r="I116" s="40"/>
    </row>
    <row r="117" spans="2:9" x14ac:dyDescent="0.25">
      <c r="B117" s="46"/>
      <c r="C117" s="14"/>
      <c r="D117" s="21"/>
      <c r="E117" s="21"/>
      <c r="F117" s="21"/>
      <c r="G117" s="38"/>
      <c r="H117" s="17"/>
      <c r="I117" s="40"/>
    </row>
    <row r="118" spans="2:9" x14ac:dyDescent="0.25">
      <c r="B118" s="46"/>
      <c r="C118" s="14"/>
      <c r="D118" s="21"/>
      <c r="E118" s="21"/>
      <c r="F118" s="21"/>
      <c r="G118" s="38"/>
      <c r="H118" s="17"/>
      <c r="I118" s="40"/>
    </row>
    <row r="119" spans="2:9" x14ac:dyDescent="0.25">
      <c r="B119" s="46"/>
      <c r="C119" s="14"/>
      <c r="D119" s="21"/>
      <c r="E119" s="21"/>
      <c r="F119" s="21"/>
      <c r="G119" s="38"/>
      <c r="H119" s="17"/>
      <c r="I119" s="40"/>
    </row>
    <row r="120" spans="2:9" x14ac:dyDescent="0.25">
      <c r="B120" s="46"/>
      <c r="C120" s="14"/>
      <c r="D120" s="21"/>
      <c r="E120" s="21"/>
      <c r="F120" s="21"/>
      <c r="G120" s="38"/>
      <c r="H120" s="17"/>
      <c r="I120" s="40"/>
    </row>
    <row r="121" spans="2:9" ht="12" customHeight="1" x14ac:dyDescent="0.25">
      <c r="B121" s="46"/>
      <c r="C121" s="14"/>
      <c r="D121" s="21"/>
      <c r="E121" s="21"/>
      <c r="F121" s="21"/>
      <c r="G121" s="38"/>
      <c r="H121" s="17"/>
      <c r="I121" s="40"/>
    </row>
    <row r="122" spans="2:9" x14ac:dyDescent="0.25">
      <c r="B122" s="46"/>
      <c r="C122" s="14"/>
      <c r="D122" s="21"/>
      <c r="E122" s="21"/>
      <c r="F122" s="21"/>
      <c r="G122" s="38"/>
      <c r="H122" s="17"/>
      <c r="I122" s="40"/>
    </row>
    <row r="123" spans="2:9" ht="12" customHeight="1" x14ac:dyDescent="0.25">
      <c r="B123" s="46"/>
      <c r="C123" s="14"/>
      <c r="D123" s="21"/>
      <c r="E123" s="21"/>
      <c r="F123" s="21"/>
      <c r="G123" s="38"/>
      <c r="H123" s="17"/>
      <c r="I123" s="40"/>
    </row>
    <row r="124" spans="2:9" x14ac:dyDescent="0.25">
      <c r="B124" s="46"/>
      <c r="C124" s="14"/>
      <c r="D124" s="21"/>
      <c r="E124" s="21"/>
      <c r="F124" s="21"/>
      <c r="G124" s="38"/>
      <c r="H124" s="17"/>
      <c r="I124" s="40"/>
    </row>
    <row r="125" spans="2:9" ht="12" customHeight="1" x14ac:dyDescent="0.25">
      <c r="B125" s="46"/>
      <c r="C125" s="14"/>
      <c r="D125" s="21"/>
      <c r="E125" s="21"/>
      <c r="F125" s="21"/>
      <c r="G125" s="38"/>
      <c r="H125" s="17"/>
      <c r="I125" s="40"/>
    </row>
    <row r="126" spans="2:9" x14ac:dyDescent="0.25">
      <c r="B126" s="46"/>
      <c r="C126" s="14"/>
      <c r="D126" s="21"/>
      <c r="E126" s="21"/>
      <c r="F126" s="21"/>
      <c r="G126" s="38"/>
      <c r="H126" s="17"/>
      <c r="I126" s="40"/>
    </row>
    <row r="127" spans="2:9" ht="12" customHeight="1" x14ac:dyDescent="0.25">
      <c r="B127" s="46"/>
      <c r="C127" s="14"/>
      <c r="D127" s="21"/>
      <c r="E127" s="21"/>
      <c r="F127" s="21"/>
      <c r="G127" s="38"/>
      <c r="H127" s="17"/>
      <c r="I127" s="40"/>
    </row>
    <row r="128" spans="2:9" x14ac:dyDescent="0.25">
      <c r="B128" s="46"/>
      <c r="C128" s="14"/>
      <c r="D128" s="21"/>
      <c r="E128" s="21"/>
      <c r="F128" s="21"/>
      <c r="G128" s="38"/>
      <c r="H128" s="17"/>
      <c r="I128" s="40"/>
    </row>
    <row r="129" spans="2:9" ht="12" customHeight="1" x14ac:dyDescent="0.25">
      <c r="B129" s="46"/>
      <c r="C129" s="14"/>
      <c r="D129" s="21"/>
      <c r="E129" s="21"/>
      <c r="F129" s="21"/>
      <c r="G129" s="38"/>
      <c r="H129" s="17"/>
      <c r="I129" s="40"/>
    </row>
    <row r="130" spans="2:9" x14ac:dyDescent="0.25">
      <c r="B130" s="46"/>
      <c r="C130" s="14"/>
      <c r="D130" s="21"/>
      <c r="E130" s="21"/>
      <c r="F130" s="21"/>
      <c r="G130" s="38"/>
      <c r="H130" s="17"/>
      <c r="I130" s="40"/>
    </row>
    <row r="131" spans="2:9" ht="12" customHeight="1" x14ac:dyDescent="0.25">
      <c r="B131" s="46"/>
      <c r="C131" s="14"/>
      <c r="D131" s="21"/>
      <c r="E131" s="21"/>
      <c r="F131" s="21"/>
      <c r="G131" s="38"/>
      <c r="H131" s="17"/>
      <c r="I131" s="40"/>
    </row>
    <row r="132" spans="2:9" x14ac:dyDescent="0.25">
      <c r="B132" s="46"/>
      <c r="C132" s="14"/>
      <c r="D132" s="21"/>
      <c r="E132" s="21"/>
      <c r="F132" s="21"/>
      <c r="G132" s="38"/>
      <c r="H132" s="17"/>
      <c r="I132" s="40"/>
    </row>
    <row r="133" spans="2:9" ht="12" customHeight="1" x14ac:dyDescent="0.25">
      <c r="B133" s="46"/>
      <c r="C133" s="14"/>
      <c r="D133" s="21"/>
      <c r="E133" s="21"/>
      <c r="F133" s="21"/>
      <c r="G133" s="38"/>
      <c r="H133" s="17"/>
      <c r="I133" s="40"/>
    </row>
    <row r="134" spans="2:9" x14ac:dyDescent="0.25">
      <c r="B134" s="46"/>
      <c r="C134" s="14"/>
      <c r="D134" s="21"/>
      <c r="E134" s="21"/>
      <c r="F134" s="21"/>
      <c r="G134" s="38"/>
      <c r="H134" s="17"/>
      <c r="I134" s="40"/>
    </row>
    <row r="135" spans="2:9" ht="12" customHeight="1" x14ac:dyDescent="0.25">
      <c r="B135" s="46"/>
      <c r="C135" s="14"/>
      <c r="D135" s="21"/>
      <c r="E135" s="21"/>
      <c r="F135" s="21"/>
      <c r="G135" s="38"/>
      <c r="H135" s="17"/>
      <c r="I135" s="40"/>
    </row>
    <row r="136" spans="2:9" s="28" customFormat="1" ht="19.5" customHeight="1" x14ac:dyDescent="0.25">
      <c r="B136" s="135" t="str">
        <f>$B$14</f>
        <v>C13.1</v>
      </c>
      <c r="C136" s="498" t="str">
        <f>"TOTAL CARRIED FORWARD"&amp;IF(H136=H$1," TO SUMMARY (Page C"&amp;Page_A&amp;")","")</f>
        <v>TOTAL CARRIED FORWARD TO SUMMARY (Page C48)</v>
      </c>
      <c r="D136" s="31"/>
      <c r="E136" s="31"/>
      <c r="F136" s="32"/>
      <c r="G136" s="31"/>
      <c r="H136" s="33">
        <f>SUM(H80:H135)</f>
        <v>0</v>
      </c>
      <c r="I136" s="34"/>
    </row>
    <row r="137" spans="2:9" ht="13" x14ac:dyDescent="0.25">
      <c r="B137" s="1108" t="str">
        <f>Client1</f>
        <v>Province of KwaZulu-Natal</v>
      </c>
      <c r="C137" s="1108"/>
      <c r="D137" s="1108"/>
      <c r="E137" s="87"/>
      <c r="F137" s="1109" t="str">
        <f>"Contract No. "&amp;ContractNo</f>
        <v>Contract No. ZNB 00399/00000/HOD/INF/21/T</v>
      </c>
      <c r="G137" s="1109"/>
      <c r="H137" s="1109"/>
    </row>
    <row r="138" spans="2:9" ht="13" x14ac:dyDescent="0.25">
      <c r="B138" s="1108" t="str">
        <f>Client2</f>
        <v>Department of Transport</v>
      </c>
      <c r="C138" s="1108"/>
      <c r="D138" s="1108"/>
      <c r="E138" s="87"/>
      <c r="F138" s="1109"/>
      <c r="G138" s="1109"/>
      <c r="H138" s="1109"/>
    </row>
    <row r="139" spans="2:9" x14ac:dyDescent="0.25">
      <c r="B139" s="1111"/>
      <c r="C139" s="1111"/>
      <c r="D139" s="1111"/>
      <c r="E139" s="78"/>
      <c r="F139" s="1110"/>
      <c r="G139" s="1110"/>
      <c r="H139" s="1110"/>
    </row>
    <row r="140" spans="2:9" ht="13" x14ac:dyDescent="0.25">
      <c r="B140" s="1112" t="s">
        <v>8</v>
      </c>
      <c r="C140" s="1113"/>
      <c r="D140" s="1113"/>
      <c r="E140" s="1113"/>
      <c r="F140" s="1113"/>
      <c r="G140" s="1113"/>
      <c r="H140" s="1125" t="str">
        <f>$H$6</f>
        <v>CHAPTER C13.1</v>
      </c>
      <c r="I140" s="6"/>
    </row>
    <row r="141" spans="2:9" ht="13" x14ac:dyDescent="0.25">
      <c r="B141" s="1117" t="str">
        <f>ContractDescription</f>
        <v>THE CONSTRUCTION OF EARTHWORKS, LAYERWORKS, SURFACING, CULVERTS AND CWAKA RIVER BRIDGE FROM KM 11.600 TO KM 14.000 ON MAIN ROAD P494 IN THE KING CETSHWAYO DISTRICT UNDER EMPANGENI REGION</v>
      </c>
      <c r="C141" s="1118"/>
      <c r="D141" s="1118"/>
      <c r="E141" s="1118"/>
      <c r="F141" s="1118"/>
      <c r="G141" s="1118"/>
      <c r="H141" s="1126"/>
      <c r="I141" s="8"/>
    </row>
    <row r="142" spans="2:9" ht="13" x14ac:dyDescent="0.25">
      <c r="B142" s="1117"/>
      <c r="C142" s="1118"/>
      <c r="D142" s="1118"/>
      <c r="E142" s="1118"/>
      <c r="F142" s="1118"/>
      <c r="G142" s="1118"/>
      <c r="H142" s="1126"/>
      <c r="I142" s="8"/>
    </row>
    <row r="143" spans="2:9" ht="13" x14ac:dyDescent="0.25">
      <c r="B143" s="1119"/>
      <c r="C143" s="1120"/>
      <c r="D143" s="1120"/>
      <c r="E143" s="1120"/>
      <c r="F143" s="1120"/>
      <c r="G143" s="1120"/>
      <c r="H143" s="1127"/>
      <c r="I143" s="8"/>
    </row>
    <row r="144" spans="2:9" s="9" customFormat="1" ht="25" customHeight="1" x14ac:dyDescent="0.25">
      <c r="B144" s="74" t="s">
        <v>0</v>
      </c>
      <c r="C144" s="11" t="s">
        <v>1</v>
      </c>
      <c r="D144" s="11" t="s">
        <v>2</v>
      </c>
      <c r="E144" s="11"/>
      <c r="F144" s="11" t="s">
        <v>3</v>
      </c>
      <c r="G144" s="11" t="s">
        <v>4</v>
      </c>
      <c r="H144" s="11" t="s">
        <v>5</v>
      </c>
      <c r="I144" s="12"/>
    </row>
    <row r="145" spans="2:9" s="28" customFormat="1" ht="19.5" customHeight="1" x14ac:dyDescent="0.25">
      <c r="B145" s="80"/>
      <c r="C145" s="30" t="s">
        <v>27</v>
      </c>
      <c r="D145" s="31"/>
      <c r="E145" s="31"/>
      <c r="F145" s="32"/>
      <c r="G145" s="31"/>
      <c r="H145" s="33">
        <f>H136</f>
        <v>0</v>
      </c>
      <c r="I145" s="34"/>
    </row>
    <row r="146" spans="2:9" ht="11.9" customHeight="1" x14ac:dyDescent="0.25">
      <c r="B146" s="46"/>
      <c r="C146" s="14"/>
      <c r="D146" s="21"/>
      <c r="E146" s="21"/>
      <c r="F146" s="21"/>
      <c r="G146" s="38"/>
      <c r="H146" s="17"/>
      <c r="I146" s="40"/>
    </row>
    <row r="147" spans="2:9" x14ac:dyDescent="0.25">
      <c r="B147" s="46"/>
      <c r="C147" s="14"/>
      <c r="D147" s="21"/>
      <c r="E147" s="21"/>
      <c r="F147" s="21"/>
      <c r="G147" s="38"/>
      <c r="H147" s="17" t="str">
        <f t="shared" ref="H147:H178" si="8">IF(D147="","",F147*G147)</f>
        <v/>
      </c>
      <c r="I147" s="40"/>
    </row>
    <row r="148" spans="2:9" ht="11.9" customHeight="1" x14ac:dyDescent="0.25">
      <c r="B148" s="46"/>
      <c r="C148" s="14"/>
      <c r="D148" s="21"/>
      <c r="E148" s="21"/>
      <c r="F148" s="21"/>
      <c r="G148" s="38"/>
      <c r="H148" s="17" t="str">
        <f t="shared" si="8"/>
        <v/>
      </c>
      <c r="I148" s="40"/>
    </row>
    <row r="149" spans="2:9" x14ac:dyDescent="0.25">
      <c r="B149" s="46"/>
      <c r="C149" s="14"/>
      <c r="D149" s="21"/>
      <c r="E149" s="21"/>
      <c r="F149" s="21"/>
      <c r="G149" s="38"/>
      <c r="H149" s="17" t="str">
        <f t="shared" si="8"/>
        <v/>
      </c>
      <c r="I149" s="40"/>
    </row>
    <row r="150" spans="2:9" ht="11.9" customHeight="1" x14ac:dyDescent="0.25">
      <c r="B150" s="46"/>
      <c r="C150" s="14"/>
      <c r="D150" s="21"/>
      <c r="E150" s="21"/>
      <c r="F150" s="21"/>
      <c r="G150" s="38"/>
      <c r="H150" s="17" t="str">
        <f t="shared" si="8"/>
        <v/>
      </c>
      <c r="I150" s="40"/>
    </row>
    <row r="151" spans="2:9" x14ac:dyDescent="0.25">
      <c r="B151" s="46"/>
      <c r="C151" s="14"/>
      <c r="D151" s="21"/>
      <c r="E151" s="21"/>
      <c r="F151" s="21"/>
      <c r="G151" s="38"/>
      <c r="H151" s="17" t="str">
        <f t="shared" si="8"/>
        <v/>
      </c>
      <c r="I151" s="40"/>
    </row>
    <row r="152" spans="2:9" ht="11.9" customHeight="1" x14ac:dyDescent="0.25">
      <c r="B152" s="46"/>
      <c r="C152" s="14"/>
      <c r="D152" s="21"/>
      <c r="E152" s="21"/>
      <c r="F152" s="21"/>
      <c r="G152" s="38"/>
      <c r="H152" s="17" t="str">
        <f t="shared" si="8"/>
        <v/>
      </c>
      <c r="I152" s="40"/>
    </row>
    <row r="153" spans="2:9" x14ac:dyDescent="0.25">
      <c r="B153" s="46"/>
      <c r="C153" s="14"/>
      <c r="D153" s="21"/>
      <c r="E153" s="21"/>
      <c r="F153" s="21"/>
      <c r="G153" s="38"/>
      <c r="H153" s="17" t="str">
        <f t="shared" si="8"/>
        <v/>
      </c>
      <c r="I153" s="40"/>
    </row>
    <row r="154" spans="2:9" ht="11.9" customHeight="1" x14ac:dyDescent="0.25">
      <c r="B154" s="46"/>
      <c r="C154" s="14"/>
      <c r="D154" s="21"/>
      <c r="E154" s="21"/>
      <c r="F154" s="21"/>
      <c r="G154" s="38"/>
      <c r="H154" s="17" t="str">
        <f t="shared" si="8"/>
        <v/>
      </c>
      <c r="I154" s="40"/>
    </row>
    <row r="155" spans="2:9" x14ac:dyDescent="0.25">
      <c r="B155" s="46"/>
      <c r="C155" s="14"/>
      <c r="D155" s="21"/>
      <c r="E155" s="21"/>
      <c r="F155" s="21"/>
      <c r="G155" s="38"/>
      <c r="H155" s="17" t="str">
        <f t="shared" si="8"/>
        <v/>
      </c>
      <c r="I155" s="40"/>
    </row>
    <row r="156" spans="2:9" ht="11.9" customHeight="1" x14ac:dyDescent="0.25">
      <c r="B156" s="46"/>
      <c r="C156" s="14"/>
      <c r="D156" s="21"/>
      <c r="E156" s="21"/>
      <c r="F156" s="21"/>
      <c r="G156" s="38"/>
      <c r="H156" s="17" t="str">
        <f t="shared" si="8"/>
        <v/>
      </c>
      <c r="I156" s="40"/>
    </row>
    <row r="157" spans="2:9" x14ac:dyDescent="0.25">
      <c r="B157" s="46"/>
      <c r="C157" s="14"/>
      <c r="D157" s="21"/>
      <c r="E157" s="21"/>
      <c r="F157" s="21"/>
      <c r="G157" s="38"/>
      <c r="H157" s="17" t="str">
        <f t="shared" si="8"/>
        <v/>
      </c>
      <c r="I157" s="40"/>
    </row>
    <row r="158" spans="2:9" ht="11.9" customHeight="1" x14ac:dyDescent="0.25">
      <c r="B158" s="46"/>
      <c r="C158" s="14"/>
      <c r="D158" s="21"/>
      <c r="E158" s="21"/>
      <c r="F158" s="21"/>
      <c r="G158" s="38"/>
      <c r="H158" s="17" t="str">
        <f t="shared" si="8"/>
        <v/>
      </c>
      <c r="I158" s="40"/>
    </row>
    <row r="159" spans="2:9" x14ac:dyDescent="0.25">
      <c r="B159" s="46"/>
      <c r="C159" s="14"/>
      <c r="D159" s="21"/>
      <c r="E159" s="21"/>
      <c r="F159" s="21"/>
      <c r="G159" s="38"/>
      <c r="H159" s="17" t="str">
        <f t="shared" si="8"/>
        <v/>
      </c>
      <c r="I159" s="40"/>
    </row>
    <row r="160" spans="2:9" ht="11.9" customHeight="1" x14ac:dyDescent="0.25">
      <c r="B160" s="46"/>
      <c r="C160" s="14"/>
      <c r="D160" s="21"/>
      <c r="E160" s="21"/>
      <c r="F160" s="21"/>
      <c r="G160" s="38"/>
      <c r="H160" s="17" t="str">
        <f t="shared" si="8"/>
        <v/>
      </c>
      <c r="I160" s="40"/>
    </row>
    <row r="161" spans="2:9" x14ac:dyDescent="0.25">
      <c r="B161" s="46"/>
      <c r="C161" s="14"/>
      <c r="D161" s="21"/>
      <c r="E161" s="21"/>
      <c r="F161" s="21"/>
      <c r="G161" s="38"/>
      <c r="H161" s="17" t="str">
        <f t="shared" si="8"/>
        <v/>
      </c>
      <c r="I161" s="40"/>
    </row>
    <row r="162" spans="2:9" ht="11.9" customHeight="1" x14ac:dyDescent="0.25">
      <c r="B162" s="46"/>
      <c r="C162" s="14"/>
      <c r="D162" s="21"/>
      <c r="E162" s="21"/>
      <c r="F162" s="21"/>
      <c r="G162" s="38"/>
      <c r="H162" s="17" t="str">
        <f t="shared" si="8"/>
        <v/>
      </c>
      <c r="I162" s="40"/>
    </row>
    <row r="163" spans="2:9" x14ac:dyDescent="0.25">
      <c r="B163" s="46"/>
      <c r="C163" s="14"/>
      <c r="D163" s="21"/>
      <c r="E163" s="21"/>
      <c r="F163" s="21"/>
      <c r="G163" s="38"/>
      <c r="H163" s="17" t="str">
        <f t="shared" si="8"/>
        <v/>
      </c>
      <c r="I163" s="40"/>
    </row>
    <row r="164" spans="2:9" ht="11.9" customHeight="1" x14ac:dyDescent="0.25">
      <c r="B164" s="46"/>
      <c r="C164" s="14"/>
      <c r="D164" s="21"/>
      <c r="E164" s="21"/>
      <c r="F164" s="21"/>
      <c r="G164" s="38"/>
      <c r="H164" s="17" t="str">
        <f t="shared" si="8"/>
        <v/>
      </c>
      <c r="I164" s="40"/>
    </row>
    <row r="165" spans="2:9" x14ac:dyDescent="0.25">
      <c r="B165" s="46"/>
      <c r="C165" s="14"/>
      <c r="D165" s="21"/>
      <c r="E165" s="21"/>
      <c r="F165" s="21"/>
      <c r="G165" s="38"/>
      <c r="H165" s="17" t="str">
        <f t="shared" si="8"/>
        <v/>
      </c>
      <c r="I165" s="40"/>
    </row>
    <row r="166" spans="2:9" ht="11.9" customHeight="1" x14ac:dyDescent="0.25">
      <c r="B166" s="46"/>
      <c r="C166" s="14"/>
      <c r="D166" s="21"/>
      <c r="E166" s="21"/>
      <c r="F166" s="21"/>
      <c r="G166" s="38"/>
      <c r="H166" s="17" t="str">
        <f t="shared" si="8"/>
        <v/>
      </c>
      <c r="I166" s="40"/>
    </row>
    <row r="167" spans="2:9" x14ac:dyDescent="0.25">
      <c r="B167" s="46"/>
      <c r="C167" s="14"/>
      <c r="D167" s="21"/>
      <c r="E167" s="21"/>
      <c r="F167" s="21"/>
      <c r="G167" s="38"/>
      <c r="H167" s="17" t="str">
        <f t="shared" si="8"/>
        <v/>
      </c>
      <c r="I167" s="40"/>
    </row>
    <row r="168" spans="2:9" ht="11.9" customHeight="1" x14ac:dyDescent="0.25">
      <c r="B168" s="46"/>
      <c r="C168" s="14"/>
      <c r="D168" s="21"/>
      <c r="E168" s="21"/>
      <c r="F168" s="21"/>
      <c r="G168" s="38"/>
      <c r="H168" s="17" t="str">
        <f t="shared" si="8"/>
        <v/>
      </c>
      <c r="I168" s="40"/>
    </row>
    <row r="169" spans="2:9" x14ac:dyDescent="0.25">
      <c r="B169" s="46"/>
      <c r="C169" s="14"/>
      <c r="D169" s="21"/>
      <c r="E169" s="21"/>
      <c r="F169" s="21"/>
      <c r="G169" s="38"/>
      <c r="H169" s="17" t="str">
        <f t="shared" si="8"/>
        <v/>
      </c>
      <c r="I169" s="40"/>
    </row>
    <row r="170" spans="2:9" ht="11.9" customHeight="1" x14ac:dyDescent="0.25">
      <c r="B170" s="46"/>
      <c r="C170" s="14"/>
      <c r="D170" s="21"/>
      <c r="E170" s="21"/>
      <c r="F170" s="21"/>
      <c r="G170" s="38"/>
      <c r="H170" s="17" t="str">
        <f t="shared" si="8"/>
        <v/>
      </c>
      <c r="I170" s="40"/>
    </row>
    <row r="171" spans="2:9" x14ac:dyDescent="0.25">
      <c r="B171" s="46"/>
      <c r="C171" s="14"/>
      <c r="D171" s="21"/>
      <c r="E171" s="21"/>
      <c r="F171" s="21"/>
      <c r="G171" s="38"/>
      <c r="H171" s="17" t="str">
        <f t="shared" si="8"/>
        <v/>
      </c>
      <c r="I171" s="40"/>
    </row>
    <row r="172" spans="2:9" ht="11.9" customHeight="1" x14ac:dyDescent="0.25">
      <c r="B172" s="46"/>
      <c r="C172" s="14"/>
      <c r="D172" s="21"/>
      <c r="E172" s="21"/>
      <c r="F172" s="21"/>
      <c r="G172" s="38"/>
      <c r="H172" s="17" t="str">
        <f t="shared" si="8"/>
        <v/>
      </c>
      <c r="I172" s="40"/>
    </row>
    <row r="173" spans="2:9" x14ac:dyDescent="0.25">
      <c r="B173" s="46"/>
      <c r="C173" s="14"/>
      <c r="D173" s="21"/>
      <c r="E173" s="21"/>
      <c r="F173" s="21"/>
      <c r="G173" s="38"/>
      <c r="H173" s="17" t="str">
        <f t="shared" si="8"/>
        <v/>
      </c>
      <c r="I173" s="40"/>
    </row>
    <row r="174" spans="2:9" ht="11.9" customHeight="1" x14ac:dyDescent="0.25">
      <c r="B174" s="46"/>
      <c r="C174" s="14"/>
      <c r="D174" s="21"/>
      <c r="E174" s="21"/>
      <c r="F174" s="21"/>
      <c r="G174" s="38"/>
      <c r="H174" s="17" t="str">
        <f t="shared" si="8"/>
        <v/>
      </c>
      <c r="I174" s="40"/>
    </row>
    <row r="175" spans="2:9" x14ac:dyDescent="0.25">
      <c r="B175" s="46"/>
      <c r="C175" s="14"/>
      <c r="D175" s="21"/>
      <c r="E175" s="21"/>
      <c r="F175" s="21"/>
      <c r="G175" s="38"/>
      <c r="H175" s="17" t="str">
        <f t="shared" si="8"/>
        <v/>
      </c>
      <c r="I175" s="40"/>
    </row>
    <row r="176" spans="2:9" ht="11.9" customHeight="1" x14ac:dyDescent="0.25">
      <c r="B176" s="46"/>
      <c r="C176" s="14"/>
      <c r="D176" s="21"/>
      <c r="E176" s="21"/>
      <c r="F176" s="21"/>
      <c r="G176" s="38"/>
      <c r="H176" s="17" t="str">
        <f t="shared" si="8"/>
        <v/>
      </c>
      <c r="I176" s="40"/>
    </row>
    <row r="177" spans="2:9" x14ac:dyDescent="0.25">
      <c r="B177" s="46"/>
      <c r="C177" s="14"/>
      <c r="D177" s="21"/>
      <c r="E177" s="21"/>
      <c r="F177" s="21"/>
      <c r="G177" s="38"/>
      <c r="H177" s="17" t="str">
        <f t="shared" si="8"/>
        <v/>
      </c>
      <c r="I177" s="40"/>
    </row>
    <row r="178" spans="2:9" ht="11.9" customHeight="1" x14ac:dyDescent="0.25">
      <c r="B178" s="46"/>
      <c r="C178" s="14"/>
      <c r="D178" s="21"/>
      <c r="E178" s="21"/>
      <c r="F178" s="21"/>
      <c r="G178" s="38"/>
      <c r="H178" s="17" t="str">
        <f t="shared" si="8"/>
        <v/>
      </c>
      <c r="I178" s="40"/>
    </row>
    <row r="179" spans="2:9" ht="13.5" customHeight="1" x14ac:dyDescent="0.25">
      <c r="B179" s="46"/>
      <c r="C179" s="14"/>
      <c r="D179" s="21"/>
      <c r="E179" s="21"/>
      <c r="F179" s="21"/>
      <c r="G179" s="38"/>
      <c r="H179" s="17" t="str">
        <f t="shared" ref="H179:H204" si="9">IF(D179="","",F179*G179)</f>
        <v/>
      </c>
      <c r="I179" s="40"/>
    </row>
    <row r="180" spans="2:9" ht="11.9" customHeight="1" x14ac:dyDescent="0.25">
      <c r="B180" s="46"/>
      <c r="C180" s="14"/>
      <c r="D180" s="21"/>
      <c r="E180" s="21"/>
      <c r="F180" s="21"/>
      <c r="G180" s="38"/>
      <c r="H180" s="17" t="str">
        <f t="shared" si="9"/>
        <v/>
      </c>
      <c r="I180" s="40"/>
    </row>
    <row r="181" spans="2:9" x14ac:dyDescent="0.25">
      <c r="B181" s="46"/>
      <c r="C181" s="14"/>
      <c r="D181" s="21"/>
      <c r="E181" s="21"/>
      <c r="F181" s="21"/>
      <c r="G181" s="38"/>
      <c r="H181" s="17" t="str">
        <f t="shared" si="9"/>
        <v/>
      </c>
      <c r="I181" s="40"/>
    </row>
    <row r="182" spans="2:9" ht="11.9" customHeight="1" x14ac:dyDescent="0.25">
      <c r="B182" s="46"/>
      <c r="C182" s="14"/>
      <c r="D182" s="21"/>
      <c r="E182" s="21"/>
      <c r="F182" s="21"/>
      <c r="G182" s="38"/>
      <c r="H182" s="17" t="str">
        <f t="shared" si="9"/>
        <v/>
      </c>
      <c r="I182" s="40"/>
    </row>
    <row r="183" spans="2:9" x14ac:dyDescent="0.25">
      <c r="B183" s="46"/>
      <c r="C183" s="14"/>
      <c r="D183" s="21"/>
      <c r="E183" s="21"/>
      <c r="F183" s="21"/>
      <c r="G183" s="38"/>
      <c r="H183" s="17" t="str">
        <f t="shared" si="9"/>
        <v/>
      </c>
      <c r="I183" s="40"/>
    </row>
    <row r="184" spans="2:9" ht="11.9" customHeight="1" x14ac:dyDescent="0.25">
      <c r="B184" s="46"/>
      <c r="C184" s="14"/>
      <c r="D184" s="21"/>
      <c r="E184" s="21"/>
      <c r="F184" s="21"/>
      <c r="G184" s="38"/>
      <c r="H184" s="17" t="str">
        <f t="shared" si="9"/>
        <v/>
      </c>
      <c r="I184" s="40"/>
    </row>
    <row r="185" spans="2:9" x14ac:dyDescent="0.25">
      <c r="B185" s="46"/>
      <c r="C185" s="14"/>
      <c r="D185" s="21"/>
      <c r="E185" s="21"/>
      <c r="F185" s="21"/>
      <c r="G185" s="38"/>
      <c r="H185" s="17" t="str">
        <f t="shared" si="9"/>
        <v/>
      </c>
      <c r="I185" s="40"/>
    </row>
    <row r="186" spans="2:9" ht="11.9" customHeight="1" x14ac:dyDescent="0.25">
      <c r="B186" s="46"/>
      <c r="C186" s="14"/>
      <c r="D186" s="21"/>
      <c r="E186" s="21"/>
      <c r="F186" s="21"/>
      <c r="G186" s="38"/>
      <c r="H186" s="17" t="str">
        <f t="shared" si="9"/>
        <v/>
      </c>
      <c r="I186" s="40"/>
    </row>
    <row r="187" spans="2:9" x14ac:dyDescent="0.25">
      <c r="B187" s="46"/>
      <c r="C187" s="14"/>
      <c r="D187" s="21"/>
      <c r="E187" s="21"/>
      <c r="F187" s="21"/>
      <c r="G187" s="38"/>
      <c r="H187" s="17" t="str">
        <f t="shared" si="9"/>
        <v/>
      </c>
      <c r="I187" s="40"/>
    </row>
    <row r="188" spans="2:9" ht="11.9" customHeight="1" x14ac:dyDescent="0.25">
      <c r="B188" s="46"/>
      <c r="C188" s="14"/>
      <c r="D188" s="21"/>
      <c r="E188" s="21"/>
      <c r="F188" s="21"/>
      <c r="G188" s="38"/>
      <c r="H188" s="17" t="str">
        <f t="shared" si="9"/>
        <v/>
      </c>
      <c r="I188" s="40"/>
    </row>
    <row r="189" spans="2:9" x14ac:dyDescent="0.25">
      <c r="B189" s="46"/>
      <c r="C189" s="14"/>
      <c r="D189" s="21"/>
      <c r="E189" s="21"/>
      <c r="F189" s="21"/>
      <c r="G189" s="38"/>
      <c r="H189" s="17" t="str">
        <f t="shared" si="9"/>
        <v/>
      </c>
      <c r="I189" s="40"/>
    </row>
    <row r="190" spans="2:9" ht="11.9" customHeight="1" x14ac:dyDescent="0.25">
      <c r="B190" s="46"/>
      <c r="C190" s="14"/>
      <c r="D190" s="21"/>
      <c r="E190" s="21"/>
      <c r="F190" s="21"/>
      <c r="G190" s="38"/>
      <c r="H190" s="17" t="str">
        <f t="shared" si="9"/>
        <v/>
      </c>
      <c r="I190" s="40"/>
    </row>
    <row r="191" spans="2:9" x14ac:dyDescent="0.25">
      <c r="B191" s="46"/>
      <c r="C191" s="14"/>
      <c r="D191" s="21"/>
      <c r="E191" s="21"/>
      <c r="F191" s="21"/>
      <c r="G191" s="38"/>
      <c r="H191" s="17" t="str">
        <f t="shared" si="9"/>
        <v/>
      </c>
      <c r="I191" s="40"/>
    </row>
    <row r="192" spans="2:9" ht="11.9" customHeight="1" x14ac:dyDescent="0.25">
      <c r="B192" s="46"/>
      <c r="C192" s="14"/>
      <c r="D192" s="21"/>
      <c r="E192" s="21"/>
      <c r="F192" s="21"/>
      <c r="G192" s="38"/>
      <c r="H192" s="17" t="str">
        <f t="shared" si="9"/>
        <v/>
      </c>
      <c r="I192" s="40"/>
    </row>
    <row r="193" spans="2:9" x14ac:dyDescent="0.25">
      <c r="B193" s="46"/>
      <c r="C193" s="14"/>
      <c r="D193" s="21"/>
      <c r="E193" s="21"/>
      <c r="F193" s="21"/>
      <c r="G193" s="38"/>
      <c r="H193" s="17" t="str">
        <f t="shared" si="9"/>
        <v/>
      </c>
      <c r="I193" s="40"/>
    </row>
    <row r="194" spans="2:9" ht="11.9" customHeight="1" x14ac:dyDescent="0.25">
      <c r="B194" s="46"/>
      <c r="C194" s="14"/>
      <c r="D194" s="21"/>
      <c r="E194" s="21"/>
      <c r="F194" s="21"/>
      <c r="G194" s="38"/>
      <c r="H194" s="17" t="str">
        <f t="shared" si="9"/>
        <v/>
      </c>
      <c r="I194" s="40"/>
    </row>
    <row r="195" spans="2:9" x14ac:dyDescent="0.25">
      <c r="B195" s="46"/>
      <c r="C195" s="14"/>
      <c r="D195" s="21"/>
      <c r="E195" s="21"/>
      <c r="F195" s="21"/>
      <c r="G195" s="38"/>
      <c r="H195" s="17" t="str">
        <f t="shared" si="9"/>
        <v/>
      </c>
      <c r="I195" s="40"/>
    </row>
    <row r="196" spans="2:9" ht="11.9" customHeight="1" x14ac:dyDescent="0.25">
      <c r="B196" s="46"/>
      <c r="C196" s="14"/>
      <c r="D196" s="21"/>
      <c r="E196" s="21"/>
      <c r="F196" s="21"/>
      <c r="G196" s="38"/>
      <c r="H196" s="17" t="str">
        <f t="shared" si="9"/>
        <v/>
      </c>
      <c r="I196" s="40"/>
    </row>
    <row r="197" spans="2:9" x14ac:dyDescent="0.25">
      <c r="B197" s="46"/>
      <c r="C197" s="14"/>
      <c r="D197" s="21"/>
      <c r="E197" s="21"/>
      <c r="F197" s="21"/>
      <c r="G197" s="38"/>
      <c r="H197" s="17" t="str">
        <f t="shared" si="9"/>
        <v/>
      </c>
      <c r="I197" s="40"/>
    </row>
    <row r="198" spans="2:9" ht="11.9" customHeight="1" x14ac:dyDescent="0.25">
      <c r="B198" s="46"/>
      <c r="C198" s="14"/>
      <c r="D198" s="21"/>
      <c r="E198" s="21"/>
      <c r="F198" s="21"/>
      <c r="G198" s="38"/>
      <c r="H198" s="17" t="str">
        <f t="shared" si="9"/>
        <v/>
      </c>
      <c r="I198" s="40"/>
    </row>
    <row r="199" spans="2:9" x14ac:dyDescent="0.25">
      <c r="B199" s="46"/>
      <c r="C199" s="14"/>
      <c r="D199" s="21"/>
      <c r="E199" s="21"/>
      <c r="F199" s="21"/>
      <c r="G199" s="38"/>
      <c r="H199" s="17" t="str">
        <f t="shared" si="9"/>
        <v/>
      </c>
      <c r="I199" s="40"/>
    </row>
    <row r="200" spans="2:9" ht="11.9" customHeight="1" x14ac:dyDescent="0.25">
      <c r="B200" s="46"/>
      <c r="C200" s="14"/>
      <c r="D200" s="21"/>
      <c r="E200" s="21"/>
      <c r="F200" s="21"/>
      <c r="G200" s="38"/>
      <c r="H200" s="17" t="str">
        <f t="shared" si="9"/>
        <v/>
      </c>
      <c r="I200" s="40"/>
    </row>
    <row r="201" spans="2:9" x14ac:dyDescent="0.25">
      <c r="B201" s="46"/>
      <c r="C201" s="14"/>
      <c r="D201" s="21"/>
      <c r="E201" s="21"/>
      <c r="F201" s="21"/>
      <c r="G201" s="38"/>
      <c r="H201" s="17" t="str">
        <f t="shared" si="9"/>
        <v/>
      </c>
      <c r="I201" s="40"/>
    </row>
    <row r="202" spans="2:9" ht="11.9" customHeight="1" x14ac:dyDescent="0.25">
      <c r="B202" s="46"/>
      <c r="C202" s="14"/>
      <c r="D202" s="21"/>
      <c r="E202" s="21"/>
      <c r="F202" s="21"/>
      <c r="G202" s="38"/>
      <c r="H202" s="17" t="str">
        <f t="shared" si="9"/>
        <v/>
      </c>
      <c r="I202" s="40"/>
    </row>
    <row r="203" spans="2:9" x14ac:dyDescent="0.25">
      <c r="B203" s="46"/>
      <c r="C203" s="14"/>
      <c r="D203" s="21"/>
      <c r="E203" s="21"/>
      <c r="F203" s="21"/>
      <c r="G203" s="38"/>
      <c r="H203" s="17" t="str">
        <f t="shared" si="9"/>
        <v/>
      </c>
      <c r="I203" s="40"/>
    </row>
    <row r="204" spans="2:9" ht="11.9" customHeight="1" x14ac:dyDescent="0.25">
      <c r="B204" s="46"/>
      <c r="C204" s="14"/>
      <c r="D204" s="21"/>
      <c r="E204" s="21"/>
      <c r="F204" s="21"/>
      <c r="G204" s="38"/>
      <c r="H204" s="17" t="str">
        <f t="shared" si="9"/>
        <v/>
      </c>
      <c r="I204" s="40"/>
    </row>
    <row r="205" spans="2:9" s="28" customFormat="1" ht="24.75" customHeight="1" x14ac:dyDescent="0.25">
      <c r="B205" s="144" t="str">
        <f>$B$14</f>
        <v>C13.1</v>
      </c>
      <c r="C205" s="498" t="str">
        <f>"TOTAL CARRIED FORWARD"&amp;IF(H205=H$1," TO SUMMARY (Page C"&amp;Page_A&amp;")","")</f>
        <v>TOTAL CARRIED FORWARD TO SUMMARY (Page C48)</v>
      </c>
      <c r="D205" s="31"/>
      <c r="E205" s="31"/>
      <c r="F205" s="32"/>
      <c r="G205" s="31"/>
      <c r="H205" s="33">
        <f>SUM(H145:H204)</f>
        <v>0</v>
      </c>
      <c r="I205" s="34"/>
    </row>
  </sheetData>
  <mergeCells count="18">
    <mergeCell ref="F3:H3"/>
    <mergeCell ref="H6:H11"/>
    <mergeCell ref="B6:G6"/>
    <mergeCell ref="B72:D72"/>
    <mergeCell ref="F72:H74"/>
    <mergeCell ref="B73:D73"/>
    <mergeCell ref="B74:D74"/>
    <mergeCell ref="B7:G9"/>
    <mergeCell ref="B140:G140"/>
    <mergeCell ref="H140:H143"/>
    <mergeCell ref="B141:G143"/>
    <mergeCell ref="B75:G75"/>
    <mergeCell ref="H75:H78"/>
    <mergeCell ref="B76:G78"/>
    <mergeCell ref="B137:D137"/>
    <mergeCell ref="F137:H139"/>
    <mergeCell ref="B138:D138"/>
    <mergeCell ref="B139:D139"/>
  </mergeCells>
  <phoneticPr fontId="15" type="noConversion"/>
  <conditionalFormatting sqref="G13:H71 G80:H136 G145:H205">
    <cfRule type="expression" dxfId="66" priority="1">
      <formula>AND(_Show_Price=FALSE,$D13&lt;&gt;"PC Sum",$D13&lt;&gt;"P C Sum",$D13&lt;&gt;"Prov Sum",$D13&lt;&gt;"P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sheetPr>
  <dimension ref="A1:N75"/>
  <sheetViews>
    <sheetView view="pageBreakPreview" zoomScale="90" zoomScaleNormal="125" zoomScaleSheetLayoutView="90" zoomScalePageLayoutView="125" workbookViewId="0">
      <pane ySplit="2" topLeftCell="A6"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MAX(H2:H213)</f>
        <v>180000</v>
      </c>
      <c r="I1" s="247">
        <f>MAX(I2:I213)</f>
        <v>0</v>
      </c>
      <c r="J1" s="248"/>
      <c r="K1" s="249"/>
      <c r="L1" s="247">
        <f>MAX(L2:L213)</f>
        <v>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"&amp;B14</f>
        <v>CHAPTER C13.6</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12.75" customHeight="1" x14ac:dyDescent="0.25">
      <c r="B9" s="1117"/>
      <c r="C9" s="1118"/>
      <c r="D9" s="1118"/>
      <c r="E9" s="1118"/>
      <c r="F9" s="1118"/>
      <c r="G9" s="1118"/>
      <c r="H9" s="1122"/>
      <c r="I9" s="8"/>
    </row>
    <row r="10" spans="1:14" ht="12.75" customHeight="1" x14ac:dyDescent="0.25">
      <c r="B10" s="656" t="s">
        <v>1775</v>
      </c>
      <c r="C10" s="641"/>
      <c r="D10" s="12"/>
      <c r="E10" s="12"/>
      <c r="F10" s="641"/>
      <c r="G10" s="641"/>
      <c r="H10" s="1122"/>
      <c r="I10" s="8"/>
    </row>
    <row r="11" spans="1:14" ht="7.5" customHeight="1" x14ac:dyDescent="0.25">
      <c r="B11" s="611"/>
      <c r="C11" s="612"/>
      <c r="D11" s="679"/>
      <c r="E11" s="679"/>
      <c r="F11" s="612"/>
      <c r="G11" s="612"/>
      <c r="H11" s="1123"/>
      <c r="I11" s="8"/>
    </row>
    <row r="12" spans="1:14" s="9" customFormat="1" ht="25" customHeight="1" x14ac:dyDescent="0.25">
      <c r="B12" s="10" t="s">
        <v>0</v>
      </c>
      <c r="C12" s="11" t="s">
        <v>1</v>
      </c>
      <c r="D12" s="11" t="s">
        <v>2</v>
      </c>
      <c r="E12" s="11" t="s">
        <v>996</v>
      </c>
      <c r="F12" s="11" t="s">
        <v>3</v>
      </c>
      <c r="G12" s="11" t="s">
        <v>4</v>
      </c>
      <c r="H12" s="11" t="s">
        <v>5</v>
      </c>
      <c r="I12" s="12"/>
      <c r="J12" s="408" t="s">
        <v>996</v>
      </c>
      <c r="K12" s="253" t="s">
        <v>997</v>
      </c>
      <c r="L12" s="253" t="s">
        <v>998</v>
      </c>
      <c r="M12" s="253" t="s">
        <v>999</v>
      </c>
    </row>
    <row r="13" spans="1:14" x14ac:dyDescent="0.25">
      <c r="B13" s="58"/>
      <c r="C13" s="14"/>
      <c r="D13" s="15"/>
      <c r="E13" s="15"/>
      <c r="F13" s="15"/>
      <c r="G13" s="411"/>
      <c r="H13" s="17" t="str">
        <f t="shared" ref="H13:H74" si="0">IF(D13="","",F13*G13)</f>
        <v/>
      </c>
      <c r="I13" s="18"/>
      <c r="J13" s="61"/>
      <c r="K13" s="399"/>
      <c r="L13" s="420" t="str">
        <f t="shared" ref="L13" si="1">IF(J13="","",F13*K13)</f>
        <v/>
      </c>
      <c r="M13" s="401" t="str">
        <f t="shared" ref="M13" si="2">IF(J13="","",IF(SUM(H13)=0,"",L13/H13))</f>
        <v/>
      </c>
    </row>
    <row r="14" spans="1:14" ht="13" x14ac:dyDescent="0.25">
      <c r="B14" s="146" t="s">
        <v>335</v>
      </c>
      <c r="C14" s="19" t="s">
        <v>334</v>
      </c>
      <c r="D14" s="15"/>
      <c r="E14" s="15"/>
      <c r="F14" s="15"/>
      <c r="G14" s="411"/>
      <c r="H14" s="17" t="str">
        <f t="shared" si="0"/>
        <v/>
      </c>
      <c r="I14" s="18"/>
      <c r="J14" s="61"/>
      <c r="K14" s="399"/>
      <c r="L14" s="420" t="str">
        <f t="shared" ref="L14:L74" si="3">IF(J14="","",F14*K14)</f>
        <v/>
      </c>
      <c r="M14" s="401" t="str">
        <f t="shared" ref="M14:M74" si="4">IF(J14="","",IF(SUM(H14)=0,"",L14/H14))</f>
        <v/>
      </c>
    </row>
    <row r="15" spans="1:14" x14ac:dyDescent="0.25">
      <c r="B15" s="58"/>
      <c r="C15" s="14"/>
      <c r="D15" s="15"/>
      <c r="E15" s="15"/>
      <c r="F15" s="15"/>
      <c r="G15" s="411"/>
      <c r="H15" s="17" t="str">
        <f t="shared" si="0"/>
        <v/>
      </c>
      <c r="I15" s="18"/>
      <c r="J15" s="61"/>
      <c r="K15" s="399"/>
      <c r="L15" s="420" t="str">
        <f t="shared" si="3"/>
        <v/>
      </c>
      <c r="M15" s="401" t="str">
        <f t="shared" si="4"/>
        <v/>
      </c>
    </row>
    <row r="16" spans="1:14" ht="13" x14ac:dyDescent="0.25">
      <c r="B16" s="146" t="s">
        <v>339</v>
      </c>
      <c r="C16" s="19" t="s">
        <v>1837</v>
      </c>
      <c r="D16" s="15"/>
      <c r="E16" s="15"/>
      <c r="F16" s="24"/>
      <c r="G16" s="422"/>
      <c r="H16" s="17" t="str">
        <f t="shared" si="0"/>
        <v/>
      </c>
      <c r="I16" s="18"/>
      <c r="J16" s="61"/>
      <c r="K16" s="399"/>
      <c r="L16" s="420" t="str">
        <f t="shared" si="3"/>
        <v/>
      </c>
      <c r="M16" s="401" t="str">
        <f t="shared" si="4"/>
        <v/>
      </c>
    </row>
    <row r="17" spans="2:13" x14ac:dyDescent="0.25">
      <c r="B17" s="58"/>
      <c r="C17" s="14"/>
      <c r="D17" s="15"/>
      <c r="E17" s="15"/>
      <c r="F17" s="24"/>
      <c r="G17" s="411"/>
      <c r="H17" s="17" t="str">
        <f t="shared" si="0"/>
        <v/>
      </c>
      <c r="I17" s="18"/>
      <c r="J17" s="61"/>
      <c r="K17" s="399"/>
      <c r="L17" s="420" t="str">
        <f t="shared" si="3"/>
        <v/>
      </c>
      <c r="M17" s="401" t="str">
        <f t="shared" si="4"/>
        <v/>
      </c>
    </row>
    <row r="18" spans="2:13" ht="25" x14ac:dyDescent="0.25">
      <c r="B18" s="58" t="s">
        <v>39</v>
      </c>
      <c r="C18" s="14" t="s">
        <v>1699</v>
      </c>
      <c r="D18" s="15" t="s">
        <v>34</v>
      </c>
      <c r="E18" s="15" t="s">
        <v>996</v>
      </c>
      <c r="F18" s="24">
        <v>25</v>
      </c>
      <c r="G18" s="411"/>
      <c r="H18" s="17">
        <f t="shared" si="0"/>
        <v>0</v>
      </c>
      <c r="I18" s="57"/>
      <c r="J18" s="61" t="s">
        <v>996</v>
      </c>
      <c r="K18" s="399">
        <f>IF(D18="","",ROUND(6%*G18,1))</f>
        <v>0</v>
      </c>
      <c r="L18" s="420">
        <f t="shared" si="3"/>
        <v>0</v>
      </c>
      <c r="M18" s="401" t="str">
        <f t="shared" si="4"/>
        <v/>
      </c>
    </row>
    <row r="19" spans="2:13" x14ac:dyDescent="0.25">
      <c r="B19" s="58"/>
      <c r="C19" s="14"/>
      <c r="D19" s="15"/>
      <c r="E19" s="15"/>
      <c r="F19" s="24"/>
      <c r="G19" s="411"/>
      <c r="H19" s="17" t="str">
        <f t="shared" si="0"/>
        <v/>
      </c>
      <c r="I19" s="57"/>
      <c r="J19" s="61"/>
      <c r="K19" s="399"/>
      <c r="L19" s="420" t="str">
        <f t="shared" si="3"/>
        <v/>
      </c>
      <c r="M19" s="401" t="str">
        <f t="shared" si="4"/>
        <v/>
      </c>
    </row>
    <row r="20" spans="2:13" ht="37.5" x14ac:dyDescent="0.25">
      <c r="B20" s="58" t="s">
        <v>41</v>
      </c>
      <c r="C20" s="14" t="s">
        <v>1700</v>
      </c>
      <c r="D20" s="15" t="s">
        <v>34</v>
      </c>
      <c r="E20" s="15"/>
      <c r="F20" s="24">
        <v>36</v>
      </c>
      <c r="G20" s="411"/>
      <c r="H20" s="17">
        <f t="shared" si="0"/>
        <v>0</v>
      </c>
      <c r="I20" s="57"/>
      <c r="J20" s="61" t="s">
        <v>1721</v>
      </c>
      <c r="K20" s="399">
        <f>IF(D20="","",ROUND(6%*G20,1))</f>
        <v>0</v>
      </c>
      <c r="L20" s="420">
        <f t="shared" si="3"/>
        <v>0</v>
      </c>
      <c r="M20" s="401" t="str">
        <f t="shared" si="4"/>
        <v/>
      </c>
    </row>
    <row r="21" spans="2:13" x14ac:dyDescent="0.25">
      <c r="B21" s="58"/>
      <c r="C21" s="14"/>
      <c r="D21" s="15"/>
      <c r="E21" s="15"/>
      <c r="F21" s="24"/>
      <c r="G21" s="411"/>
      <c r="H21" s="17" t="str">
        <f t="shared" si="0"/>
        <v/>
      </c>
      <c r="I21" s="57"/>
      <c r="J21" s="61"/>
      <c r="K21" s="399"/>
      <c r="L21" s="420" t="str">
        <f t="shared" si="3"/>
        <v/>
      </c>
      <c r="M21" s="401" t="str">
        <f t="shared" si="4"/>
        <v/>
      </c>
    </row>
    <row r="22" spans="2:13" ht="13" x14ac:dyDescent="0.25">
      <c r="B22" s="146" t="s">
        <v>340</v>
      </c>
      <c r="C22" s="19" t="s">
        <v>336</v>
      </c>
      <c r="D22" s="15"/>
      <c r="E22" s="15"/>
      <c r="F22" s="24"/>
      <c r="G22" s="411"/>
      <c r="H22" s="17" t="str">
        <f t="shared" si="0"/>
        <v/>
      </c>
      <c r="I22" s="18"/>
      <c r="J22" s="61"/>
      <c r="K22" s="402"/>
      <c r="L22" s="420" t="str">
        <f t="shared" si="3"/>
        <v/>
      </c>
      <c r="M22" s="401" t="str">
        <f t="shared" si="4"/>
        <v/>
      </c>
    </row>
    <row r="23" spans="2:13" x14ac:dyDescent="0.25">
      <c r="B23" s="58"/>
      <c r="C23" s="14"/>
      <c r="D23" s="15"/>
      <c r="E23" s="15"/>
      <c r="F23" s="24"/>
      <c r="G23" s="422"/>
      <c r="H23" s="17" t="str">
        <f t="shared" si="0"/>
        <v/>
      </c>
      <c r="I23" s="18"/>
      <c r="J23" s="61"/>
      <c r="K23" s="402"/>
      <c r="L23" s="420" t="str">
        <f t="shared" si="3"/>
        <v/>
      </c>
      <c r="M23" s="401" t="str">
        <f t="shared" si="4"/>
        <v/>
      </c>
    </row>
    <row r="24" spans="2:13" ht="25" x14ac:dyDescent="0.25">
      <c r="B24" s="58" t="s">
        <v>341</v>
      </c>
      <c r="C24" s="14" t="s">
        <v>337</v>
      </c>
      <c r="D24" s="15" t="s">
        <v>557</v>
      </c>
      <c r="E24" s="15"/>
      <c r="F24" s="24">
        <v>180000</v>
      </c>
      <c r="G24" s="422">
        <v>1</v>
      </c>
      <c r="H24" s="17">
        <f t="shared" si="0"/>
        <v>180000</v>
      </c>
      <c r="I24" s="63"/>
      <c r="J24" s="61"/>
      <c r="K24" s="402"/>
      <c r="L24" s="420" t="str">
        <f t="shared" si="3"/>
        <v/>
      </c>
      <c r="M24" s="401" t="str">
        <f t="shared" si="4"/>
        <v/>
      </c>
    </row>
    <row r="25" spans="2:13" x14ac:dyDescent="0.25">
      <c r="B25" s="58"/>
      <c r="C25" s="14"/>
      <c r="D25" s="15"/>
      <c r="E25" s="15"/>
      <c r="F25" s="24"/>
      <c r="G25" s="411"/>
      <c r="H25" s="17" t="str">
        <f t="shared" si="0"/>
        <v/>
      </c>
      <c r="I25" s="63"/>
      <c r="J25" s="61"/>
      <c r="K25" s="402"/>
      <c r="L25" s="420" t="str">
        <f t="shared" si="3"/>
        <v/>
      </c>
      <c r="M25" s="401" t="str">
        <f t="shared" si="4"/>
        <v/>
      </c>
    </row>
    <row r="26" spans="2:13" x14ac:dyDescent="0.25">
      <c r="B26" s="58" t="s">
        <v>342</v>
      </c>
      <c r="C26" s="14" t="s">
        <v>338</v>
      </c>
      <c r="D26" s="15" t="s">
        <v>26</v>
      </c>
      <c r="E26" s="15"/>
      <c r="F26" s="24">
        <f>F24</f>
        <v>180000</v>
      </c>
      <c r="G26" s="709"/>
      <c r="H26" s="17">
        <f t="shared" si="0"/>
        <v>0</v>
      </c>
      <c r="I26" s="63"/>
      <c r="J26" s="61"/>
      <c r="K26" s="402"/>
      <c r="L26" s="420" t="str">
        <f t="shared" si="3"/>
        <v/>
      </c>
      <c r="M26" s="401" t="str">
        <f t="shared" si="4"/>
        <v/>
      </c>
    </row>
    <row r="27" spans="2:13" x14ac:dyDescent="0.25">
      <c r="B27" s="58"/>
      <c r="C27" s="14"/>
      <c r="D27" s="15"/>
      <c r="E27" s="15"/>
      <c r="F27" s="24"/>
      <c r="G27" s="423"/>
      <c r="H27" s="17" t="str">
        <f t="shared" si="0"/>
        <v/>
      </c>
      <c r="I27" s="63"/>
      <c r="J27" s="61"/>
      <c r="K27" s="402"/>
      <c r="L27" s="420" t="str">
        <f t="shared" si="3"/>
        <v/>
      </c>
      <c r="M27" s="401" t="str">
        <f t="shared" si="4"/>
        <v/>
      </c>
    </row>
    <row r="28" spans="2:13" ht="13" x14ac:dyDescent="0.25">
      <c r="B28" s="146" t="s">
        <v>343</v>
      </c>
      <c r="C28" s="19" t="s">
        <v>1838</v>
      </c>
      <c r="D28" s="15"/>
      <c r="E28" s="15"/>
      <c r="F28" s="24"/>
      <c r="G28" s="423"/>
      <c r="H28" s="17" t="str">
        <f t="shared" si="0"/>
        <v/>
      </c>
      <c r="I28" s="63"/>
      <c r="J28" s="61"/>
      <c r="K28" s="399"/>
      <c r="L28" s="420" t="str">
        <f t="shared" si="3"/>
        <v/>
      </c>
      <c r="M28" s="401" t="str">
        <f t="shared" si="4"/>
        <v/>
      </c>
    </row>
    <row r="29" spans="2:13" x14ac:dyDescent="0.25">
      <c r="B29" s="58"/>
      <c r="C29" s="14"/>
      <c r="D29" s="15"/>
      <c r="E29" s="15"/>
      <c r="F29" s="15"/>
      <c r="G29" s="411"/>
      <c r="H29" s="17" t="str">
        <f t="shared" si="0"/>
        <v/>
      </c>
      <c r="I29" s="63"/>
      <c r="J29" s="61"/>
      <c r="K29" s="399"/>
      <c r="L29" s="420" t="str">
        <f t="shared" si="3"/>
        <v/>
      </c>
      <c r="M29" s="401" t="str">
        <f t="shared" si="4"/>
        <v/>
      </c>
    </row>
    <row r="30" spans="2:13" x14ac:dyDescent="0.25">
      <c r="B30" s="58" t="s">
        <v>39</v>
      </c>
      <c r="C30" s="14" t="s">
        <v>1698</v>
      </c>
      <c r="D30" s="15"/>
      <c r="E30" s="15"/>
      <c r="F30" s="15"/>
      <c r="G30" s="411"/>
      <c r="H30" s="17" t="str">
        <f t="shared" si="0"/>
        <v/>
      </c>
      <c r="I30" s="57"/>
      <c r="J30" s="61"/>
      <c r="K30" s="400"/>
      <c r="L30" s="420" t="str">
        <f t="shared" si="3"/>
        <v/>
      </c>
      <c r="M30" s="401" t="str">
        <f t="shared" si="4"/>
        <v/>
      </c>
    </row>
    <row r="31" spans="2:13" x14ac:dyDescent="0.25">
      <c r="B31" s="58"/>
      <c r="C31" s="14"/>
      <c r="D31" s="15"/>
      <c r="E31" s="15"/>
      <c r="F31" s="15"/>
      <c r="G31" s="422"/>
      <c r="H31" s="17" t="str">
        <f t="shared" si="0"/>
        <v/>
      </c>
      <c r="I31" s="18"/>
      <c r="J31" s="61"/>
      <c r="K31" s="399"/>
      <c r="L31" s="420" t="str">
        <f t="shared" si="3"/>
        <v/>
      </c>
      <c r="M31" s="401" t="str">
        <f t="shared" si="4"/>
        <v/>
      </c>
    </row>
    <row r="32" spans="2:13" x14ac:dyDescent="0.25">
      <c r="B32" s="58" t="s">
        <v>990</v>
      </c>
      <c r="C32" s="14" t="s">
        <v>1782</v>
      </c>
      <c r="D32" s="15" t="s">
        <v>34</v>
      </c>
      <c r="E32" s="15"/>
      <c r="F32" s="15">
        <v>36</v>
      </c>
      <c r="G32" s="422"/>
      <c r="H32" s="17">
        <f t="shared" si="0"/>
        <v>0</v>
      </c>
      <c r="I32" s="18"/>
      <c r="J32" s="61" t="s">
        <v>1721</v>
      </c>
      <c r="K32" s="399">
        <f>IF(D32="","",ROUND(6%*G32,1))</f>
        <v>0</v>
      </c>
      <c r="L32" s="420">
        <f t="shared" si="3"/>
        <v>0</v>
      </c>
      <c r="M32" s="401" t="str">
        <f t="shared" si="4"/>
        <v/>
      </c>
    </row>
    <row r="33" spans="2:13" x14ac:dyDescent="0.25">
      <c r="B33" s="58"/>
      <c r="C33" s="14"/>
      <c r="D33" s="15"/>
      <c r="E33" s="15"/>
      <c r="F33" s="24"/>
      <c r="G33" s="411"/>
      <c r="H33" s="17" t="str">
        <f t="shared" si="0"/>
        <v/>
      </c>
      <c r="I33" s="18"/>
      <c r="J33" s="61"/>
      <c r="K33" s="399"/>
      <c r="L33" s="420" t="str">
        <f t="shared" si="3"/>
        <v/>
      </c>
      <c r="M33" s="401" t="str">
        <f t="shared" si="4"/>
        <v/>
      </c>
    </row>
    <row r="34" spans="2:13" x14ac:dyDescent="0.25">
      <c r="B34" s="395"/>
      <c r="C34" s="238"/>
      <c r="D34" s="15"/>
      <c r="E34" s="15"/>
      <c r="F34" s="24"/>
      <c r="G34" s="411"/>
      <c r="H34" s="17" t="str">
        <f t="shared" si="0"/>
        <v/>
      </c>
      <c r="I34" s="18"/>
      <c r="J34" s="61"/>
      <c r="K34" s="399"/>
      <c r="L34" s="420" t="str">
        <f t="shared" si="3"/>
        <v/>
      </c>
      <c r="M34" s="401" t="str">
        <f t="shared" si="4"/>
        <v/>
      </c>
    </row>
    <row r="35" spans="2:13" x14ac:dyDescent="0.25">
      <c r="B35" s="58"/>
      <c r="C35" s="14"/>
      <c r="D35" s="15"/>
      <c r="E35" s="15"/>
      <c r="F35" s="24"/>
      <c r="G35" s="411"/>
      <c r="H35" s="17" t="str">
        <f t="shared" si="0"/>
        <v/>
      </c>
      <c r="I35" s="18"/>
      <c r="J35" s="61"/>
      <c r="K35" s="399"/>
      <c r="L35" s="420" t="str">
        <f t="shared" si="3"/>
        <v/>
      </c>
      <c r="M35" s="401" t="str">
        <f t="shared" si="4"/>
        <v/>
      </c>
    </row>
    <row r="36" spans="2:13" s="36" customFormat="1" x14ac:dyDescent="0.25">
      <c r="B36" s="58"/>
      <c r="C36" s="14"/>
      <c r="D36" s="15"/>
      <c r="E36" s="15"/>
      <c r="F36" s="24"/>
      <c r="G36" s="411"/>
      <c r="H36" s="17" t="str">
        <f t="shared" si="0"/>
        <v/>
      </c>
      <c r="I36" s="18"/>
      <c r="J36" s="61"/>
      <c r="K36" s="400"/>
      <c r="L36" s="420" t="str">
        <f t="shared" si="3"/>
        <v/>
      </c>
      <c r="M36" s="401" t="str">
        <f t="shared" si="4"/>
        <v/>
      </c>
    </row>
    <row r="37" spans="2:13" x14ac:dyDescent="0.25">
      <c r="B37" s="58"/>
      <c r="C37" s="14"/>
      <c r="D37" s="15"/>
      <c r="E37" s="15"/>
      <c r="F37" s="24"/>
      <c r="G37" s="422"/>
      <c r="H37" s="17" t="str">
        <f t="shared" si="0"/>
        <v/>
      </c>
      <c r="I37" s="57"/>
      <c r="J37" s="61"/>
      <c r="K37" s="399"/>
      <c r="L37" s="420" t="str">
        <f t="shared" si="3"/>
        <v/>
      </c>
      <c r="M37" s="401" t="str">
        <f t="shared" si="4"/>
        <v/>
      </c>
    </row>
    <row r="38" spans="2:13" x14ac:dyDescent="0.25">
      <c r="B38" s="58"/>
      <c r="C38" s="14"/>
      <c r="D38" s="15"/>
      <c r="E38" s="15"/>
      <c r="F38" s="24"/>
      <c r="G38" s="422"/>
      <c r="H38" s="17" t="str">
        <f t="shared" si="0"/>
        <v/>
      </c>
      <c r="I38" s="57"/>
      <c r="J38" s="61"/>
      <c r="K38" s="399"/>
      <c r="L38" s="420" t="str">
        <f t="shared" si="3"/>
        <v/>
      </c>
      <c r="M38" s="401" t="str">
        <f t="shared" si="4"/>
        <v/>
      </c>
    </row>
    <row r="39" spans="2:13" x14ac:dyDescent="0.25">
      <c r="B39" s="58"/>
      <c r="C39" s="14"/>
      <c r="D39" s="15"/>
      <c r="E39" s="15"/>
      <c r="F39" s="24"/>
      <c r="G39" s="411"/>
      <c r="H39" s="17" t="str">
        <f t="shared" si="0"/>
        <v/>
      </c>
      <c r="I39" s="18"/>
      <c r="J39" s="61"/>
      <c r="K39" s="399"/>
      <c r="L39" s="420" t="str">
        <f t="shared" si="3"/>
        <v/>
      </c>
      <c r="M39" s="401" t="str">
        <f t="shared" si="4"/>
        <v/>
      </c>
    </row>
    <row r="40" spans="2:13" x14ac:dyDescent="0.25">
      <c r="B40" s="58"/>
      <c r="C40" s="14"/>
      <c r="D40" s="15"/>
      <c r="E40" s="15"/>
      <c r="F40" s="24"/>
      <c r="G40" s="709"/>
      <c r="H40" s="17" t="str">
        <f t="shared" si="0"/>
        <v/>
      </c>
      <c r="I40" s="18"/>
      <c r="J40" s="61"/>
      <c r="K40" s="399"/>
      <c r="L40" s="420" t="str">
        <f t="shared" si="3"/>
        <v/>
      </c>
      <c r="M40" s="401" t="str">
        <f t="shared" si="4"/>
        <v/>
      </c>
    </row>
    <row r="41" spans="2:13" x14ac:dyDescent="0.25">
      <c r="B41" s="58"/>
      <c r="C41" s="14"/>
      <c r="D41" s="15"/>
      <c r="E41" s="15"/>
      <c r="F41" s="24"/>
      <c r="G41" s="423"/>
      <c r="H41" s="17" t="str">
        <f t="shared" si="0"/>
        <v/>
      </c>
      <c r="I41" s="18"/>
      <c r="J41" s="61"/>
      <c r="K41" s="399"/>
      <c r="L41" s="420" t="str">
        <f t="shared" si="3"/>
        <v/>
      </c>
      <c r="M41" s="401" t="str">
        <f t="shared" si="4"/>
        <v/>
      </c>
    </row>
    <row r="42" spans="2:13" x14ac:dyDescent="0.25">
      <c r="B42" s="58"/>
      <c r="C42" s="14"/>
      <c r="D42" s="15"/>
      <c r="E42" s="15"/>
      <c r="F42" s="24"/>
      <c r="G42" s="423"/>
      <c r="H42" s="17" t="str">
        <f t="shared" si="0"/>
        <v/>
      </c>
      <c r="I42" s="18"/>
      <c r="J42" s="61"/>
      <c r="K42" s="399"/>
      <c r="L42" s="420" t="str">
        <f t="shared" si="3"/>
        <v/>
      </c>
      <c r="M42" s="401" t="str">
        <f t="shared" si="4"/>
        <v/>
      </c>
    </row>
    <row r="43" spans="2:13" x14ac:dyDescent="0.25">
      <c r="B43" s="58"/>
      <c r="C43" s="14"/>
      <c r="D43" s="15"/>
      <c r="E43" s="15"/>
      <c r="F43" s="15"/>
      <c r="G43" s="411"/>
      <c r="H43" s="17" t="str">
        <f t="shared" si="0"/>
        <v/>
      </c>
      <c r="I43" s="18"/>
      <c r="J43" s="61"/>
      <c r="K43" s="399"/>
      <c r="L43" s="420" t="str">
        <f t="shared" si="3"/>
        <v/>
      </c>
      <c r="M43" s="401" t="str">
        <f t="shared" si="4"/>
        <v/>
      </c>
    </row>
    <row r="44" spans="2:13" x14ac:dyDescent="0.25">
      <c r="B44" s="395"/>
      <c r="C44" s="238"/>
      <c r="D44" s="15"/>
      <c r="E44" s="15"/>
      <c r="F44" s="15"/>
      <c r="G44" s="411"/>
      <c r="H44" s="17" t="str">
        <f t="shared" si="0"/>
        <v/>
      </c>
      <c r="I44" s="18"/>
      <c r="J44" s="61"/>
      <c r="K44" s="399"/>
      <c r="L44" s="420" t="str">
        <f t="shared" si="3"/>
        <v/>
      </c>
      <c r="M44" s="401" t="str">
        <f t="shared" si="4"/>
        <v/>
      </c>
    </row>
    <row r="45" spans="2:13" x14ac:dyDescent="0.25">
      <c r="B45" s="58"/>
      <c r="C45" s="14"/>
      <c r="D45" s="15"/>
      <c r="E45" s="15"/>
      <c r="F45" s="15"/>
      <c r="G45" s="422"/>
      <c r="H45" s="17" t="str">
        <f t="shared" si="0"/>
        <v/>
      </c>
      <c r="I45" s="18"/>
      <c r="J45" s="61"/>
      <c r="K45" s="399"/>
      <c r="L45" s="420" t="str">
        <f t="shared" si="3"/>
        <v/>
      </c>
      <c r="M45" s="401" t="str">
        <f t="shared" si="4"/>
        <v/>
      </c>
    </row>
    <row r="46" spans="2:13" x14ac:dyDescent="0.25">
      <c r="B46" s="58"/>
      <c r="C46" s="238"/>
      <c r="D46" s="15"/>
      <c r="E46" s="15"/>
      <c r="F46" s="15"/>
      <c r="G46" s="422"/>
      <c r="H46" s="17" t="str">
        <f t="shared" si="0"/>
        <v/>
      </c>
      <c r="I46" s="18"/>
      <c r="J46" s="61"/>
      <c r="K46" s="399"/>
      <c r="L46" s="420" t="str">
        <f t="shared" si="3"/>
        <v/>
      </c>
      <c r="M46" s="401" t="str">
        <f t="shared" si="4"/>
        <v/>
      </c>
    </row>
    <row r="47" spans="2:13" x14ac:dyDescent="0.25">
      <c r="B47" s="58"/>
      <c r="C47" s="14"/>
      <c r="D47" s="15"/>
      <c r="E47" s="15"/>
      <c r="F47" s="15"/>
      <c r="G47" s="422"/>
      <c r="H47" s="17" t="str">
        <f t="shared" si="0"/>
        <v/>
      </c>
      <c r="I47" s="18"/>
      <c r="J47" s="61"/>
      <c r="K47" s="399"/>
      <c r="L47" s="420" t="str">
        <f t="shared" si="3"/>
        <v/>
      </c>
      <c r="M47" s="401" t="str">
        <f t="shared" si="4"/>
        <v/>
      </c>
    </row>
    <row r="48" spans="2:13" x14ac:dyDescent="0.25">
      <c r="B48" s="58"/>
      <c r="C48" s="14"/>
      <c r="D48" s="15"/>
      <c r="E48" s="15"/>
      <c r="F48" s="15"/>
      <c r="G48" s="422"/>
      <c r="H48" s="17" t="str">
        <f t="shared" si="0"/>
        <v/>
      </c>
      <c r="I48" s="18"/>
      <c r="J48" s="61"/>
      <c r="K48" s="402"/>
      <c r="L48" s="420" t="str">
        <f t="shared" si="3"/>
        <v/>
      </c>
      <c r="M48" s="401" t="str">
        <f t="shared" si="4"/>
        <v/>
      </c>
    </row>
    <row r="49" spans="2:13" x14ac:dyDescent="0.25">
      <c r="B49" s="58"/>
      <c r="C49" s="14"/>
      <c r="D49" s="15"/>
      <c r="E49" s="15"/>
      <c r="F49" s="15"/>
      <c r="G49" s="422"/>
      <c r="H49" s="17" t="str">
        <f t="shared" si="0"/>
        <v/>
      </c>
      <c r="I49" s="18"/>
      <c r="J49" s="61"/>
      <c r="K49" s="399"/>
      <c r="L49" s="420" t="str">
        <f t="shared" si="3"/>
        <v/>
      </c>
      <c r="M49" s="401" t="str">
        <f t="shared" si="4"/>
        <v/>
      </c>
    </row>
    <row r="50" spans="2:13" x14ac:dyDescent="0.25">
      <c r="B50" s="58"/>
      <c r="C50" s="14"/>
      <c r="D50" s="15"/>
      <c r="E50" s="15"/>
      <c r="F50" s="15"/>
      <c r="G50" s="422"/>
      <c r="H50" s="17" t="str">
        <f t="shared" si="0"/>
        <v/>
      </c>
      <c r="I50" s="18"/>
      <c r="J50" s="61"/>
      <c r="K50" s="402"/>
      <c r="L50" s="420" t="str">
        <f t="shared" si="3"/>
        <v/>
      </c>
      <c r="M50" s="401" t="str">
        <f t="shared" si="4"/>
        <v/>
      </c>
    </row>
    <row r="51" spans="2:13" x14ac:dyDescent="0.25">
      <c r="B51" s="58"/>
      <c r="C51" s="14"/>
      <c r="D51" s="15"/>
      <c r="E51" s="15"/>
      <c r="F51" s="15"/>
      <c r="G51" s="422"/>
      <c r="H51" s="17" t="str">
        <f t="shared" si="0"/>
        <v/>
      </c>
      <c r="I51" s="18"/>
      <c r="J51" s="62"/>
      <c r="K51" s="62"/>
      <c r="L51" s="420" t="str">
        <f t="shared" si="3"/>
        <v/>
      </c>
      <c r="M51" s="401" t="str">
        <f t="shared" si="4"/>
        <v/>
      </c>
    </row>
    <row r="52" spans="2:13" x14ac:dyDescent="0.25">
      <c r="B52" s="58"/>
      <c r="C52" s="14"/>
      <c r="D52" s="15"/>
      <c r="E52" s="15"/>
      <c r="F52" s="15"/>
      <c r="G52" s="422"/>
      <c r="H52" s="17" t="str">
        <f t="shared" si="0"/>
        <v/>
      </c>
      <c r="I52" s="18"/>
      <c r="J52" s="62"/>
      <c r="K52" s="62"/>
      <c r="L52" s="420" t="str">
        <f t="shared" si="3"/>
        <v/>
      </c>
      <c r="M52" s="401" t="str">
        <f t="shared" si="4"/>
        <v/>
      </c>
    </row>
    <row r="53" spans="2:13" x14ac:dyDescent="0.25">
      <c r="B53" s="58"/>
      <c r="C53" s="14"/>
      <c r="D53" s="15"/>
      <c r="E53" s="15"/>
      <c r="F53" s="15"/>
      <c r="G53" s="424"/>
      <c r="H53" s="17" t="str">
        <f t="shared" si="0"/>
        <v/>
      </c>
      <c r="I53" s="18"/>
      <c r="J53" s="62"/>
      <c r="K53" s="62"/>
      <c r="L53" s="420" t="str">
        <f t="shared" si="3"/>
        <v/>
      </c>
      <c r="M53" s="401" t="str">
        <f t="shared" si="4"/>
        <v/>
      </c>
    </row>
    <row r="54" spans="2:13" x14ac:dyDescent="0.25">
      <c r="B54" s="58"/>
      <c r="C54" s="14"/>
      <c r="D54" s="15"/>
      <c r="E54" s="15"/>
      <c r="F54" s="15"/>
      <c r="G54" s="424"/>
      <c r="H54" s="17" t="str">
        <f t="shared" si="0"/>
        <v/>
      </c>
      <c r="I54" s="18"/>
      <c r="J54" s="62"/>
      <c r="K54" s="62"/>
      <c r="L54" s="420" t="str">
        <f t="shared" si="3"/>
        <v/>
      </c>
      <c r="M54" s="401" t="str">
        <f t="shared" si="4"/>
        <v/>
      </c>
    </row>
    <row r="55" spans="2:13" x14ac:dyDescent="0.25">
      <c r="B55" s="58"/>
      <c r="C55" s="14"/>
      <c r="D55" s="15"/>
      <c r="E55" s="15"/>
      <c r="F55" s="15"/>
      <c r="G55" s="422"/>
      <c r="H55" s="17" t="str">
        <f t="shared" si="0"/>
        <v/>
      </c>
      <c r="I55" s="18"/>
      <c r="J55" s="62"/>
      <c r="K55" s="62"/>
      <c r="L55" s="420" t="str">
        <f t="shared" si="3"/>
        <v/>
      </c>
      <c r="M55" s="401" t="str">
        <f t="shared" si="4"/>
        <v/>
      </c>
    </row>
    <row r="56" spans="2:13" x14ac:dyDescent="0.25">
      <c r="B56" s="58"/>
      <c r="C56" s="14"/>
      <c r="D56" s="15"/>
      <c r="E56" s="15"/>
      <c r="F56" s="15"/>
      <c r="G56" s="422"/>
      <c r="H56" s="17" t="str">
        <f t="shared" si="0"/>
        <v/>
      </c>
      <c r="I56" s="18"/>
      <c r="J56" s="62"/>
      <c r="K56" s="62"/>
      <c r="L56" s="420" t="str">
        <f t="shared" si="3"/>
        <v/>
      </c>
      <c r="M56" s="401" t="str">
        <f t="shared" si="4"/>
        <v/>
      </c>
    </row>
    <row r="57" spans="2:13" x14ac:dyDescent="0.25">
      <c r="B57" s="58"/>
      <c r="C57" s="14"/>
      <c r="D57" s="15"/>
      <c r="E57" s="15"/>
      <c r="F57" s="15"/>
      <c r="G57" s="422"/>
      <c r="H57" s="17" t="str">
        <f t="shared" si="0"/>
        <v/>
      </c>
      <c r="I57" s="18"/>
      <c r="J57" s="62"/>
      <c r="K57" s="62"/>
      <c r="L57" s="420" t="str">
        <f t="shared" si="3"/>
        <v/>
      </c>
      <c r="M57" s="401" t="str">
        <f t="shared" si="4"/>
        <v/>
      </c>
    </row>
    <row r="58" spans="2:13" x14ac:dyDescent="0.25">
      <c r="B58" s="58"/>
      <c r="C58" s="14"/>
      <c r="D58" s="15"/>
      <c r="E58" s="15"/>
      <c r="F58" s="15"/>
      <c r="G58" s="422"/>
      <c r="H58" s="17" t="str">
        <f t="shared" si="0"/>
        <v/>
      </c>
      <c r="I58" s="18"/>
      <c r="J58" s="62"/>
      <c r="K58" s="62"/>
      <c r="L58" s="420" t="str">
        <f t="shared" si="3"/>
        <v/>
      </c>
      <c r="M58" s="401" t="str">
        <f t="shared" si="4"/>
        <v/>
      </c>
    </row>
    <row r="59" spans="2:13" x14ac:dyDescent="0.25">
      <c r="B59" s="58"/>
      <c r="C59" s="14"/>
      <c r="D59" s="15"/>
      <c r="E59" s="15"/>
      <c r="F59" s="15"/>
      <c r="G59" s="422"/>
      <c r="H59" s="17" t="str">
        <f t="shared" si="0"/>
        <v/>
      </c>
      <c r="I59" s="18"/>
      <c r="J59" s="62"/>
      <c r="K59" s="62"/>
      <c r="L59" s="420" t="str">
        <f t="shared" si="3"/>
        <v/>
      </c>
      <c r="M59" s="401" t="str">
        <f t="shared" si="4"/>
        <v/>
      </c>
    </row>
    <row r="60" spans="2:13" x14ac:dyDescent="0.25">
      <c r="B60" s="58"/>
      <c r="C60" s="14"/>
      <c r="D60" s="15"/>
      <c r="E60" s="15"/>
      <c r="F60" s="15"/>
      <c r="G60" s="422"/>
      <c r="H60" s="17" t="str">
        <f t="shared" si="0"/>
        <v/>
      </c>
      <c r="I60" s="18"/>
      <c r="J60" s="62"/>
      <c r="K60" s="62"/>
      <c r="L60" s="420" t="str">
        <f t="shared" si="3"/>
        <v/>
      </c>
      <c r="M60" s="401" t="str">
        <f t="shared" si="4"/>
        <v/>
      </c>
    </row>
    <row r="61" spans="2:13" x14ac:dyDescent="0.25">
      <c r="B61" s="58"/>
      <c r="C61" s="14"/>
      <c r="D61" s="15"/>
      <c r="E61" s="15"/>
      <c r="F61" s="15"/>
      <c r="G61" s="422"/>
      <c r="H61" s="17" t="str">
        <f t="shared" si="0"/>
        <v/>
      </c>
      <c r="I61" s="18"/>
      <c r="J61" s="62"/>
      <c r="K61" s="62"/>
      <c r="L61" s="420" t="str">
        <f t="shared" si="3"/>
        <v/>
      </c>
      <c r="M61" s="401" t="str">
        <f t="shared" si="4"/>
        <v/>
      </c>
    </row>
    <row r="62" spans="2:13" x14ac:dyDescent="0.25">
      <c r="B62" s="58"/>
      <c r="C62" s="14"/>
      <c r="D62" s="61"/>
      <c r="E62" s="61"/>
      <c r="F62" s="61"/>
      <c r="G62" s="422"/>
      <c r="H62" s="17" t="str">
        <f t="shared" si="0"/>
        <v/>
      </c>
      <c r="I62" s="63"/>
      <c r="J62" s="62"/>
      <c r="K62" s="62"/>
      <c r="L62" s="420" t="str">
        <f t="shared" si="3"/>
        <v/>
      </c>
      <c r="M62" s="401" t="str">
        <f t="shared" si="4"/>
        <v/>
      </c>
    </row>
    <row r="63" spans="2:13" x14ac:dyDescent="0.25">
      <c r="B63" s="58"/>
      <c r="C63" s="14"/>
      <c r="D63" s="15"/>
      <c r="E63" s="15"/>
      <c r="F63" s="15"/>
      <c r="G63" s="422"/>
      <c r="H63" s="17" t="str">
        <f t="shared" si="0"/>
        <v/>
      </c>
      <c r="I63" s="18"/>
      <c r="J63" s="62"/>
      <c r="K63" s="62"/>
      <c r="L63" s="420" t="str">
        <f t="shared" si="3"/>
        <v/>
      </c>
      <c r="M63" s="401" t="str">
        <f t="shared" si="4"/>
        <v/>
      </c>
    </row>
    <row r="64" spans="2:13" x14ac:dyDescent="0.25">
      <c r="B64" s="58"/>
      <c r="C64" s="14"/>
      <c r="D64" s="15"/>
      <c r="E64" s="15"/>
      <c r="F64" s="15"/>
      <c r="G64" s="422"/>
      <c r="H64" s="17" t="str">
        <f t="shared" si="0"/>
        <v/>
      </c>
      <c r="I64" s="18"/>
      <c r="J64" s="62"/>
      <c r="K64" s="62"/>
      <c r="L64" s="420" t="str">
        <f t="shared" si="3"/>
        <v/>
      </c>
      <c r="M64" s="401" t="str">
        <f t="shared" si="4"/>
        <v/>
      </c>
    </row>
    <row r="65" spans="2:13" x14ac:dyDescent="0.25">
      <c r="B65" s="58"/>
      <c r="C65" s="14"/>
      <c r="D65" s="15"/>
      <c r="E65" s="15"/>
      <c r="F65" s="15"/>
      <c r="G65" s="422"/>
      <c r="H65" s="17" t="str">
        <f t="shared" si="0"/>
        <v/>
      </c>
      <c r="I65" s="18"/>
      <c r="J65" s="62"/>
      <c r="K65" s="62"/>
      <c r="L65" s="420" t="str">
        <f t="shared" si="3"/>
        <v/>
      </c>
      <c r="M65" s="401" t="str">
        <f t="shared" si="4"/>
        <v/>
      </c>
    </row>
    <row r="66" spans="2:13" x14ac:dyDescent="0.25">
      <c r="B66" s="58"/>
      <c r="C66" s="14"/>
      <c r="D66" s="15"/>
      <c r="E66" s="15"/>
      <c r="F66" s="15"/>
      <c r="G66" s="422"/>
      <c r="H66" s="17" t="str">
        <f t="shared" si="0"/>
        <v/>
      </c>
      <c r="I66" s="18"/>
      <c r="J66" s="62"/>
      <c r="K66" s="62"/>
      <c r="L66" s="420" t="str">
        <f t="shared" si="3"/>
        <v/>
      </c>
      <c r="M66" s="401" t="str">
        <f t="shared" si="4"/>
        <v/>
      </c>
    </row>
    <row r="67" spans="2:13" x14ac:dyDescent="0.25">
      <c r="B67" s="58"/>
      <c r="C67" s="14"/>
      <c r="D67" s="15"/>
      <c r="E67" s="15"/>
      <c r="F67" s="15"/>
      <c r="G67" s="422"/>
      <c r="H67" s="17" t="str">
        <f t="shared" si="0"/>
        <v/>
      </c>
      <c r="I67" s="18"/>
      <c r="J67" s="62"/>
      <c r="K67" s="62"/>
      <c r="L67" s="420" t="str">
        <f t="shared" si="3"/>
        <v/>
      </c>
      <c r="M67" s="401" t="str">
        <f t="shared" si="4"/>
        <v/>
      </c>
    </row>
    <row r="68" spans="2:13" x14ac:dyDescent="0.25">
      <c r="B68" s="58"/>
      <c r="C68" s="14"/>
      <c r="D68" s="15"/>
      <c r="E68" s="15"/>
      <c r="F68" s="15"/>
      <c r="G68" s="422"/>
      <c r="H68" s="17" t="str">
        <f t="shared" si="0"/>
        <v/>
      </c>
      <c r="I68" s="18"/>
      <c r="J68" s="62"/>
      <c r="K68" s="62"/>
      <c r="L68" s="420" t="str">
        <f t="shared" si="3"/>
        <v/>
      </c>
      <c r="M68" s="401" t="str">
        <f t="shared" si="4"/>
        <v/>
      </c>
    </row>
    <row r="69" spans="2:13" x14ac:dyDescent="0.25">
      <c r="B69" s="58"/>
      <c r="C69" s="14"/>
      <c r="D69" s="15"/>
      <c r="E69" s="15"/>
      <c r="F69" s="15"/>
      <c r="G69" s="422"/>
      <c r="H69" s="17" t="str">
        <f t="shared" si="0"/>
        <v/>
      </c>
      <c r="I69" s="18"/>
      <c r="J69" s="62"/>
      <c r="K69" s="62"/>
      <c r="L69" s="420" t="str">
        <f t="shared" si="3"/>
        <v/>
      </c>
      <c r="M69" s="401" t="str">
        <f t="shared" si="4"/>
        <v/>
      </c>
    </row>
    <row r="70" spans="2:13" x14ac:dyDescent="0.25">
      <c r="B70" s="58"/>
      <c r="C70" s="14"/>
      <c r="D70" s="15"/>
      <c r="E70" s="15"/>
      <c r="F70" s="15"/>
      <c r="G70" s="422"/>
      <c r="H70" s="17" t="str">
        <f t="shared" si="0"/>
        <v/>
      </c>
      <c r="I70" s="18"/>
      <c r="J70" s="62"/>
      <c r="K70" s="62"/>
      <c r="L70" s="420" t="str">
        <f t="shared" si="3"/>
        <v/>
      </c>
      <c r="M70" s="401" t="str">
        <f t="shared" si="4"/>
        <v/>
      </c>
    </row>
    <row r="71" spans="2:13" x14ac:dyDescent="0.25">
      <c r="B71" s="58"/>
      <c r="C71" s="14"/>
      <c r="D71" s="15"/>
      <c r="E71" s="15"/>
      <c r="F71" s="15"/>
      <c r="G71" s="422"/>
      <c r="H71" s="17" t="str">
        <f t="shared" si="0"/>
        <v/>
      </c>
      <c r="I71" s="18"/>
      <c r="J71" s="62"/>
      <c r="K71" s="62"/>
      <c r="L71" s="420" t="str">
        <f t="shared" si="3"/>
        <v/>
      </c>
      <c r="M71" s="401" t="str">
        <f t="shared" si="4"/>
        <v/>
      </c>
    </row>
    <row r="72" spans="2:13" x14ac:dyDescent="0.25">
      <c r="B72" s="58"/>
      <c r="C72" s="14"/>
      <c r="D72" s="15"/>
      <c r="E72" s="15"/>
      <c r="F72" s="15"/>
      <c r="G72" s="422"/>
      <c r="H72" s="17" t="str">
        <f t="shared" si="0"/>
        <v/>
      </c>
      <c r="I72" s="18"/>
      <c r="J72" s="62"/>
      <c r="K72" s="62"/>
      <c r="L72" s="420" t="str">
        <f t="shared" si="3"/>
        <v/>
      </c>
      <c r="M72" s="401" t="str">
        <f t="shared" si="4"/>
        <v/>
      </c>
    </row>
    <row r="73" spans="2:13" x14ac:dyDescent="0.25">
      <c r="B73" s="58"/>
      <c r="C73" s="14"/>
      <c r="D73" s="15"/>
      <c r="E73" s="15"/>
      <c r="F73" s="15"/>
      <c r="G73" s="422"/>
      <c r="H73" s="17" t="str">
        <f t="shared" si="0"/>
        <v/>
      </c>
      <c r="I73" s="18"/>
      <c r="J73" s="62"/>
      <c r="K73" s="62"/>
      <c r="L73" s="420" t="str">
        <f t="shared" si="3"/>
        <v/>
      </c>
      <c r="M73" s="401" t="str">
        <f t="shared" si="4"/>
        <v/>
      </c>
    </row>
    <row r="74" spans="2:13" x14ac:dyDescent="0.25">
      <c r="B74" s="58"/>
      <c r="C74" s="14"/>
      <c r="D74" s="15"/>
      <c r="E74" s="15"/>
      <c r="F74" s="15"/>
      <c r="G74" s="422"/>
      <c r="H74" s="17" t="str">
        <f t="shared" si="0"/>
        <v/>
      </c>
      <c r="I74" s="18"/>
      <c r="J74" s="61"/>
      <c r="K74" s="696"/>
      <c r="L74" s="420" t="str">
        <f t="shared" si="3"/>
        <v/>
      </c>
      <c r="M74" s="401" t="str">
        <f t="shared" si="4"/>
        <v/>
      </c>
    </row>
    <row r="75" spans="2:13" s="28" customFormat="1" ht="24.75" customHeight="1" x14ac:dyDescent="0.25">
      <c r="B75" s="144" t="str">
        <f>$B$14</f>
        <v>C13.6</v>
      </c>
      <c r="C75" s="498" t="str">
        <f>"TOTAL CARRIED FORWARD"&amp;IF(H75=H$1," TO SUMMARY (Page C"&amp;Page_B&amp;")","")</f>
        <v>TOTAL CARRIED FORWARD TO SUMMARY (Page C65)</v>
      </c>
      <c r="D75" s="31"/>
      <c r="E75" s="31"/>
      <c r="F75" s="32"/>
      <c r="G75" s="31"/>
      <c r="H75" s="33">
        <f>SUM(H13:H74)</f>
        <v>180000</v>
      </c>
      <c r="I75" s="34"/>
      <c r="J75" s="408"/>
      <c r="K75" s="406"/>
      <c r="L75" s="418">
        <f>SUM(L13:L74)</f>
        <v>0</v>
      </c>
      <c r="M75" s="407" t="str">
        <f t="shared" ref="M75" si="5">IF(J75="","",IF(SUM(H75)=0,"",L75/H75))</f>
        <v/>
      </c>
    </row>
  </sheetData>
  <mergeCells count="4">
    <mergeCell ref="F3:H3"/>
    <mergeCell ref="H6:H11"/>
    <mergeCell ref="B6:G6"/>
    <mergeCell ref="B7:G9"/>
  </mergeCells>
  <conditionalFormatting sqref="G13:H75">
    <cfRule type="expression" dxfId="65" priority="1">
      <formula>AND(_Show_Price=FALSE,$D13&lt;&gt;"PC Sum",$D13&lt;&gt;"P C Sum",$D13&lt;&gt;"Prov Sum",$D13&lt;&gt;"P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tabColor rgb="FF00B050"/>
  </sheetPr>
  <dimension ref="A1:N148"/>
  <sheetViews>
    <sheetView view="pageBreakPreview" zoomScale="90" zoomScaleNormal="125" zoomScaleSheetLayoutView="90" zoomScalePageLayoutView="125" workbookViewId="0">
      <pane ySplit="2" topLeftCell="A3"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MAX(H2:H212)</f>
        <v>0</v>
      </c>
      <c r="I1" s="247">
        <f>MAX(I2:I212)</f>
        <v>0</v>
      </c>
      <c r="J1" s="248"/>
      <c r="K1" s="249"/>
      <c r="L1" s="249">
        <f>MAX(L2:L85)</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"&amp;B14</f>
        <v>CHAPTER C13.7</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12.75" customHeight="1" x14ac:dyDescent="0.25">
      <c r="B9" s="1117"/>
      <c r="C9" s="1118"/>
      <c r="D9" s="1118"/>
      <c r="E9" s="1118"/>
      <c r="F9" s="1118"/>
      <c r="G9" s="1118"/>
      <c r="H9" s="1122"/>
      <c r="I9" s="8"/>
    </row>
    <row r="10" spans="1:14" ht="12.75" customHeight="1" x14ac:dyDescent="0.25">
      <c r="B10" s="656" t="s">
        <v>1775</v>
      </c>
      <c r="C10" s="641"/>
      <c r="D10" s="12"/>
      <c r="E10" s="12"/>
      <c r="F10" s="641"/>
      <c r="G10" s="641"/>
      <c r="H10" s="1122"/>
      <c r="I10" s="8"/>
    </row>
    <row r="11" spans="1:14" ht="7.5" customHeight="1" x14ac:dyDescent="0.25">
      <c r="B11" s="611"/>
      <c r="C11" s="612"/>
      <c r="D11" s="679"/>
      <c r="E11" s="679"/>
      <c r="F11" s="612"/>
      <c r="G11" s="612"/>
      <c r="H11" s="1123"/>
      <c r="I11" s="8"/>
    </row>
    <row r="12" spans="1:14" s="9" customFormat="1" ht="25" customHeight="1" x14ac:dyDescent="0.25">
      <c r="B12" s="10" t="s">
        <v>0</v>
      </c>
      <c r="C12" s="11" t="s">
        <v>1</v>
      </c>
      <c r="D12" s="11" t="s">
        <v>2</v>
      </c>
      <c r="E12" s="11"/>
      <c r="F12" s="11" t="s">
        <v>3</v>
      </c>
      <c r="G12" s="11" t="s">
        <v>4</v>
      </c>
      <c r="H12" s="11" t="s">
        <v>5</v>
      </c>
      <c r="I12" s="12"/>
      <c r="J12" s="408" t="s">
        <v>996</v>
      </c>
      <c r="K12" s="253" t="s">
        <v>997</v>
      </c>
      <c r="L12" s="253" t="s">
        <v>998</v>
      </c>
      <c r="M12" s="253" t="s">
        <v>999</v>
      </c>
    </row>
    <row r="13" spans="1:14" x14ac:dyDescent="0.25">
      <c r="B13" s="46"/>
      <c r="C13" s="14"/>
      <c r="D13" s="15"/>
      <c r="E13" s="15"/>
      <c r="F13" s="15"/>
      <c r="G13" s="411"/>
      <c r="H13" s="17" t="str">
        <f t="shared" ref="H13:H72" si="0">IF(D13="","",F13*G13)</f>
        <v/>
      </c>
      <c r="I13" s="18"/>
      <c r="J13" s="61"/>
      <c r="K13" s="399"/>
      <c r="L13" s="420" t="str">
        <f t="shared" ref="L13" si="1">IF(J13="","",F13*K13)</f>
        <v/>
      </c>
      <c r="M13" s="401" t="str">
        <f t="shared" ref="M13" si="2">IF(J13="","",IF(SUM(H13)=0,"",L13/H13))</f>
        <v/>
      </c>
    </row>
    <row r="14" spans="1:14" ht="13" x14ac:dyDescent="0.25">
      <c r="B14" s="73" t="s">
        <v>345</v>
      </c>
      <c r="C14" s="19" t="s">
        <v>344</v>
      </c>
      <c r="D14" s="15"/>
      <c r="E14" s="15"/>
      <c r="F14" s="15"/>
      <c r="G14" s="411"/>
      <c r="H14" s="17" t="str">
        <f t="shared" si="0"/>
        <v/>
      </c>
      <c r="I14" s="18"/>
      <c r="J14" s="61"/>
      <c r="K14" s="399"/>
      <c r="L14" s="420" t="str">
        <f t="shared" ref="L14:L72" si="3">IF(J14="","",F14*K14)</f>
        <v/>
      </c>
      <c r="M14" s="401" t="str">
        <f t="shared" ref="M14:M72" si="4">IF(J14="","",IF(SUM(H14)=0,"",L14/H14))</f>
        <v/>
      </c>
    </row>
    <row r="15" spans="1:14" x14ac:dyDescent="0.25">
      <c r="B15" s="46"/>
      <c r="C15" s="14"/>
      <c r="D15" s="15"/>
      <c r="E15" s="15"/>
      <c r="F15" s="15"/>
      <c r="G15" s="411"/>
      <c r="H15" s="17" t="str">
        <f t="shared" si="0"/>
        <v/>
      </c>
      <c r="I15" s="18"/>
      <c r="J15" s="61"/>
      <c r="K15" s="399"/>
      <c r="L15" s="420" t="str">
        <f t="shared" si="3"/>
        <v/>
      </c>
      <c r="M15" s="401" t="str">
        <f t="shared" si="4"/>
        <v/>
      </c>
    </row>
    <row r="16" spans="1:14" ht="13" x14ac:dyDescent="0.25">
      <c r="B16" s="73" t="s">
        <v>346</v>
      </c>
      <c r="C16" s="19" t="s">
        <v>347</v>
      </c>
      <c r="D16" s="15"/>
      <c r="E16" s="15"/>
      <c r="F16" s="15"/>
      <c r="G16" s="411"/>
      <c r="H16" s="17" t="str">
        <f t="shared" si="0"/>
        <v/>
      </c>
      <c r="I16" s="18"/>
      <c r="J16" s="61"/>
      <c r="K16" s="399"/>
      <c r="L16" s="420" t="str">
        <f t="shared" si="3"/>
        <v/>
      </c>
      <c r="M16" s="401" t="str">
        <f t="shared" si="4"/>
        <v/>
      </c>
    </row>
    <row r="17" spans="2:13" x14ac:dyDescent="0.25">
      <c r="B17" s="46"/>
      <c r="C17" s="14"/>
      <c r="D17" s="15"/>
      <c r="E17" s="15"/>
      <c r="F17" s="15"/>
      <c r="G17" s="411"/>
      <c r="H17" s="17" t="str">
        <f t="shared" si="0"/>
        <v/>
      </c>
      <c r="I17" s="18"/>
      <c r="J17" s="61"/>
      <c r="K17" s="399"/>
      <c r="L17" s="420" t="str">
        <f t="shared" si="3"/>
        <v/>
      </c>
      <c r="M17" s="401" t="str">
        <f t="shared" si="4"/>
        <v/>
      </c>
    </row>
    <row r="18" spans="2:13" ht="25" x14ac:dyDescent="0.25">
      <c r="B18" s="46" t="s">
        <v>351</v>
      </c>
      <c r="C18" s="14" t="s">
        <v>1693</v>
      </c>
      <c r="D18" s="15" t="s">
        <v>6</v>
      </c>
      <c r="E18" s="15" t="s">
        <v>996</v>
      </c>
      <c r="F18" s="24">
        <v>24</v>
      </c>
      <c r="G18" s="422"/>
      <c r="H18" s="17">
        <f t="shared" si="0"/>
        <v>0</v>
      </c>
      <c r="I18" s="57"/>
      <c r="J18" s="61" t="s">
        <v>996</v>
      </c>
      <c r="K18" s="399">
        <f>IF(D18="","",ROUND(6%*G18,1))</f>
        <v>0</v>
      </c>
      <c r="L18" s="420">
        <f t="shared" si="3"/>
        <v>0</v>
      </c>
      <c r="M18" s="401" t="str">
        <f t="shared" si="4"/>
        <v/>
      </c>
    </row>
    <row r="19" spans="2:13" x14ac:dyDescent="0.25">
      <c r="B19" s="46"/>
      <c r="C19" s="14"/>
      <c r="D19" s="15"/>
      <c r="E19" s="15"/>
      <c r="F19" s="24"/>
      <c r="G19" s="703"/>
      <c r="H19" s="17" t="str">
        <f t="shared" si="0"/>
        <v/>
      </c>
      <c r="I19" s="57"/>
      <c r="J19" s="61"/>
      <c r="K19" s="399"/>
      <c r="L19" s="420" t="str">
        <f t="shared" si="3"/>
        <v/>
      </c>
      <c r="M19" s="401" t="str">
        <f t="shared" si="4"/>
        <v/>
      </c>
    </row>
    <row r="20" spans="2:13" ht="13" x14ac:dyDescent="0.25">
      <c r="B20" s="73" t="s">
        <v>353</v>
      </c>
      <c r="C20" s="19" t="s">
        <v>348</v>
      </c>
      <c r="D20" s="15"/>
      <c r="E20" s="15"/>
      <c r="F20" s="24"/>
      <c r="G20" s="411"/>
      <c r="H20" s="17" t="str">
        <f t="shared" si="0"/>
        <v/>
      </c>
      <c r="I20" s="57"/>
      <c r="J20" s="61"/>
      <c r="K20" s="399"/>
      <c r="L20" s="420" t="str">
        <f t="shared" si="3"/>
        <v/>
      </c>
      <c r="M20" s="401" t="str">
        <f t="shared" si="4"/>
        <v/>
      </c>
    </row>
    <row r="21" spans="2:13" x14ac:dyDescent="0.25">
      <c r="B21" s="46"/>
      <c r="C21" s="14"/>
      <c r="D21" s="15"/>
      <c r="E21" s="15"/>
      <c r="F21" s="24"/>
      <c r="G21" s="423"/>
      <c r="H21" s="17" t="str">
        <f t="shared" si="0"/>
        <v/>
      </c>
      <c r="I21" s="57"/>
      <c r="J21" s="61"/>
      <c r="K21" s="399"/>
      <c r="L21" s="420" t="str">
        <f t="shared" si="3"/>
        <v/>
      </c>
      <c r="M21" s="401" t="str">
        <f t="shared" si="4"/>
        <v/>
      </c>
    </row>
    <row r="22" spans="2:13" x14ac:dyDescent="0.25">
      <c r="B22" s="46" t="s">
        <v>352</v>
      </c>
      <c r="C22" s="49" t="s">
        <v>1694</v>
      </c>
      <c r="D22" s="15"/>
      <c r="E22" s="15"/>
      <c r="F22" s="24"/>
      <c r="G22" s="421"/>
      <c r="H22" s="17" t="str">
        <f t="shared" si="0"/>
        <v/>
      </c>
      <c r="I22" s="18"/>
      <c r="J22" s="61"/>
      <c r="K22" s="402"/>
      <c r="L22" s="420" t="str">
        <f t="shared" si="3"/>
        <v/>
      </c>
      <c r="M22" s="401" t="str">
        <f t="shared" si="4"/>
        <v/>
      </c>
    </row>
    <row r="23" spans="2:13" x14ac:dyDescent="0.25">
      <c r="B23" s="46"/>
      <c r="C23" s="49"/>
      <c r="D23" s="15"/>
      <c r="E23" s="15"/>
      <c r="F23" s="24"/>
      <c r="G23" s="421"/>
      <c r="H23" s="17" t="str">
        <f t="shared" si="0"/>
        <v/>
      </c>
      <c r="I23" s="18"/>
      <c r="J23" s="61"/>
      <c r="K23" s="402"/>
      <c r="L23" s="420" t="str">
        <f t="shared" si="3"/>
        <v/>
      </c>
      <c r="M23" s="401" t="str">
        <f t="shared" si="4"/>
        <v/>
      </c>
    </row>
    <row r="24" spans="2:13" ht="14.5" x14ac:dyDescent="0.25">
      <c r="B24" s="46" t="s">
        <v>990</v>
      </c>
      <c r="C24" s="49" t="s">
        <v>1858</v>
      </c>
      <c r="D24" s="15" t="s">
        <v>61</v>
      </c>
      <c r="E24" s="15" t="s">
        <v>996</v>
      </c>
      <c r="F24" s="24">
        <v>15</v>
      </c>
      <c r="G24" s="421"/>
      <c r="H24" s="17">
        <f t="shared" si="0"/>
        <v>0</v>
      </c>
      <c r="I24" s="63"/>
      <c r="J24" s="61" t="s">
        <v>996</v>
      </c>
      <c r="K24" s="399">
        <f>IF(D24="","",ROUND(6%*G24,1))</f>
        <v>0</v>
      </c>
      <c r="L24" s="420">
        <f t="shared" si="3"/>
        <v>0</v>
      </c>
      <c r="M24" s="401" t="str">
        <f t="shared" si="4"/>
        <v/>
      </c>
    </row>
    <row r="25" spans="2:13" x14ac:dyDescent="0.25">
      <c r="B25" s="46"/>
      <c r="C25" s="49"/>
      <c r="D25" s="15"/>
      <c r="E25" s="15"/>
      <c r="F25" s="24"/>
      <c r="G25" s="421"/>
      <c r="H25" s="17" t="str">
        <f t="shared" si="0"/>
        <v/>
      </c>
      <c r="I25" s="63"/>
      <c r="J25" s="61"/>
      <c r="K25" s="399"/>
      <c r="L25" s="420" t="str">
        <f t="shared" si="3"/>
        <v/>
      </c>
      <c r="M25" s="401" t="str">
        <f t="shared" si="4"/>
        <v/>
      </c>
    </row>
    <row r="26" spans="2:13" ht="14.5" x14ac:dyDescent="0.25">
      <c r="B26" s="46" t="s">
        <v>991</v>
      </c>
      <c r="C26" s="49" t="s">
        <v>1859</v>
      </c>
      <c r="D26" s="15" t="s">
        <v>61</v>
      </c>
      <c r="E26" s="15" t="s">
        <v>996</v>
      </c>
      <c r="F26" s="24">
        <v>10</v>
      </c>
      <c r="G26" s="421"/>
      <c r="H26" s="17">
        <f t="shared" si="0"/>
        <v>0</v>
      </c>
      <c r="I26" s="63"/>
      <c r="J26" s="61" t="s">
        <v>996</v>
      </c>
      <c r="K26" s="399">
        <f>IF(D26="","",ROUND(6%*G26,1))</f>
        <v>0</v>
      </c>
      <c r="L26" s="420">
        <f t="shared" si="3"/>
        <v>0</v>
      </c>
      <c r="M26" s="401" t="str">
        <f t="shared" si="4"/>
        <v/>
      </c>
    </row>
    <row r="27" spans="2:13" x14ac:dyDescent="0.25">
      <c r="B27" s="46"/>
      <c r="C27" s="49"/>
      <c r="D27" s="15"/>
      <c r="E27" s="15"/>
      <c r="F27" s="24"/>
      <c r="G27" s="421"/>
      <c r="H27" s="17" t="str">
        <f t="shared" si="0"/>
        <v/>
      </c>
      <c r="I27" s="63"/>
      <c r="J27" s="61"/>
      <c r="K27" s="399" t="str">
        <f t="shared" ref="K27" si="5">IF(D27="","",ROUND(Labour_perc_structures*H27,1))</f>
        <v/>
      </c>
      <c r="L27" s="420" t="str">
        <f t="shared" si="3"/>
        <v/>
      </c>
      <c r="M27" s="401" t="str">
        <f t="shared" si="4"/>
        <v/>
      </c>
    </row>
    <row r="28" spans="2:13" ht="13" x14ac:dyDescent="0.25">
      <c r="B28" s="73" t="s">
        <v>355</v>
      </c>
      <c r="C28" s="19" t="s">
        <v>349</v>
      </c>
      <c r="D28" s="15"/>
      <c r="E28" s="15"/>
      <c r="F28" s="24"/>
      <c r="G28" s="423"/>
      <c r="H28" s="17" t="str">
        <f t="shared" si="0"/>
        <v/>
      </c>
      <c r="I28" s="63"/>
      <c r="J28" s="61"/>
      <c r="K28" s="399"/>
      <c r="L28" s="420" t="str">
        <f t="shared" si="3"/>
        <v/>
      </c>
      <c r="M28" s="401" t="str">
        <f t="shared" si="4"/>
        <v/>
      </c>
    </row>
    <row r="29" spans="2:13" x14ac:dyDescent="0.25">
      <c r="B29" s="46"/>
      <c r="C29" s="14"/>
      <c r="D29" s="15"/>
      <c r="E29" s="15"/>
      <c r="F29" s="24"/>
      <c r="G29" s="421"/>
      <c r="H29" s="17" t="str">
        <f t="shared" si="0"/>
        <v/>
      </c>
      <c r="I29" s="63"/>
      <c r="J29" s="61"/>
      <c r="K29" s="399"/>
      <c r="L29" s="420" t="str">
        <f t="shared" si="3"/>
        <v/>
      </c>
      <c r="M29" s="401" t="str">
        <f t="shared" si="4"/>
        <v/>
      </c>
    </row>
    <row r="30" spans="2:13" ht="25" x14ac:dyDescent="0.25">
      <c r="B30" s="46" t="s">
        <v>356</v>
      </c>
      <c r="C30" s="14" t="s">
        <v>1697</v>
      </c>
      <c r="D30" s="15" t="s">
        <v>61</v>
      </c>
      <c r="E30" s="15" t="s">
        <v>996</v>
      </c>
      <c r="F30" s="582">
        <v>2.5</v>
      </c>
      <c r="G30" s="422"/>
      <c r="H30" s="17">
        <f t="shared" si="0"/>
        <v>0</v>
      </c>
      <c r="I30" s="63"/>
      <c r="J30" s="61" t="s">
        <v>996</v>
      </c>
      <c r="K30" s="399">
        <f>IF(D30="","",ROUND(6%*G30,1))</f>
        <v>0</v>
      </c>
      <c r="L30" s="420">
        <f t="shared" si="3"/>
        <v>0</v>
      </c>
      <c r="M30" s="401" t="str">
        <f t="shared" si="4"/>
        <v/>
      </c>
    </row>
    <row r="31" spans="2:13" x14ac:dyDescent="0.25">
      <c r="B31" s="46"/>
      <c r="C31" s="14"/>
      <c r="D31" s="15"/>
      <c r="E31" s="15"/>
      <c r="F31" s="24"/>
      <c r="G31" s="421"/>
      <c r="H31" s="17" t="str">
        <f t="shared" si="0"/>
        <v/>
      </c>
      <c r="I31" s="63"/>
      <c r="J31" s="61"/>
      <c r="K31" s="399"/>
      <c r="L31" s="420" t="str">
        <f t="shared" si="3"/>
        <v/>
      </c>
      <c r="M31" s="401" t="str">
        <f t="shared" si="4"/>
        <v/>
      </c>
    </row>
    <row r="32" spans="2:13" ht="13" x14ac:dyDescent="0.25">
      <c r="B32" s="73" t="s">
        <v>357</v>
      </c>
      <c r="C32" s="19" t="s">
        <v>350</v>
      </c>
      <c r="D32" s="15"/>
      <c r="E32" s="15"/>
      <c r="F32" s="24"/>
      <c r="G32" s="422"/>
      <c r="H32" s="17" t="str">
        <f t="shared" si="0"/>
        <v/>
      </c>
      <c r="I32" s="63"/>
      <c r="J32" s="61"/>
      <c r="K32" s="399"/>
      <c r="L32" s="420" t="str">
        <f t="shared" si="3"/>
        <v/>
      </c>
      <c r="M32" s="401" t="str">
        <f t="shared" si="4"/>
        <v/>
      </c>
    </row>
    <row r="33" spans="2:13" x14ac:dyDescent="0.25">
      <c r="B33" s="46"/>
      <c r="C33" s="14"/>
      <c r="D33" s="15"/>
      <c r="E33" s="15"/>
      <c r="F33" s="24"/>
      <c r="G33" s="411"/>
      <c r="H33" s="17" t="str">
        <f t="shared" si="0"/>
        <v/>
      </c>
      <c r="I33" s="63"/>
      <c r="J33" s="61"/>
      <c r="K33" s="399"/>
      <c r="L33" s="420" t="str">
        <f t="shared" si="3"/>
        <v/>
      </c>
      <c r="M33" s="401" t="str">
        <f t="shared" si="4"/>
        <v/>
      </c>
    </row>
    <row r="34" spans="2:13" x14ac:dyDescent="0.25">
      <c r="B34" s="46" t="s">
        <v>358</v>
      </c>
      <c r="C34" s="14" t="s">
        <v>1843</v>
      </c>
      <c r="D34" s="15"/>
      <c r="E34" s="15"/>
      <c r="F34" s="24"/>
      <c r="G34" s="411"/>
      <c r="H34" s="17" t="str">
        <f t="shared" si="0"/>
        <v/>
      </c>
      <c r="I34" s="57"/>
      <c r="J34" s="61"/>
      <c r="K34" s="399"/>
      <c r="L34" s="420" t="str">
        <f t="shared" si="3"/>
        <v/>
      </c>
      <c r="M34" s="401" t="str">
        <f t="shared" si="4"/>
        <v/>
      </c>
    </row>
    <row r="35" spans="2:13" x14ac:dyDescent="0.25">
      <c r="B35" s="46"/>
      <c r="C35" s="14"/>
      <c r="D35" s="15"/>
      <c r="E35" s="15"/>
      <c r="F35" s="24"/>
      <c r="G35" s="411"/>
      <c r="H35" s="17" t="str">
        <f t="shared" si="0"/>
        <v/>
      </c>
      <c r="I35" s="18"/>
      <c r="J35" s="61"/>
      <c r="K35" s="399"/>
      <c r="L35" s="420" t="str">
        <f t="shared" si="3"/>
        <v/>
      </c>
      <c r="M35" s="401" t="str">
        <f t="shared" si="4"/>
        <v/>
      </c>
    </row>
    <row r="36" spans="2:13" s="36" customFormat="1" ht="37.5" x14ac:dyDescent="0.25">
      <c r="B36" s="46" t="s">
        <v>990</v>
      </c>
      <c r="C36" s="14" t="s">
        <v>1844</v>
      </c>
      <c r="D36" s="15" t="s">
        <v>6</v>
      </c>
      <c r="E36" s="15" t="s">
        <v>996</v>
      </c>
      <c r="F36" s="24">
        <v>13</v>
      </c>
      <c r="G36" s="411"/>
      <c r="H36" s="17">
        <f t="shared" si="0"/>
        <v>0</v>
      </c>
      <c r="I36" s="18"/>
      <c r="J36" s="61" t="s">
        <v>996</v>
      </c>
      <c r="K36" s="399">
        <f>IF(D36="","",ROUND(6%*G36,1))</f>
        <v>0</v>
      </c>
      <c r="L36" s="420">
        <f t="shared" si="3"/>
        <v>0</v>
      </c>
      <c r="M36" s="401" t="str">
        <f t="shared" si="4"/>
        <v/>
      </c>
    </row>
    <row r="37" spans="2:13" x14ac:dyDescent="0.25">
      <c r="B37" s="46"/>
      <c r="C37" s="14"/>
      <c r="D37" s="15"/>
      <c r="E37" s="15"/>
      <c r="F37" s="24"/>
      <c r="G37" s="411"/>
      <c r="H37" s="17" t="str">
        <f t="shared" si="0"/>
        <v/>
      </c>
      <c r="I37" s="57"/>
      <c r="J37" s="61"/>
      <c r="K37" s="399"/>
      <c r="L37" s="420" t="str">
        <f t="shared" si="3"/>
        <v/>
      </c>
      <c r="M37" s="401" t="str">
        <f t="shared" si="4"/>
        <v/>
      </c>
    </row>
    <row r="38" spans="2:13" ht="37.5" x14ac:dyDescent="0.25">
      <c r="B38" s="46" t="s">
        <v>991</v>
      </c>
      <c r="C38" s="14" t="s">
        <v>1845</v>
      </c>
      <c r="D38" s="15" t="s">
        <v>6</v>
      </c>
      <c r="E38" s="15" t="s">
        <v>996</v>
      </c>
      <c r="F38" s="24">
        <v>13</v>
      </c>
      <c r="G38" s="411"/>
      <c r="H38" s="17">
        <f t="shared" si="0"/>
        <v>0</v>
      </c>
      <c r="I38" s="57"/>
      <c r="J38" s="61" t="s">
        <v>996</v>
      </c>
      <c r="K38" s="399">
        <f>IF(D38="","",ROUND(6%*G38,1))</f>
        <v>0</v>
      </c>
      <c r="L38" s="420">
        <f t="shared" si="3"/>
        <v>0</v>
      </c>
      <c r="M38" s="401" t="str">
        <f t="shared" si="4"/>
        <v/>
      </c>
    </row>
    <row r="39" spans="2:13" x14ac:dyDescent="0.25">
      <c r="B39" s="46"/>
      <c r="C39" s="14"/>
      <c r="D39" s="15"/>
      <c r="E39" s="15"/>
      <c r="F39" s="24"/>
      <c r="G39" s="411"/>
      <c r="H39" s="17" t="str">
        <f t="shared" si="0"/>
        <v/>
      </c>
      <c r="I39" s="18"/>
      <c r="J39" s="61"/>
      <c r="K39" s="399"/>
      <c r="L39" s="420" t="str">
        <f t="shared" si="3"/>
        <v/>
      </c>
      <c r="M39" s="401" t="str">
        <f t="shared" si="4"/>
        <v/>
      </c>
    </row>
    <row r="40" spans="2:13" x14ac:dyDescent="0.25">
      <c r="B40" s="46"/>
      <c r="C40" s="14"/>
      <c r="D40" s="15"/>
      <c r="E40" s="15"/>
      <c r="F40" s="24"/>
      <c r="G40" s="411"/>
      <c r="H40" s="17" t="str">
        <f t="shared" si="0"/>
        <v/>
      </c>
      <c r="I40" s="18"/>
      <c r="J40" s="61"/>
      <c r="K40" s="399"/>
      <c r="L40" s="420" t="str">
        <f t="shared" si="3"/>
        <v/>
      </c>
      <c r="M40" s="401" t="str">
        <f t="shared" si="4"/>
        <v/>
      </c>
    </row>
    <row r="41" spans="2:13" x14ac:dyDescent="0.25">
      <c r="B41" s="46"/>
      <c r="C41" s="14"/>
      <c r="D41" s="15"/>
      <c r="E41" s="15"/>
      <c r="F41" s="24"/>
      <c r="G41" s="411"/>
      <c r="H41" s="17" t="str">
        <f t="shared" si="0"/>
        <v/>
      </c>
      <c r="I41" s="18"/>
      <c r="J41" s="61"/>
      <c r="K41" s="399"/>
      <c r="L41" s="420" t="str">
        <f t="shared" si="3"/>
        <v/>
      </c>
      <c r="M41" s="401" t="str">
        <f t="shared" si="4"/>
        <v/>
      </c>
    </row>
    <row r="42" spans="2:13" x14ac:dyDescent="0.25">
      <c r="B42" s="46"/>
      <c r="C42" s="14"/>
      <c r="D42" s="15"/>
      <c r="E42" s="15"/>
      <c r="F42" s="24"/>
      <c r="G42" s="411"/>
      <c r="H42" s="17" t="str">
        <f t="shared" si="0"/>
        <v/>
      </c>
      <c r="I42" s="18"/>
      <c r="J42" s="61"/>
      <c r="K42" s="399"/>
      <c r="L42" s="420" t="str">
        <f t="shared" si="3"/>
        <v/>
      </c>
      <c r="M42" s="401" t="str">
        <f t="shared" si="4"/>
        <v/>
      </c>
    </row>
    <row r="43" spans="2:13" x14ac:dyDescent="0.25">
      <c r="B43" s="46"/>
      <c r="C43" s="14"/>
      <c r="D43" s="15"/>
      <c r="E43" s="15"/>
      <c r="F43" s="24"/>
      <c r="G43" s="411"/>
      <c r="H43" s="17" t="str">
        <f t="shared" si="0"/>
        <v/>
      </c>
      <c r="I43" s="18"/>
      <c r="J43" s="61"/>
      <c r="K43" s="399"/>
      <c r="L43" s="420" t="str">
        <f t="shared" si="3"/>
        <v/>
      </c>
      <c r="M43" s="401" t="str">
        <f t="shared" si="4"/>
        <v/>
      </c>
    </row>
    <row r="44" spans="2:13" x14ac:dyDescent="0.25">
      <c r="B44" s="46"/>
      <c r="C44" s="238"/>
      <c r="D44" s="15"/>
      <c r="E44" s="15"/>
      <c r="F44" s="24"/>
      <c r="G44" s="411"/>
      <c r="H44" s="17" t="str">
        <f t="shared" si="0"/>
        <v/>
      </c>
      <c r="I44" s="18"/>
      <c r="J44" s="61"/>
      <c r="K44" s="399"/>
      <c r="L44" s="420" t="str">
        <f t="shared" si="3"/>
        <v/>
      </c>
      <c r="M44" s="401" t="str">
        <f t="shared" si="4"/>
        <v/>
      </c>
    </row>
    <row r="45" spans="2:13" x14ac:dyDescent="0.25">
      <c r="B45" s="46"/>
      <c r="C45" s="14"/>
      <c r="D45" s="15"/>
      <c r="E45" s="15"/>
      <c r="F45" s="24"/>
      <c r="G45" s="423"/>
      <c r="H45" s="17" t="str">
        <f t="shared" si="0"/>
        <v/>
      </c>
      <c r="I45" s="18"/>
      <c r="J45" s="61"/>
      <c r="K45" s="399"/>
      <c r="L45" s="420" t="str">
        <f t="shared" si="3"/>
        <v/>
      </c>
      <c r="M45" s="401" t="str">
        <f t="shared" si="4"/>
        <v/>
      </c>
    </row>
    <row r="46" spans="2:13" x14ac:dyDescent="0.25">
      <c r="B46" s="46"/>
      <c r="C46" s="14"/>
      <c r="D46" s="15"/>
      <c r="E46" s="15"/>
      <c r="F46" s="24"/>
      <c r="G46" s="423"/>
      <c r="H46" s="17" t="str">
        <f t="shared" si="0"/>
        <v/>
      </c>
      <c r="I46" s="18"/>
      <c r="J46" s="61"/>
      <c r="K46" s="399"/>
      <c r="L46" s="420" t="str">
        <f t="shared" si="3"/>
        <v/>
      </c>
      <c r="M46" s="401" t="str">
        <f t="shared" si="4"/>
        <v/>
      </c>
    </row>
    <row r="47" spans="2:13" x14ac:dyDescent="0.25">
      <c r="B47" s="46"/>
      <c r="C47" s="14"/>
      <c r="D47" s="15"/>
      <c r="E47" s="15"/>
      <c r="F47" s="15"/>
      <c r="G47" s="411"/>
      <c r="H47" s="17" t="str">
        <f t="shared" si="0"/>
        <v/>
      </c>
      <c r="I47" s="18"/>
      <c r="J47" s="61"/>
      <c r="K47" s="399"/>
      <c r="L47" s="420" t="str">
        <f t="shared" si="3"/>
        <v/>
      </c>
      <c r="M47" s="401" t="str">
        <f t="shared" si="4"/>
        <v/>
      </c>
    </row>
    <row r="48" spans="2:13" x14ac:dyDescent="0.25">
      <c r="B48" s="46"/>
      <c r="C48" s="14"/>
      <c r="D48" s="15"/>
      <c r="E48" s="15"/>
      <c r="F48" s="15"/>
      <c r="G48" s="411"/>
      <c r="H48" s="17" t="str">
        <f t="shared" si="0"/>
        <v/>
      </c>
      <c r="I48" s="18"/>
      <c r="J48" s="61"/>
      <c r="K48" s="402"/>
      <c r="L48" s="420" t="str">
        <f t="shared" si="3"/>
        <v/>
      </c>
      <c r="M48" s="401" t="str">
        <f t="shared" si="4"/>
        <v/>
      </c>
    </row>
    <row r="49" spans="2:13" x14ac:dyDescent="0.25">
      <c r="B49" s="46"/>
      <c r="C49" s="14"/>
      <c r="D49" s="15"/>
      <c r="E49" s="15"/>
      <c r="F49" s="15"/>
      <c r="G49" s="422"/>
      <c r="H49" s="17" t="str">
        <f t="shared" si="0"/>
        <v/>
      </c>
      <c r="I49" s="18"/>
      <c r="J49" s="61"/>
      <c r="K49" s="399"/>
      <c r="L49" s="420" t="str">
        <f t="shared" si="3"/>
        <v/>
      </c>
      <c r="M49" s="401" t="str">
        <f t="shared" si="4"/>
        <v/>
      </c>
    </row>
    <row r="50" spans="2:13" x14ac:dyDescent="0.25">
      <c r="B50" s="46"/>
      <c r="C50" s="14"/>
      <c r="D50" s="15"/>
      <c r="E50" s="15"/>
      <c r="F50" s="15"/>
      <c r="G50" s="422"/>
      <c r="H50" s="17" t="str">
        <f t="shared" si="0"/>
        <v/>
      </c>
      <c r="I50" s="18"/>
      <c r="J50" s="61"/>
      <c r="K50" s="402"/>
      <c r="L50" s="420" t="str">
        <f t="shared" si="3"/>
        <v/>
      </c>
      <c r="M50" s="401" t="str">
        <f t="shared" si="4"/>
        <v/>
      </c>
    </row>
    <row r="51" spans="2:13" x14ac:dyDescent="0.25">
      <c r="B51" s="46"/>
      <c r="C51" s="14"/>
      <c r="D51" s="15"/>
      <c r="E51" s="15"/>
      <c r="F51" s="15"/>
      <c r="G51" s="422"/>
      <c r="H51" s="17" t="str">
        <f t="shared" si="0"/>
        <v/>
      </c>
      <c r="I51" s="18"/>
      <c r="J51" s="62"/>
      <c r="K51" s="62"/>
      <c r="L51" s="420" t="str">
        <f t="shared" si="3"/>
        <v/>
      </c>
      <c r="M51" s="401" t="str">
        <f t="shared" si="4"/>
        <v/>
      </c>
    </row>
    <row r="52" spans="2:13" x14ac:dyDescent="0.25">
      <c r="B52" s="46"/>
      <c r="C52" s="14"/>
      <c r="D52" s="15"/>
      <c r="E52" s="15"/>
      <c r="F52" s="15"/>
      <c r="G52" s="422"/>
      <c r="H52" s="17" t="str">
        <f t="shared" si="0"/>
        <v/>
      </c>
      <c r="I52" s="18"/>
      <c r="J52" s="62"/>
      <c r="K52" s="62"/>
      <c r="L52" s="420" t="str">
        <f t="shared" si="3"/>
        <v/>
      </c>
      <c r="M52" s="401" t="str">
        <f t="shared" si="4"/>
        <v/>
      </c>
    </row>
    <row r="53" spans="2:13" x14ac:dyDescent="0.25">
      <c r="B53" s="46"/>
      <c r="C53" s="14"/>
      <c r="D53" s="15"/>
      <c r="E53" s="15"/>
      <c r="F53" s="15"/>
      <c r="G53" s="422"/>
      <c r="H53" s="17" t="str">
        <f t="shared" si="0"/>
        <v/>
      </c>
      <c r="I53" s="18"/>
      <c r="J53" s="62"/>
      <c r="K53" s="62"/>
      <c r="L53" s="420" t="str">
        <f t="shared" si="3"/>
        <v/>
      </c>
      <c r="M53" s="401" t="str">
        <f t="shared" si="4"/>
        <v/>
      </c>
    </row>
    <row r="54" spans="2:13" x14ac:dyDescent="0.25">
      <c r="B54" s="46"/>
      <c r="C54" s="14"/>
      <c r="D54" s="15"/>
      <c r="E54" s="15"/>
      <c r="F54" s="15"/>
      <c r="G54" s="422"/>
      <c r="H54" s="17" t="str">
        <f t="shared" si="0"/>
        <v/>
      </c>
      <c r="I54" s="18"/>
      <c r="J54" s="62"/>
      <c r="K54" s="62"/>
      <c r="L54" s="420" t="str">
        <f t="shared" si="3"/>
        <v/>
      </c>
      <c r="M54" s="401" t="str">
        <f t="shared" si="4"/>
        <v/>
      </c>
    </row>
    <row r="55" spans="2:13" x14ac:dyDescent="0.25">
      <c r="B55" s="46"/>
      <c r="C55" s="14"/>
      <c r="D55" s="15"/>
      <c r="E55" s="15"/>
      <c r="F55" s="15"/>
      <c r="G55" s="422"/>
      <c r="H55" s="17" t="str">
        <f t="shared" si="0"/>
        <v/>
      </c>
      <c r="I55" s="18"/>
      <c r="J55" s="62"/>
      <c r="K55" s="62"/>
      <c r="L55" s="420" t="str">
        <f t="shared" si="3"/>
        <v/>
      </c>
      <c r="M55" s="401" t="str">
        <f t="shared" si="4"/>
        <v/>
      </c>
    </row>
    <row r="56" spans="2:13" x14ac:dyDescent="0.25">
      <c r="B56" s="46"/>
      <c r="C56" s="14"/>
      <c r="D56" s="15"/>
      <c r="E56" s="15"/>
      <c r="F56" s="15"/>
      <c r="G56" s="422"/>
      <c r="H56" s="17" t="str">
        <f t="shared" si="0"/>
        <v/>
      </c>
      <c r="I56" s="18"/>
      <c r="J56" s="62"/>
      <c r="K56" s="62"/>
      <c r="L56" s="420" t="str">
        <f t="shared" si="3"/>
        <v/>
      </c>
      <c r="M56" s="401" t="str">
        <f t="shared" si="4"/>
        <v/>
      </c>
    </row>
    <row r="57" spans="2:13" x14ac:dyDescent="0.25">
      <c r="B57" s="46"/>
      <c r="C57" s="14"/>
      <c r="D57" s="15"/>
      <c r="E57" s="15"/>
      <c r="F57" s="15"/>
      <c r="G57" s="424"/>
      <c r="H57" s="17" t="str">
        <f t="shared" si="0"/>
        <v/>
      </c>
      <c r="I57" s="18"/>
      <c r="J57" s="62"/>
      <c r="K57" s="62"/>
      <c r="L57" s="420" t="str">
        <f t="shared" si="3"/>
        <v/>
      </c>
      <c r="M57" s="401" t="str">
        <f t="shared" si="4"/>
        <v/>
      </c>
    </row>
    <row r="58" spans="2:13" x14ac:dyDescent="0.25">
      <c r="B58" s="46"/>
      <c r="C58" s="14"/>
      <c r="D58" s="15"/>
      <c r="E58" s="15"/>
      <c r="F58" s="15"/>
      <c r="G58" s="424"/>
      <c r="H58" s="17" t="str">
        <f t="shared" si="0"/>
        <v/>
      </c>
      <c r="I58" s="18"/>
      <c r="J58" s="62"/>
      <c r="K58" s="62"/>
      <c r="L58" s="420" t="str">
        <f t="shared" si="3"/>
        <v/>
      </c>
      <c r="M58" s="401" t="str">
        <f t="shared" si="4"/>
        <v/>
      </c>
    </row>
    <row r="59" spans="2:13" x14ac:dyDescent="0.25">
      <c r="B59" s="46"/>
      <c r="C59" s="14"/>
      <c r="D59" s="15"/>
      <c r="E59" s="15"/>
      <c r="F59" s="15"/>
      <c r="G59" s="422"/>
      <c r="H59" s="17" t="str">
        <f t="shared" si="0"/>
        <v/>
      </c>
      <c r="I59" s="18"/>
      <c r="J59" s="62"/>
      <c r="K59" s="62"/>
      <c r="L59" s="420" t="str">
        <f t="shared" si="3"/>
        <v/>
      </c>
      <c r="M59" s="401" t="str">
        <f t="shared" si="4"/>
        <v/>
      </c>
    </row>
    <row r="60" spans="2:13" x14ac:dyDescent="0.25">
      <c r="B60" s="46"/>
      <c r="C60" s="14"/>
      <c r="D60" s="15"/>
      <c r="E60" s="15"/>
      <c r="F60" s="15"/>
      <c r="G60" s="422"/>
      <c r="H60" s="17" t="str">
        <f t="shared" si="0"/>
        <v/>
      </c>
      <c r="I60" s="18"/>
      <c r="J60" s="62"/>
      <c r="K60" s="62"/>
      <c r="L60" s="420" t="str">
        <f t="shared" si="3"/>
        <v/>
      </c>
      <c r="M60" s="401" t="str">
        <f t="shared" si="4"/>
        <v/>
      </c>
    </row>
    <row r="61" spans="2:13" x14ac:dyDescent="0.25">
      <c r="B61" s="46"/>
      <c r="C61" s="14"/>
      <c r="D61" s="15"/>
      <c r="E61" s="15"/>
      <c r="F61" s="15"/>
      <c r="G61" s="422"/>
      <c r="H61" s="17" t="str">
        <f t="shared" si="0"/>
        <v/>
      </c>
      <c r="I61" s="18"/>
      <c r="J61" s="62"/>
      <c r="K61" s="62"/>
      <c r="L61" s="420" t="str">
        <f t="shared" si="3"/>
        <v/>
      </c>
      <c r="M61" s="401" t="str">
        <f t="shared" si="4"/>
        <v/>
      </c>
    </row>
    <row r="62" spans="2:13" x14ac:dyDescent="0.25">
      <c r="B62" s="46"/>
      <c r="C62" s="14"/>
      <c r="D62" s="15"/>
      <c r="E62" s="15"/>
      <c r="F62" s="15"/>
      <c r="G62" s="422"/>
      <c r="H62" s="17" t="str">
        <f t="shared" si="0"/>
        <v/>
      </c>
      <c r="I62" s="18"/>
      <c r="J62" s="62"/>
      <c r="K62" s="62"/>
      <c r="L62" s="420" t="str">
        <f t="shared" si="3"/>
        <v/>
      </c>
      <c r="M62" s="401" t="str">
        <f t="shared" si="4"/>
        <v/>
      </c>
    </row>
    <row r="63" spans="2:13" x14ac:dyDescent="0.25">
      <c r="B63" s="46"/>
      <c r="C63" s="14"/>
      <c r="D63" s="15"/>
      <c r="E63" s="15"/>
      <c r="F63" s="15"/>
      <c r="G63" s="422"/>
      <c r="H63" s="17" t="str">
        <f t="shared" si="0"/>
        <v/>
      </c>
      <c r="I63" s="18"/>
      <c r="J63" s="62"/>
      <c r="K63" s="62"/>
      <c r="L63" s="420" t="str">
        <f t="shared" si="3"/>
        <v/>
      </c>
      <c r="M63" s="401" t="str">
        <f t="shared" si="4"/>
        <v/>
      </c>
    </row>
    <row r="64" spans="2:13" x14ac:dyDescent="0.25">
      <c r="B64" s="46"/>
      <c r="C64" s="14"/>
      <c r="D64" s="15"/>
      <c r="E64" s="15"/>
      <c r="F64" s="15"/>
      <c r="G64" s="422"/>
      <c r="H64" s="17" t="str">
        <f t="shared" si="0"/>
        <v/>
      </c>
      <c r="I64" s="18"/>
      <c r="J64" s="62"/>
      <c r="K64" s="62"/>
      <c r="L64" s="420" t="str">
        <f t="shared" si="3"/>
        <v/>
      </c>
      <c r="M64" s="401" t="str">
        <f t="shared" si="4"/>
        <v/>
      </c>
    </row>
    <row r="65" spans="2:13" x14ac:dyDescent="0.25">
      <c r="B65" s="46"/>
      <c r="C65" s="14"/>
      <c r="D65" s="15"/>
      <c r="E65" s="15"/>
      <c r="F65" s="15"/>
      <c r="G65" s="422"/>
      <c r="H65" s="17" t="str">
        <f t="shared" si="0"/>
        <v/>
      </c>
      <c r="I65" s="18"/>
      <c r="J65" s="62"/>
      <c r="K65" s="62"/>
      <c r="L65" s="420" t="str">
        <f t="shared" si="3"/>
        <v/>
      </c>
      <c r="M65" s="401" t="str">
        <f t="shared" si="4"/>
        <v/>
      </c>
    </row>
    <row r="66" spans="2:13" x14ac:dyDescent="0.25">
      <c r="B66" s="46"/>
      <c r="C66" s="14"/>
      <c r="D66" s="15"/>
      <c r="E66" s="15"/>
      <c r="F66" s="15"/>
      <c r="G66" s="422"/>
      <c r="H66" s="17" t="str">
        <f t="shared" si="0"/>
        <v/>
      </c>
      <c r="I66" s="18"/>
      <c r="J66" s="62"/>
      <c r="K66" s="62"/>
      <c r="L66" s="420" t="str">
        <f t="shared" si="3"/>
        <v/>
      </c>
      <c r="M66" s="401" t="str">
        <f t="shared" si="4"/>
        <v/>
      </c>
    </row>
    <row r="67" spans="2:13" x14ac:dyDescent="0.25">
      <c r="B67" s="46"/>
      <c r="C67" s="14"/>
      <c r="D67" s="15"/>
      <c r="E67" s="15"/>
      <c r="F67" s="15"/>
      <c r="G67" s="422"/>
      <c r="H67" s="17" t="str">
        <f t="shared" si="0"/>
        <v/>
      </c>
      <c r="I67" s="18"/>
      <c r="J67" s="62"/>
      <c r="K67" s="62"/>
      <c r="L67" s="420" t="str">
        <f t="shared" si="3"/>
        <v/>
      </c>
      <c r="M67" s="401" t="str">
        <f t="shared" si="4"/>
        <v/>
      </c>
    </row>
    <row r="68" spans="2:13" x14ac:dyDescent="0.25">
      <c r="B68" s="46"/>
      <c r="C68" s="14"/>
      <c r="D68" s="15"/>
      <c r="E68" s="15"/>
      <c r="F68" s="61"/>
      <c r="G68" s="422"/>
      <c r="H68" s="17" t="str">
        <f t="shared" si="0"/>
        <v/>
      </c>
      <c r="I68" s="63"/>
      <c r="J68" s="62"/>
      <c r="K68" s="62"/>
      <c r="L68" s="420" t="str">
        <f t="shared" si="3"/>
        <v/>
      </c>
      <c r="M68" s="401" t="str">
        <f t="shared" si="4"/>
        <v/>
      </c>
    </row>
    <row r="69" spans="2:13" x14ac:dyDescent="0.25">
      <c r="B69" s="46"/>
      <c r="C69" s="14"/>
      <c r="D69" s="15"/>
      <c r="E69" s="15"/>
      <c r="F69" s="15"/>
      <c r="G69" s="422"/>
      <c r="H69" s="17" t="str">
        <f t="shared" si="0"/>
        <v/>
      </c>
      <c r="I69" s="18"/>
      <c r="J69" s="62"/>
      <c r="K69" s="62"/>
      <c r="L69" s="420" t="str">
        <f t="shared" si="3"/>
        <v/>
      </c>
      <c r="M69" s="401" t="str">
        <f t="shared" si="4"/>
        <v/>
      </c>
    </row>
    <row r="70" spans="2:13" x14ac:dyDescent="0.25">
      <c r="B70" s="46"/>
      <c r="C70" s="14"/>
      <c r="D70" s="15"/>
      <c r="E70" s="15"/>
      <c r="F70" s="15"/>
      <c r="G70" s="422"/>
      <c r="H70" s="17" t="str">
        <f t="shared" si="0"/>
        <v/>
      </c>
      <c r="I70" s="18"/>
      <c r="J70" s="62"/>
      <c r="K70" s="62"/>
      <c r="L70" s="420" t="str">
        <f t="shared" si="3"/>
        <v/>
      </c>
      <c r="M70" s="401" t="str">
        <f t="shared" si="4"/>
        <v/>
      </c>
    </row>
    <row r="71" spans="2:13" x14ac:dyDescent="0.25">
      <c r="B71" s="46"/>
      <c r="C71" s="14"/>
      <c r="D71" s="15"/>
      <c r="E71" s="15"/>
      <c r="F71" s="15"/>
      <c r="G71" s="422"/>
      <c r="H71" s="17" t="str">
        <f t="shared" si="0"/>
        <v/>
      </c>
      <c r="I71" s="18"/>
      <c r="J71" s="61"/>
      <c r="K71" s="62"/>
      <c r="L71" s="420" t="str">
        <f t="shared" si="3"/>
        <v/>
      </c>
      <c r="M71" s="401" t="str">
        <f t="shared" si="4"/>
        <v/>
      </c>
    </row>
    <row r="72" spans="2:13" x14ac:dyDescent="0.25">
      <c r="B72" s="46"/>
      <c r="C72" s="14"/>
      <c r="D72" s="15"/>
      <c r="E72" s="15"/>
      <c r="F72" s="15"/>
      <c r="G72" s="422"/>
      <c r="H72" s="17" t="str">
        <f t="shared" si="0"/>
        <v/>
      </c>
      <c r="I72" s="18"/>
      <c r="J72" s="61"/>
      <c r="K72" s="696"/>
      <c r="L72" s="420" t="str">
        <f t="shared" si="3"/>
        <v/>
      </c>
      <c r="M72" s="401" t="str">
        <f t="shared" si="4"/>
        <v/>
      </c>
    </row>
    <row r="73" spans="2:13" s="28" customFormat="1" ht="19.5" customHeight="1" x14ac:dyDescent="0.25">
      <c r="B73" s="135" t="str">
        <f>$B$14</f>
        <v>C13.7</v>
      </c>
      <c r="C73" s="498" t="str">
        <f>"TOTAL CARRIED FORWARD"&amp;IF(H73=H$1," TO SUMMARY (Page C"&amp;Page_B&amp;")","")</f>
        <v>TOTAL CARRIED FORWARD TO SUMMARY (Page C65)</v>
      </c>
      <c r="D73" s="31"/>
      <c r="E73" s="31"/>
      <c r="F73" s="32"/>
      <c r="G73" s="31"/>
      <c r="H73" s="33">
        <f>SUM(H13:H72)</f>
        <v>0</v>
      </c>
      <c r="I73" s="34"/>
      <c r="J73" s="408"/>
      <c r="K73" s="406"/>
      <c r="L73" s="418">
        <f>SUM(L13:L72)</f>
        <v>0</v>
      </c>
      <c r="M73" s="407" t="str">
        <f t="shared" ref="M73" si="6">IF(J73="","",IF(SUM(H73)=0,"",L73/H73))</f>
        <v/>
      </c>
    </row>
    <row r="74" spans="2:13" ht="13" x14ac:dyDescent="0.25">
      <c r="B74" s="1108" t="str">
        <f>Client1</f>
        <v>Province of KwaZulu-Natal</v>
      </c>
      <c r="C74" s="1108"/>
      <c r="D74" s="1108"/>
      <c r="E74" s="87"/>
      <c r="F74" s="1109" t="str">
        <f>"Contract No. "&amp;ContractNo</f>
        <v>Contract No. ZNB 00399/00000/HOD/INF/21/T</v>
      </c>
      <c r="G74" s="1109"/>
      <c r="H74" s="1109"/>
    </row>
    <row r="75" spans="2:13" ht="13" x14ac:dyDescent="0.25">
      <c r="B75" s="1108" t="str">
        <f>Client2</f>
        <v>Department of Transport</v>
      </c>
      <c r="C75" s="1108"/>
      <c r="D75" s="1108"/>
      <c r="E75" s="87"/>
      <c r="F75" s="1109"/>
      <c r="G75" s="1109"/>
      <c r="H75" s="1109"/>
    </row>
    <row r="76" spans="2:13" x14ac:dyDescent="0.25">
      <c r="B76" s="1111"/>
      <c r="C76" s="1111"/>
      <c r="D76" s="1111"/>
      <c r="E76" s="78"/>
      <c r="F76" s="1110"/>
      <c r="G76" s="1110"/>
      <c r="H76" s="1110"/>
    </row>
    <row r="77" spans="2:13" ht="13" x14ac:dyDescent="0.25">
      <c r="B77" s="1112" t="s">
        <v>8</v>
      </c>
      <c r="C77" s="1113"/>
      <c r="D77" s="1113"/>
      <c r="E77" s="1113"/>
      <c r="F77" s="1113"/>
      <c r="G77" s="1113"/>
      <c r="H77" s="1125" t="str">
        <f>$H$6</f>
        <v>CHAPTER C13.7</v>
      </c>
      <c r="I77" s="6"/>
    </row>
    <row r="78" spans="2:13" ht="13" x14ac:dyDescent="0.25">
      <c r="B78" s="1117" t="str">
        <f>ContractDescription</f>
        <v>THE CONSTRUCTION OF EARTHWORKS, LAYERWORKS, SURFACING, CULVERTS AND CWAKA RIVER BRIDGE FROM KM 11.600 TO KM 14.000 ON MAIN ROAD P494 IN THE KING CETSHWAYO DISTRICT UNDER EMPANGENI REGION</v>
      </c>
      <c r="C78" s="1118"/>
      <c r="D78" s="1118"/>
      <c r="E78" s="1118"/>
      <c r="F78" s="1118"/>
      <c r="G78" s="1118"/>
      <c r="H78" s="1126"/>
      <c r="I78" s="8"/>
    </row>
    <row r="79" spans="2:13" ht="13" x14ac:dyDescent="0.25">
      <c r="B79" s="1117"/>
      <c r="C79" s="1118"/>
      <c r="D79" s="1118"/>
      <c r="E79" s="1118"/>
      <c r="F79" s="1118"/>
      <c r="G79" s="1118"/>
      <c r="H79" s="1126"/>
      <c r="I79" s="8"/>
    </row>
    <row r="80" spans="2:13" ht="13" x14ac:dyDescent="0.25">
      <c r="B80" s="1119"/>
      <c r="C80" s="1120"/>
      <c r="D80" s="1120"/>
      <c r="E80" s="1120"/>
      <c r="F80" s="1120"/>
      <c r="G80" s="1120"/>
      <c r="H80" s="1127"/>
      <c r="I80" s="8"/>
    </row>
    <row r="81" spans="2:9" s="9" customFormat="1" ht="25" customHeight="1" x14ac:dyDescent="0.25">
      <c r="B81" s="74" t="s">
        <v>0</v>
      </c>
      <c r="C81" s="11" t="s">
        <v>1</v>
      </c>
      <c r="D81" s="11" t="s">
        <v>2</v>
      </c>
      <c r="E81" s="11"/>
      <c r="F81" s="11" t="s">
        <v>3</v>
      </c>
      <c r="G81" s="11" t="s">
        <v>4</v>
      </c>
      <c r="H81" s="11" t="s">
        <v>5</v>
      </c>
      <c r="I81" s="12"/>
    </row>
    <row r="82" spans="2:9" s="28" customFormat="1" ht="19.5" customHeight="1" x14ac:dyDescent="0.25">
      <c r="B82" s="80"/>
      <c r="C82" s="30" t="s">
        <v>27</v>
      </c>
      <c r="D82" s="31"/>
      <c r="E82" s="31"/>
      <c r="F82" s="32"/>
      <c r="G82" s="31"/>
      <c r="H82" s="33">
        <f>H73</f>
        <v>0</v>
      </c>
      <c r="I82" s="34"/>
    </row>
    <row r="83" spans="2:9" x14ac:dyDescent="0.25">
      <c r="B83" s="46"/>
      <c r="C83" s="14"/>
      <c r="D83" s="21"/>
      <c r="E83" s="21"/>
      <c r="F83" s="21"/>
      <c r="G83" s="414"/>
      <c r="H83" s="17"/>
      <c r="I83" s="40"/>
    </row>
    <row r="84" spans="2:9" x14ac:dyDescent="0.25">
      <c r="B84" s="46"/>
      <c r="C84" s="14"/>
      <c r="D84" s="21"/>
      <c r="E84" s="21"/>
      <c r="F84" s="21"/>
      <c r="G84" s="414"/>
      <c r="H84" s="17" t="str">
        <f t="shared" ref="H84:H115" si="7">IF(D84="","",F84*G84)</f>
        <v/>
      </c>
      <c r="I84" s="40"/>
    </row>
    <row r="85" spans="2:9" x14ac:dyDescent="0.25">
      <c r="B85" s="46"/>
      <c r="C85" s="14"/>
      <c r="D85" s="21"/>
      <c r="E85" s="21"/>
      <c r="F85" s="21"/>
      <c r="G85" s="414"/>
      <c r="H85" s="17" t="str">
        <f t="shared" si="7"/>
        <v/>
      </c>
      <c r="I85" s="40"/>
    </row>
    <row r="86" spans="2:9" x14ac:dyDescent="0.25">
      <c r="B86" s="46"/>
      <c r="C86" s="14"/>
      <c r="D86" s="21"/>
      <c r="E86" s="21"/>
      <c r="F86" s="21"/>
      <c r="G86" s="414"/>
      <c r="H86" s="17" t="str">
        <f t="shared" si="7"/>
        <v/>
      </c>
      <c r="I86" s="40"/>
    </row>
    <row r="87" spans="2:9" x14ac:dyDescent="0.25">
      <c r="B87" s="46"/>
      <c r="C87" s="14"/>
      <c r="D87" s="21"/>
      <c r="E87" s="21"/>
      <c r="F87" s="21"/>
      <c r="G87" s="414"/>
      <c r="H87" s="17" t="str">
        <f t="shared" si="7"/>
        <v/>
      </c>
      <c r="I87" s="40"/>
    </row>
    <row r="88" spans="2:9" x14ac:dyDescent="0.25">
      <c r="B88" s="46"/>
      <c r="C88" s="14"/>
      <c r="D88" s="21"/>
      <c r="E88" s="21"/>
      <c r="F88" s="21"/>
      <c r="G88" s="414"/>
      <c r="H88" s="17" t="str">
        <f t="shared" si="7"/>
        <v/>
      </c>
      <c r="I88" s="40"/>
    </row>
    <row r="89" spans="2:9" x14ac:dyDescent="0.25">
      <c r="B89" s="46"/>
      <c r="C89" s="14"/>
      <c r="D89" s="21"/>
      <c r="E89" s="21"/>
      <c r="F89" s="21"/>
      <c r="G89" s="414"/>
      <c r="H89" s="17" t="str">
        <f t="shared" si="7"/>
        <v/>
      </c>
      <c r="I89" s="40"/>
    </row>
    <row r="90" spans="2:9" x14ac:dyDescent="0.25">
      <c r="B90" s="46"/>
      <c r="C90" s="14"/>
      <c r="D90" s="21"/>
      <c r="E90" s="21"/>
      <c r="F90" s="21"/>
      <c r="G90" s="414"/>
      <c r="H90" s="17" t="str">
        <f t="shared" si="7"/>
        <v/>
      </c>
      <c r="I90" s="40"/>
    </row>
    <row r="91" spans="2:9" x14ac:dyDescent="0.25">
      <c r="B91" s="46"/>
      <c r="C91" s="14"/>
      <c r="D91" s="21"/>
      <c r="E91" s="21"/>
      <c r="F91" s="21"/>
      <c r="G91" s="414"/>
      <c r="H91" s="17" t="str">
        <f t="shared" si="7"/>
        <v/>
      </c>
      <c r="I91" s="40"/>
    </row>
    <row r="92" spans="2:9" x14ac:dyDescent="0.25">
      <c r="B92" s="46"/>
      <c r="C92" s="14"/>
      <c r="D92" s="21"/>
      <c r="E92" s="21"/>
      <c r="F92" s="21"/>
      <c r="G92" s="414"/>
      <c r="H92" s="17" t="str">
        <f t="shared" si="7"/>
        <v/>
      </c>
      <c r="I92" s="40"/>
    </row>
    <row r="93" spans="2:9" x14ac:dyDescent="0.25">
      <c r="B93" s="46"/>
      <c r="C93" s="14"/>
      <c r="D93" s="21"/>
      <c r="E93" s="21"/>
      <c r="F93" s="21"/>
      <c r="G93" s="414"/>
      <c r="H93" s="17" t="str">
        <f t="shared" si="7"/>
        <v/>
      </c>
      <c r="I93" s="40"/>
    </row>
    <row r="94" spans="2:9" x14ac:dyDescent="0.25">
      <c r="B94" s="46"/>
      <c r="C94" s="14"/>
      <c r="D94" s="21"/>
      <c r="E94" s="21"/>
      <c r="F94" s="21"/>
      <c r="G94" s="414"/>
      <c r="H94" s="17" t="str">
        <f t="shared" si="7"/>
        <v/>
      </c>
      <c r="I94" s="40"/>
    </row>
    <row r="95" spans="2:9" x14ac:dyDescent="0.25">
      <c r="B95" s="46"/>
      <c r="C95" s="14"/>
      <c r="D95" s="21"/>
      <c r="E95" s="21"/>
      <c r="F95" s="21"/>
      <c r="G95" s="414"/>
      <c r="H95" s="17" t="str">
        <f t="shared" si="7"/>
        <v/>
      </c>
      <c r="I95" s="40"/>
    </row>
    <row r="96" spans="2:9" x14ac:dyDescent="0.25">
      <c r="B96" s="46"/>
      <c r="C96" s="14"/>
      <c r="D96" s="21"/>
      <c r="E96" s="21"/>
      <c r="F96" s="21"/>
      <c r="G96" s="414"/>
      <c r="H96" s="17" t="str">
        <f t="shared" si="7"/>
        <v/>
      </c>
      <c r="I96" s="40"/>
    </row>
    <row r="97" spans="2:9" x14ac:dyDescent="0.25">
      <c r="B97" s="46"/>
      <c r="C97" s="14"/>
      <c r="D97" s="21"/>
      <c r="E97" s="21"/>
      <c r="F97" s="21"/>
      <c r="G97" s="414"/>
      <c r="H97" s="17" t="str">
        <f t="shared" si="7"/>
        <v/>
      </c>
      <c r="I97" s="40"/>
    </row>
    <row r="98" spans="2:9" x14ac:dyDescent="0.25">
      <c r="B98" s="46"/>
      <c r="C98" s="14"/>
      <c r="D98" s="21"/>
      <c r="E98" s="21"/>
      <c r="F98" s="21"/>
      <c r="G98" s="414"/>
      <c r="H98" s="17" t="str">
        <f t="shared" si="7"/>
        <v/>
      </c>
      <c r="I98" s="40"/>
    </row>
    <row r="99" spans="2:9" x14ac:dyDescent="0.25">
      <c r="B99" s="46"/>
      <c r="C99" s="14"/>
      <c r="D99" s="21"/>
      <c r="E99" s="21"/>
      <c r="F99" s="21"/>
      <c r="G99" s="414"/>
      <c r="H99" s="17" t="str">
        <f t="shared" si="7"/>
        <v/>
      </c>
      <c r="I99" s="40"/>
    </row>
    <row r="100" spans="2:9" x14ac:dyDescent="0.25">
      <c r="B100" s="46"/>
      <c r="C100" s="14"/>
      <c r="D100" s="21"/>
      <c r="E100" s="21"/>
      <c r="F100" s="21"/>
      <c r="G100" s="414"/>
      <c r="H100" s="17" t="str">
        <f t="shared" si="7"/>
        <v/>
      </c>
      <c r="I100" s="40"/>
    </row>
    <row r="101" spans="2:9" x14ac:dyDescent="0.25">
      <c r="B101" s="46"/>
      <c r="C101" s="14"/>
      <c r="D101" s="21"/>
      <c r="E101" s="21"/>
      <c r="F101" s="21"/>
      <c r="G101" s="414"/>
      <c r="H101" s="17" t="str">
        <f t="shared" si="7"/>
        <v/>
      </c>
      <c r="I101" s="40"/>
    </row>
    <row r="102" spans="2:9" x14ac:dyDescent="0.25">
      <c r="B102" s="46"/>
      <c r="C102" s="14"/>
      <c r="D102" s="21"/>
      <c r="E102" s="21"/>
      <c r="F102" s="21"/>
      <c r="G102" s="414"/>
      <c r="H102" s="17" t="str">
        <f t="shared" si="7"/>
        <v/>
      </c>
      <c r="I102" s="40"/>
    </row>
    <row r="103" spans="2:9" x14ac:dyDescent="0.25">
      <c r="B103" s="46"/>
      <c r="C103" s="14"/>
      <c r="D103" s="21"/>
      <c r="E103" s="21"/>
      <c r="F103" s="21"/>
      <c r="G103" s="414"/>
      <c r="H103" s="17" t="str">
        <f t="shared" si="7"/>
        <v/>
      </c>
      <c r="I103" s="40"/>
    </row>
    <row r="104" spans="2:9" x14ac:dyDescent="0.25">
      <c r="B104" s="46"/>
      <c r="C104" s="14"/>
      <c r="D104" s="21"/>
      <c r="E104" s="21"/>
      <c r="F104" s="21"/>
      <c r="G104" s="414"/>
      <c r="H104" s="17" t="str">
        <f t="shared" si="7"/>
        <v/>
      </c>
      <c r="I104" s="40"/>
    </row>
    <row r="105" spans="2:9" x14ac:dyDescent="0.25">
      <c r="B105" s="46"/>
      <c r="C105" s="14"/>
      <c r="D105" s="21"/>
      <c r="E105" s="21"/>
      <c r="F105" s="21"/>
      <c r="G105" s="414"/>
      <c r="H105" s="17" t="str">
        <f t="shared" si="7"/>
        <v/>
      </c>
      <c r="I105" s="40"/>
    </row>
    <row r="106" spans="2:9" x14ac:dyDescent="0.25">
      <c r="B106" s="46"/>
      <c r="C106" s="14"/>
      <c r="D106" s="21"/>
      <c r="E106" s="21"/>
      <c r="F106" s="21"/>
      <c r="G106" s="414"/>
      <c r="H106" s="17" t="str">
        <f t="shared" si="7"/>
        <v/>
      </c>
      <c r="I106" s="40"/>
    </row>
    <row r="107" spans="2:9" x14ac:dyDescent="0.25">
      <c r="B107" s="46"/>
      <c r="C107" s="14"/>
      <c r="D107" s="21"/>
      <c r="E107" s="21"/>
      <c r="F107" s="21"/>
      <c r="G107" s="414"/>
      <c r="H107" s="17" t="str">
        <f t="shared" si="7"/>
        <v/>
      </c>
      <c r="I107" s="40"/>
    </row>
    <row r="108" spans="2:9" x14ac:dyDescent="0.25">
      <c r="B108" s="46"/>
      <c r="C108" s="14"/>
      <c r="D108" s="21"/>
      <c r="E108" s="21"/>
      <c r="F108" s="21"/>
      <c r="G108" s="414"/>
      <c r="H108" s="17" t="str">
        <f t="shared" si="7"/>
        <v/>
      </c>
      <c r="I108" s="40"/>
    </row>
    <row r="109" spans="2:9" x14ac:dyDescent="0.25">
      <c r="B109" s="46"/>
      <c r="C109" s="14"/>
      <c r="D109" s="21"/>
      <c r="E109" s="21"/>
      <c r="F109" s="21"/>
      <c r="G109" s="414"/>
      <c r="H109" s="17" t="str">
        <f t="shared" si="7"/>
        <v/>
      </c>
      <c r="I109" s="40"/>
    </row>
    <row r="110" spans="2:9" x14ac:dyDescent="0.25">
      <c r="B110" s="46"/>
      <c r="C110" s="14"/>
      <c r="D110" s="21"/>
      <c r="E110" s="21"/>
      <c r="F110" s="21"/>
      <c r="G110" s="414"/>
      <c r="H110" s="17" t="str">
        <f t="shared" si="7"/>
        <v/>
      </c>
      <c r="I110" s="40"/>
    </row>
    <row r="111" spans="2:9" x14ac:dyDescent="0.25">
      <c r="B111" s="46"/>
      <c r="C111" s="14"/>
      <c r="D111" s="21"/>
      <c r="E111" s="21"/>
      <c r="F111" s="21"/>
      <c r="G111" s="414"/>
      <c r="H111" s="17" t="str">
        <f t="shared" si="7"/>
        <v/>
      </c>
      <c r="I111" s="40"/>
    </row>
    <row r="112" spans="2:9" x14ac:dyDescent="0.25">
      <c r="B112" s="46"/>
      <c r="C112" s="14"/>
      <c r="D112" s="21"/>
      <c r="E112" s="21"/>
      <c r="F112" s="21"/>
      <c r="G112" s="414"/>
      <c r="H112" s="17" t="str">
        <f t="shared" si="7"/>
        <v/>
      </c>
      <c r="I112" s="40"/>
    </row>
    <row r="113" spans="2:9" x14ac:dyDescent="0.25">
      <c r="B113" s="46"/>
      <c r="C113" s="14"/>
      <c r="D113" s="21"/>
      <c r="E113" s="21"/>
      <c r="F113" s="21"/>
      <c r="G113" s="414"/>
      <c r="H113" s="17" t="str">
        <f t="shared" si="7"/>
        <v/>
      </c>
      <c r="I113" s="40"/>
    </row>
    <row r="114" spans="2:9" x14ac:dyDescent="0.25">
      <c r="B114" s="46"/>
      <c r="C114" s="14"/>
      <c r="D114" s="21"/>
      <c r="E114" s="21"/>
      <c r="F114" s="21"/>
      <c r="G114" s="414"/>
      <c r="H114" s="17" t="str">
        <f t="shared" si="7"/>
        <v/>
      </c>
      <c r="I114" s="40"/>
    </row>
    <row r="115" spans="2:9" x14ac:dyDescent="0.25">
      <c r="B115" s="46"/>
      <c r="C115" s="14"/>
      <c r="D115" s="21"/>
      <c r="E115" s="21"/>
      <c r="F115" s="21"/>
      <c r="G115" s="414"/>
      <c r="H115" s="17" t="str">
        <f t="shared" si="7"/>
        <v/>
      </c>
      <c r="I115" s="40"/>
    </row>
    <row r="116" spans="2:9" x14ac:dyDescent="0.25">
      <c r="B116" s="46"/>
      <c r="C116" s="14"/>
      <c r="D116" s="21"/>
      <c r="E116" s="21"/>
      <c r="F116" s="21"/>
      <c r="G116" s="414"/>
      <c r="H116" s="17" t="str">
        <f t="shared" ref="H116:H147" si="8">IF(D116="","",F116*G116)</f>
        <v/>
      </c>
      <c r="I116" s="40"/>
    </row>
    <row r="117" spans="2:9" x14ac:dyDescent="0.25">
      <c r="B117" s="46"/>
      <c r="C117" s="14"/>
      <c r="D117" s="21"/>
      <c r="E117" s="21"/>
      <c r="F117" s="21"/>
      <c r="G117" s="414"/>
      <c r="H117" s="17" t="str">
        <f t="shared" si="8"/>
        <v/>
      </c>
      <c r="I117" s="40"/>
    </row>
    <row r="118" spans="2:9" x14ac:dyDescent="0.25">
      <c r="B118" s="46"/>
      <c r="C118" s="14"/>
      <c r="D118" s="21"/>
      <c r="E118" s="21"/>
      <c r="F118" s="21"/>
      <c r="G118" s="414"/>
      <c r="H118" s="17" t="str">
        <f t="shared" si="8"/>
        <v/>
      </c>
      <c r="I118" s="40"/>
    </row>
    <row r="119" spans="2:9" x14ac:dyDescent="0.25">
      <c r="B119" s="46"/>
      <c r="C119" s="14"/>
      <c r="D119" s="21"/>
      <c r="E119" s="21"/>
      <c r="F119" s="21"/>
      <c r="G119" s="414"/>
      <c r="H119" s="17" t="str">
        <f t="shared" si="8"/>
        <v/>
      </c>
      <c r="I119" s="40"/>
    </row>
    <row r="120" spans="2:9" x14ac:dyDescent="0.25">
      <c r="B120" s="46"/>
      <c r="C120" s="14"/>
      <c r="D120" s="21"/>
      <c r="E120" s="21"/>
      <c r="F120" s="21"/>
      <c r="G120" s="414"/>
      <c r="H120" s="17" t="str">
        <f t="shared" si="8"/>
        <v/>
      </c>
      <c r="I120" s="40"/>
    </row>
    <row r="121" spans="2:9" x14ac:dyDescent="0.25">
      <c r="B121" s="46"/>
      <c r="C121" s="14"/>
      <c r="D121" s="21"/>
      <c r="E121" s="21"/>
      <c r="F121" s="21"/>
      <c r="G121" s="414"/>
      <c r="H121" s="17" t="str">
        <f t="shared" si="8"/>
        <v/>
      </c>
      <c r="I121" s="40"/>
    </row>
    <row r="122" spans="2:9" x14ac:dyDescent="0.25">
      <c r="B122" s="46"/>
      <c r="C122" s="14"/>
      <c r="D122" s="21"/>
      <c r="E122" s="21"/>
      <c r="F122" s="21"/>
      <c r="G122" s="414"/>
      <c r="H122" s="17" t="str">
        <f t="shared" si="8"/>
        <v/>
      </c>
      <c r="I122" s="40"/>
    </row>
    <row r="123" spans="2:9" x14ac:dyDescent="0.25">
      <c r="B123" s="46"/>
      <c r="C123" s="14"/>
      <c r="D123" s="21"/>
      <c r="E123" s="21"/>
      <c r="F123" s="21"/>
      <c r="G123" s="414"/>
      <c r="H123" s="17" t="str">
        <f t="shared" si="8"/>
        <v/>
      </c>
      <c r="I123" s="40"/>
    </row>
    <row r="124" spans="2:9" ht="13" x14ac:dyDescent="0.25">
      <c r="B124" s="73"/>
      <c r="C124" s="19"/>
      <c r="D124" s="21"/>
      <c r="E124" s="21"/>
      <c r="F124" s="21"/>
      <c r="G124" s="414"/>
      <c r="H124" s="17" t="str">
        <f t="shared" si="8"/>
        <v/>
      </c>
      <c r="I124" s="40"/>
    </row>
    <row r="125" spans="2:9" x14ac:dyDescent="0.25">
      <c r="B125" s="46"/>
      <c r="C125" s="14"/>
      <c r="D125" s="21"/>
      <c r="E125" s="21"/>
      <c r="F125" s="21"/>
      <c r="G125" s="414"/>
      <c r="H125" s="17" t="str">
        <f t="shared" si="8"/>
        <v/>
      </c>
      <c r="I125" s="40"/>
    </row>
    <row r="126" spans="2:9" x14ac:dyDescent="0.25">
      <c r="B126" s="46"/>
      <c r="C126" s="14"/>
      <c r="D126" s="21"/>
      <c r="E126" s="21"/>
      <c r="F126" s="21"/>
      <c r="G126" s="414"/>
      <c r="H126" s="17" t="str">
        <f t="shared" si="8"/>
        <v/>
      </c>
      <c r="I126" s="40"/>
    </row>
    <row r="127" spans="2:9" x14ac:dyDescent="0.25">
      <c r="B127" s="46"/>
      <c r="C127" s="14"/>
      <c r="D127" s="21"/>
      <c r="E127" s="21"/>
      <c r="F127" s="21"/>
      <c r="G127" s="414"/>
      <c r="H127" s="17" t="str">
        <f t="shared" si="8"/>
        <v/>
      </c>
      <c r="I127" s="40"/>
    </row>
    <row r="128" spans="2:9" x14ac:dyDescent="0.25">
      <c r="B128" s="46"/>
      <c r="C128" s="14"/>
      <c r="D128" s="21"/>
      <c r="E128" s="21"/>
      <c r="F128" s="21"/>
      <c r="G128" s="414"/>
      <c r="H128" s="17" t="str">
        <f t="shared" si="8"/>
        <v/>
      </c>
      <c r="I128" s="40"/>
    </row>
    <row r="129" spans="2:9" x14ac:dyDescent="0.25">
      <c r="B129" s="46"/>
      <c r="C129" s="14"/>
      <c r="D129" s="21"/>
      <c r="E129" s="21"/>
      <c r="F129" s="21"/>
      <c r="G129" s="414"/>
      <c r="H129" s="17" t="str">
        <f t="shared" si="8"/>
        <v/>
      </c>
      <c r="I129" s="40"/>
    </row>
    <row r="130" spans="2:9" x14ac:dyDescent="0.25">
      <c r="B130" s="46"/>
      <c r="C130" s="14"/>
      <c r="D130" s="21"/>
      <c r="E130" s="21"/>
      <c r="F130" s="21"/>
      <c r="G130" s="414"/>
      <c r="H130" s="17" t="str">
        <f t="shared" si="8"/>
        <v/>
      </c>
      <c r="I130" s="40"/>
    </row>
    <row r="131" spans="2:9" x14ac:dyDescent="0.25">
      <c r="B131" s="46"/>
      <c r="C131" s="14"/>
      <c r="D131" s="21"/>
      <c r="E131" s="21"/>
      <c r="F131" s="21"/>
      <c r="G131" s="414"/>
      <c r="H131" s="17" t="str">
        <f t="shared" si="8"/>
        <v/>
      </c>
      <c r="I131" s="40"/>
    </row>
    <row r="132" spans="2:9" x14ac:dyDescent="0.25">
      <c r="B132" s="46"/>
      <c r="C132" s="14"/>
      <c r="D132" s="21"/>
      <c r="E132" s="21"/>
      <c r="F132" s="21"/>
      <c r="G132" s="414"/>
      <c r="H132" s="17" t="str">
        <f t="shared" si="8"/>
        <v/>
      </c>
      <c r="I132" s="40"/>
    </row>
    <row r="133" spans="2:9" x14ac:dyDescent="0.25">
      <c r="B133" s="46"/>
      <c r="C133" s="14"/>
      <c r="D133" s="21"/>
      <c r="E133" s="21"/>
      <c r="F133" s="21"/>
      <c r="G133" s="414"/>
      <c r="H133" s="17" t="str">
        <f t="shared" si="8"/>
        <v/>
      </c>
      <c r="I133" s="40"/>
    </row>
    <row r="134" spans="2:9" x14ac:dyDescent="0.25">
      <c r="B134" s="46"/>
      <c r="C134" s="14"/>
      <c r="D134" s="21"/>
      <c r="E134" s="21"/>
      <c r="F134" s="21"/>
      <c r="G134" s="414"/>
      <c r="H134" s="17" t="str">
        <f t="shared" si="8"/>
        <v/>
      </c>
      <c r="I134" s="40"/>
    </row>
    <row r="135" spans="2:9" x14ac:dyDescent="0.25">
      <c r="B135" s="46"/>
      <c r="C135" s="14"/>
      <c r="D135" s="21"/>
      <c r="E135" s="21"/>
      <c r="F135" s="21"/>
      <c r="G135" s="414"/>
      <c r="H135" s="17" t="str">
        <f t="shared" si="8"/>
        <v/>
      </c>
      <c r="I135" s="40"/>
    </row>
    <row r="136" spans="2:9" x14ac:dyDescent="0.25">
      <c r="B136" s="46"/>
      <c r="C136" s="14"/>
      <c r="D136" s="21"/>
      <c r="E136" s="21"/>
      <c r="F136" s="21"/>
      <c r="G136" s="414"/>
      <c r="H136" s="17" t="str">
        <f t="shared" si="8"/>
        <v/>
      </c>
      <c r="I136" s="40"/>
    </row>
    <row r="137" spans="2:9" x14ac:dyDescent="0.25">
      <c r="B137" s="46"/>
      <c r="C137" s="14"/>
      <c r="D137" s="21"/>
      <c r="E137" s="21"/>
      <c r="F137" s="21"/>
      <c r="G137" s="414"/>
      <c r="H137" s="17" t="str">
        <f t="shared" si="8"/>
        <v/>
      </c>
      <c r="I137" s="40"/>
    </row>
    <row r="138" spans="2:9" x14ac:dyDescent="0.25">
      <c r="B138" s="46"/>
      <c r="C138" s="14"/>
      <c r="D138" s="21"/>
      <c r="E138" s="21"/>
      <c r="F138" s="21"/>
      <c r="G138" s="414"/>
      <c r="H138" s="17" t="str">
        <f t="shared" si="8"/>
        <v/>
      </c>
      <c r="I138" s="40"/>
    </row>
    <row r="139" spans="2:9" x14ac:dyDescent="0.25">
      <c r="B139" s="46"/>
      <c r="C139" s="14"/>
      <c r="D139" s="21"/>
      <c r="E139" s="21"/>
      <c r="F139" s="21"/>
      <c r="G139" s="414"/>
      <c r="H139" s="17" t="str">
        <f t="shared" si="8"/>
        <v/>
      </c>
      <c r="I139" s="40"/>
    </row>
    <row r="140" spans="2:9" x14ac:dyDescent="0.25">
      <c r="B140" s="46"/>
      <c r="C140" s="14"/>
      <c r="D140" s="21"/>
      <c r="E140" s="21"/>
      <c r="F140" s="21"/>
      <c r="G140" s="414"/>
      <c r="H140" s="17" t="str">
        <f t="shared" si="8"/>
        <v/>
      </c>
      <c r="I140" s="40"/>
    </row>
    <row r="141" spans="2:9" x14ac:dyDescent="0.25">
      <c r="B141" s="46"/>
      <c r="C141" s="14"/>
      <c r="D141" s="21"/>
      <c r="E141" s="21"/>
      <c r="F141" s="21"/>
      <c r="G141" s="414"/>
      <c r="H141" s="17" t="str">
        <f t="shared" si="8"/>
        <v/>
      </c>
      <c r="I141" s="40"/>
    </row>
    <row r="142" spans="2:9" x14ac:dyDescent="0.25">
      <c r="B142" s="46"/>
      <c r="C142" s="14"/>
      <c r="D142" s="21"/>
      <c r="E142" s="21"/>
      <c r="F142" s="21"/>
      <c r="G142" s="414"/>
      <c r="H142" s="17" t="str">
        <f t="shared" si="8"/>
        <v/>
      </c>
      <c r="I142" s="40"/>
    </row>
    <row r="143" spans="2:9" x14ac:dyDescent="0.25">
      <c r="B143" s="46"/>
      <c r="C143" s="14"/>
      <c r="D143" s="21"/>
      <c r="E143" s="21"/>
      <c r="F143" s="21"/>
      <c r="G143" s="414"/>
      <c r="H143" s="17" t="str">
        <f t="shared" si="8"/>
        <v/>
      </c>
      <c r="I143" s="40"/>
    </row>
    <row r="144" spans="2:9" x14ac:dyDescent="0.25">
      <c r="B144" s="46"/>
      <c r="C144" s="14"/>
      <c r="D144" s="21"/>
      <c r="E144" s="21"/>
      <c r="F144" s="21"/>
      <c r="G144" s="414"/>
      <c r="H144" s="17" t="str">
        <f t="shared" si="8"/>
        <v/>
      </c>
      <c r="I144" s="40"/>
    </row>
    <row r="145" spans="2:9" x14ac:dyDescent="0.25">
      <c r="B145" s="46"/>
      <c r="C145" s="14"/>
      <c r="D145" s="21"/>
      <c r="E145" s="21"/>
      <c r="F145" s="21"/>
      <c r="G145" s="414"/>
      <c r="H145" s="17" t="str">
        <f t="shared" si="8"/>
        <v/>
      </c>
      <c r="I145" s="40"/>
    </row>
    <row r="146" spans="2:9" x14ac:dyDescent="0.25">
      <c r="B146" s="46"/>
      <c r="C146" s="14"/>
      <c r="D146" s="21"/>
      <c r="E146" s="21"/>
      <c r="F146" s="21"/>
      <c r="G146" s="414"/>
      <c r="H146" s="17" t="str">
        <f t="shared" si="8"/>
        <v/>
      </c>
      <c r="I146" s="40"/>
    </row>
    <row r="147" spans="2:9" x14ac:dyDescent="0.25">
      <c r="B147" s="46"/>
      <c r="C147" s="14"/>
      <c r="D147" s="21"/>
      <c r="E147" s="21"/>
      <c r="F147" s="21"/>
      <c r="G147" s="414"/>
      <c r="H147" s="17" t="str">
        <f t="shared" si="8"/>
        <v/>
      </c>
      <c r="I147" s="40"/>
    </row>
    <row r="148" spans="2:9" s="28" customFormat="1" ht="24.75" customHeight="1" x14ac:dyDescent="0.25">
      <c r="B148" s="144" t="str">
        <f>$B$14</f>
        <v>C13.7</v>
      </c>
      <c r="C148" s="498" t="str">
        <f>"TOTAL CARRIED FORWARD"&amp;IF(H148=H$1," TO SUMMARY (Page C"&amp;Page_A&amp;")","")</f>
        <v>TOTAL CARRIED FORWARD TO SUMMARY (Page C48)</v>
      </c>
      <c r="D148" s="31"/>
      <c r="E148" s="31"/>
      <c r="F148" s="32"/>
      <c r="G148" s="31"/>
      <c r="H148" s="33">
        <f>SUM(H82:H147)</f>
        <v>0</v>
      </c>
      <c r="I148" s="34"/>
    </row>
  </sheetData>
  <mergeCells count="11">
    <mergeCell ref="B77:G77"/>
    <mergeCell ref="H77:H80"/>
    <mergeCell ref="B78:G80"/>
    <mergeCell ref="F3:H3"/>
    <mergeCell ref="H6:H11"/>
    <mergeCell ref="B6:G6"/>
    <mergeCell ref="B74:D74"/>
    <mergeCell ref="F74:H76"/>
    <mergeCell ref="B75:D75"/>
    <mergeCell ref="B76:D76"/>
    <mergeCell ref="B7:G9"/>
  </mergeCells>
  <conditionalFormatting sqref="G13:H73">
    <cfRule type="expression" dxfId="64" priority="2">
      <formula>AND(_Show_Price=FALSE,$D13&lt;&gt;"PC Sum",$D13&lt;&gt;"P C Sum",$D13&lt;&gt;"Prov Sum",$D13&lt;&gt;"P Sum")</formula>
    </cfRule>
  </conditionalFormatting>
  <conditionalFormatting sqref="G82:H148">
    <cfRule type="expression" dxfId="63"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00B050"/>
  </sheetPr>
  <dimension ref="A1:N148"/>
  <sheetViews>
    <sheetView view="pageBreakPreview" zoomScale="90" zoomScaleNormal="125" zoomScaleSheetLayoutView="90" zoomScalePageLayoutView="125" workbookViewId="0">
      <pane ySplit="2" topLeftCell="A3" activePane="bottomLeft" state="frozen"/>
      <selection activeCell="C28" sqref="C28"/>
      <selection pane="bottomLeft" activeCell="G20" sqref="G20"/>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MAX(H2:H209)</f>
        <v>0</v>
      </c>
      <c r="I1" s="247">
        <f>MAX(I2:I209)</f>
        <v>0</v>
      </c>
      <c r="J1" s="248"/>
      <c r="K1" s="249"/>
      <c r="L1" s="247">
        <f>MAX(L2:L209)</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"&amp;B14</f>
        <v>CHAPTER C13.8</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12.75" customHeight="1" x14ac:dyDescent="0.25">
      <c r="B9" s="1117"/>
      <c r="C9" s="1118"/>
      <c r="D9" s="1118"/>
      <c r="E9" s="1118"/>
      <c r="F9" s="1118"/>
      <c r="G9" s="1118"/>
      <c r="H9" s="1122"/>
      <c r="I9" s="8"/>
    </row>
    <row r="10" spans="1:14" ht="12.75" customHeight="1" x14ac:dyDescent="0.25">
      <c r="B10" s="656" t="s">
        <v>1775</v>
      </c>
      <c r="C10" s="641"/>
      <c r="D10" s="12"/>
      <c r="E10" s="12"/>
      <c r="F10" s="641"/>
      <c r="G10" s="641"/>
      <c r="H10" s="1122"/>
      <c r="I10" s="8"/>
    </row>
    <row r="11" spans="1:14" ht="7.5" customHeight="1" x14ac:dyDescent="0.25">
      <c r="B11" s="611"/>
      <c r="C11" s="612"/>
      <c r="D11" s="679"/>
      <c r="E11" s="679"/>
      <c r="F11" s="612"/>
      <c r="G11" s="612"/>
      <c r="H11" s="1123"/>
      <c r="I11" s="8"/>
    </row>
    <row r="12" spans="1:14" s="9" customFormat="1" ht="25" customHeight="1" x14ac:dyDescent="0.25">
      <c r="B12" s="10" t="s">
        <v>0</v>
      </c>
      <c r="C12" s="11" t="s">
        <v>1</v>
      </c>
      <c r="D12" s="11" t="s">
        <v>2</v>
      </c>
      <c r="E12" s="11"/>
      <c r="F12" s="11" t="s">
        <v>3</v>
      </c>
      <c r="G12" s="11" t="s">
        <v>4</v>
      </c>
      <c r="H12" s="11" t="s">
        <v>5</v>
      </c>
      <c r="I12" s="12"/>
      <c r="J12" s="408" t="s">
        <v>996</v>
      </c>
      <c r="K12" s="253" t="s">
        <v>997</v>
      </c>
      <c r="L12" s="253" t="s">
        <v>998</v>
      </c>
      <c r="M12" s="253" t="s">
        <v>999</v>
      </c>
    </row>
    <row r="13" spans="1:14" x14ac:dyDescent="0.25">
      <c r="A13" s="5"/>
      <c r="B13" s="58"/>
      <c r="C13" s="14"/>
      <c r="D13" s="15"/>
      <c r="E13" s="15"/>
      <c r="F13" s="15"/>
      <c r="G13" s="411"/>
      <c r="H13" s="17" t="str">
        <f t="shared" ref="H13:H72" si="0">IF(D13="","",F13*G13)</f>
        <v/>
      </c>
      <c r="I13" s="18"/>
      <c r="J13" s="61"/>
      <c r="K13" s="399"/>
      <c r="L13" s="420" t="str">
        <f t="shared" ref="L13" si="1">IF(J13="","",F13*K13)</f>
        <v/>
      </c>
      <c r="M13" s="401" t="str">
        <f t="shared" ref="M13" si="2">IF(J13="","",IF(SUM(H13)=0,"",L13/H13))</f>
        <v/>
      </c>
    </row>
    <row r="14" spans="1:14" ht="13" x14ac:dyDescent="0.25">
      <c r="A14" s="5"/>
      <c r="B14" s="146" t="s">
        <v>359</v>
      </c>
      <c r="C14" s="19" t="s">
        <v>360</v>
      </c>
      <c r="D14" s="15"/>
      <c r="E14" s="15"/>
      <c r="F14" s="15"/>
      <c r="G14" s="411"/>
      <c r="H14" s="17" t="str">
        <f t="shared" si="0"/>
        <v/>
      </c>
      <c r="I14" s="18"/>
      <c r="J14" s="61"/>
      <c r="K14" s="399"/>
      <c r="L14" s="420" t="str">
        <f t="shared" ref="L14:L72" si="3">IF(J14="","",F14*K14)</f>
        <v/>
      </c>
      <c r="M14" s="401" t="str">
        <f t="shared" ref="M14:M72" si="4">IF(J14="","",IF(SUM(H14)=0,"",L14/H14))</f>
        <v/>
      </c>
    </row>
    <row r="15" spans="1:14" ht="13" x14ac:dyDescent="0.25">
      <c r="A15" s="5"/>
      <c r="B15" s="146"/>
      <c r="C15" s="14"/>
      <c r="D15" s="15"/>
      <c r="E15" s="15"/>
      <c r="F15" s="15"/>
      <c r="G15" s="411"/>
      <c r="H15" s="17" t="str">
        <f t="shared" si="0"/>
        <v/>
      </c>
      <c r="I15" s="18"/>
      <c r="J15" s="61"/>
      <c r="K15" s="399"/>
      <c r="L15" s="420" t="str">
        <f t="shared" si="3"/>
        <v/>
      </c>
      <c r="M15" s="401" t="str">
        <f t="shared" si="4"/>
        <v/>
      </c>
    </row>
    <row r="16" spans="1:14" ht="13" x14ac:dyDescent="0.25">
      <c r="A16" s="5"/>
      <c r="B16" s="146" t="s">
        <v>361</v>
      </c>
      <c r="C16" s="19" t="s">
        <v>362</v>
      </c>
      <c r="D16" s="15"/>
      <c r="E16" s="15"/>
      <c r="F16" s="15"/>
      <c r="G16" s="411"/>
      <c r="H16" s="17" t="str">
        <f t="shared" si="0"/>
        <v/>
      </c>
      <c r="I16" s="18"/>
      <c r="J16" s="61"/>
      <c r="K16" s="399"/>
      <c r="L16" s="420" t="str">
        <f t="shared" si="3"/>
        <v/>
      </c>
      <c r="M16" s="401" t="str">
        <f t="shared" si="4"/>
        <v/>
      </c>
    </row>
    <row r="17" spans="1:13" x14ac:dyDescent="0.25">
      <c r="A17" s="5"/>
      <c r="B17" s="58"/>
      <c r="C17" s="14"/>
      <c r="D17" s="15"/>
      <c r="E17" s="15"/>
      <c r="F17" s="15"/>
      <c r="G17" s="411"/>
      <c r="H17" s="17" t="str">
        <f t="shared" si="0"/>
        <v/>
      </c>
      <c r="I17" s="18"/>
      <c r="J17" s="61"/>
      <c r="K17" s="399"/>
      <c r="L17" s="420" t="str">
        <f t="shared" si="3"/>
        <v/>
      </c>
      <c r="M17" s="401" t="str">
        <f t="shared" si="4"/>
        <v/>
      </c>
    </row>
    <row r="18" spans="1:13" ht="25" x14ac:dyDescent="0.25">
      <c r="A18" s="5"/>
      <c r="B18" s="58" t="s">
        <v>1888</v>
      </c>
      <c r="C18" s="14" t="s">
        <v>2134</v>
      </c>
      <c r="D18" s="15"/>
      <c r="E18" s="15"/>
      <c r="F18" s="24"/>
      <c r="G18" s="422"/>
      <c r="H18" s="17" t="str">
        <f t="shared" si="0"/>
        <v/>
      </c>
      <c r="I18" s="57"/>
      <c r="J18" s="61"/>
      <c r="K18" s="400"/>
      <c r="L18" s="420" t="str">
        <f t="shared" si="3"/>
        <v/>
      </c>
      <c r="M18" s="401" t="str">
        <f t="shared" si="4"/>
        <v/>
      </c>
    </row>
    <row r="19" spans="1:13" x14ac:dyDescent="0.25">
      <c r="A19" s="5"/>
      <c r="B19" s="58"/>
      <c r="C19" s="14"/>
      <c r="D19" s="15"/>
      <c r="E19" s="15"/>
      <c r="F19" s="24"/>
      <c r="G19" s="422"/>
      <c r="H19" s="17" t="str">
        <f t="shared" si="0"/>
        <v/>
      </c>
      <c r="I19" s="57"/>
      <c r="J19" s="61"/>
      <c r="K19" s="399"/>
      <c r="L19" s="420" t="str">
        <f t="shared" si="3"/>
        <v/>
      </c>
      <c r="M19" s="401" t="str">
        <f t="shared" si="4"/>
        <v/>
      </c>
    </row>
    <row r="20" spans="1:13" ht="25" x14ac:dyDescent="0.25">
      <c r="A20" s="5"/>
      <c r="B20" s="58" t="s">
        <v>39</v>
      </c>
      <c r="C20" s="14" t="s">
        <v>1701</v>
      </c>
      <c r="D20" s="15" t="s">
        <v>6</v>
      </c>
      <c r="E20" s="15" t="s">
        <v>996</v>
      </c>
      <c r="F20" s="24">
        <v>40</v>
      </c>
      <c r="G20" s="422"/>
      <c r="H20" s="17">
        <f t="shared" si="0"/>
        <v>0</v>
      </c>
      <c r="I20" s="57"/>
      <c r="J20" s="61" t="s">
        <v>996</v>
      </c>
      <c r="K20" s="399">
        <f>IF(D20="","",ROUND(6%*G20,1))</f>
        <v>0</v>
      </c>
      <c r="L20" s="420">
        <f t="shared" si="3"/>
        <v>0</v>
      </c>
      <c r="M20" s="401" t="str">
        <f t="shared" si="4"/>
        <v/>
      </c>
    </row>
    <row r="21" spans="1:13" x14ac:dyDescent="0.25">
      <c r="A21" s="5"/>
      <c r="B21" s="58"/>
      <c r="C21" s="14" t="s">
        <v>1702</v>
      </c>
      <c r="D21" s="15"/>
      <c r="E21" s="15"/>
      <c r="F21" s="24"/>
      <c r="G21" s="422"/>
      <c r="H21" s="17" t="str">
        <f t="shared" si="0"/>
        <v/>
      </c>
      <c r="I21" s="57"/>
      <c r="J21" s="61"/>
      <c r="K21" s="399"/>
      <c r="L21" s="420" t="str">
        <f t="shared" si="3"/>
        <v/>
      </c>
      <c r="M21" s="401" t="str">
        <f t="shared" si="4"/>
        <v/>
      </c>
    </row>
    <row r="22" spans="1:13" ht="25" x14ac:dyDescent="0.25">
      <c r="A22" s="5"/>
      <c r="B22" s="58" t="s">
        <v>41</v>
      </c>
      <c r="C22" s="14" t="s">
        <v>1956</v>
      </c>
      <c r="D22" s="15" t="s">
        <v>6</v>
      </c>
      <c r="E22" s="15" t="s">
        <v>996</v>
      </c>
      <c r="F22" s="24">
        <v>40</v>
      </c>
      <c r="G22" s="422"/>
      <c r="H22" s="17">
        <f t="shared" si="0"/>
        <v>0</v>
      </c>
      <c r="I22" s="57"/>
      <c r="J22" s="61" t="s">
        <v>996</v>
      </c>
      <c r="K22" s="399">
        <f>IF(D22="","",ROUND(6%*G22,1))</f>
        <v>0</v>
      </c>
      <c r="L22" s="420">
        <f t="shared" si="3"/>
        <v>0</v>
      </c>
      <c r="M22" s="401" t="str">
        <f t="shared" si="4"/>
        <v/>
      </c>
    </row>
    <row r="23" spans="1:13" x14ac:dyDescent="0.25">
      <c r="A23" s="5"/>
      <c r="B23" s="58"/>
      <c r="C23" s="14"/>
      <c r="D23" s="15"/>
      <c r="E23" s="15"/>
      <c r="F23" s="24"/>
      <c r="G23" s="422"/>
      <c r="H23" s="17" t="str">
        <f t="shared" si="0"/>
        <v/>
      </c>
      <c r="I23" s="57"/>
      <c r="J23" s="61"/>
      <c r="K23" s="402"/>
      <c r="L23" s="420" t="str">
        <f t="shared" si="3"/>
        <v/>
      </c>
      <c r="M23" s="401" t="str">
        <f t="shared" si="4"/>
        <v/>
      </c>
    </row>
    <row r="24" spans="1:13" ht="25.5" x14ac:dyDescent="0.25">
      <c r="A24" s="5"/>
      <c r="B24" s="146" t="s">
        <v>1889</v>
      </c>
      <c r="C24" s="14" t="s">
        <v>2135</v>
      </c>
      <c r="D24" s="15"/>
      <c r="E24" s="15"/>
      <c r="F24" s="24"/>
      <c r="G24" s="411"/>
      <c r="H24" s="17" t="str">
        <f t="shared" si="0"/>
        <v/>
      </c>
      <c r="I24" s="57"/>
      <c r="J24" s="61"/>
      <c r="K24" s="402"/>
      <c r="L24" s="420" t="str">
        <f t="shared" si="3"/>
        <v/>
      </c>
      <c r="M24" s="401" t="str">
        <f t="shared" si="4"/>
        <v/>
      </c>
    </row>
    <row r="25" spans="1:13" x14ac:dyDescent="0.25">
      <c r="A25" s="5"/>
      <c r="B25" s="58"/>
      <c r="C25" s="14"/>
      <c r="D25" s="15"/>
      <c r="E25" s="15"/>
      <c r="F25" s="24"/>
      <c r="G25" s="423"/>
      <c r="H25" s="17" t="str">
        <f t="shared" si="0"/>
        <v/>
      </c>
      <c r="I25" s="57"/>
      <c r="J25" s="61"/>
      <c r="K25" s="402"/>
      <c r="L25" s="420" t="str">
        <f t="shared" si="3"/>
        <v/>
      </c>
      <c r="M25" s="401" t="str">
        <f t="shared" si="4"/>
        <v/>
      </c>
    </row>
    <row r="26" spans="1:13" ht="25" x14ac:dyDescent="0.25">
      <c r="A26" s="5"/>
      <c r="B26" s="58" t="s">
        <v>39</v>
      </c>
      <c r="C26" s="50" t="s">
        <v>1703</v>
      </c>
      <c r="D26" s="15" t="s">
        <v>34</v>
      </c>
      <c r="E26" s="15" t="s">
        <v>996</v>
      </c>
      <c r="F26" s="24">
        <v>2</v>
      </c>
      <c r="G26" s="423"/>
      <c r="H26" s="17">
        <f t="shared" si="0"/>
        <v>0</v>
      </c>
      <c r="I26" s="18"/>
      <c r="J26" s="61" t="s">
        <v>996</v>
      </c>
      <c r="K26" s="399">
        <f>IF(D26="","",ROUND(6%*G26,1))</f>
        <v>0</v>
      </c>
      <c r="L26" s="420">
        <f t="shared" si="3"/>
        <v>0</v>
      </c>
      <c r="M26" s="401" t="str">
        <f t="shared" si="4"/>
        <v/>
      </c>
    </row>
    <row r="27" spans="1:13" x14ac:dyDescent="0.25">
      <c r="A27" s="5"/>
      <c r="B27" s="58"/>
      <c r="C27" s="50"/>
      <c r="D27" s="15"/>
      <c r="E27" s="15"/>
      <c r="F27" s="24"/>
      <c r="G27" s="423"/>
      <c r="H27" s="17" t="str">
        <f t="shared" si="0"/>
        <v/>
      </c>
      <c r="I27" s="18"/>
      <c r="J27" s="61"/>
      <c r="K27" s="402"/>
      <c r="L27" s="420" t="str">
        <f t="shared" si="3"/>
        <v/>
      </c>
      <c r="M27" s="401" t="str">
        <f t="shared" si="4"/>
        <v/>
      </c>
    </row>
    <row r="28" spans="1:13" ht="25" x14ac:dyDescent="0.25">
      <c r="A28" s="5"/>
      <c r="B28" s="58" t="s">
        <v>41</v>
      </c>
      <c r="C28" s="50" t="s">
        <v>1704</v>
      </c>
      <c r="D28" s="15" t="s">
        <v>34</v>
      </c>
      <c r="E28" s="15" t="s">
        <v>996</v>
      </c>
      <c r="F28" s="24">
        <v>2</v>
      </c>
      <c r="G28" s="423"/>
      <c r="H28" s="17">
        <f t="shared" si="0"/>
        <v>0</v>
      </c>
      <c r="I28" s="18"/>
      <c r="J28" s="61" t="s">
        <v>996</v>
      </c>
      <c r="K28" s="399">
        <f>IF(D28="","",ROUND(6%*G28,1))</f>
        <v>0</v>
      </c>
      <c r="L28" s="420">
        <f t="shared" si="3"/>
        <v>0</v>
      </c>
      <c r="M28" s="401" t="str">
        <f t="shared" si="4"/>
        <v/>
      </c>
    </row>
    <row r="29" spans="1:13" x14ac:dyDescent="0.25">
      <c r="A29" s="5"/>
      <c r="B29" s="58"/>
      <c r="C29" s="50"/>
      <c r="D29" s="15"/>
      <c r="E29" s="15"/>
      <c r="F29" s="24"/>
      <c r="G29" s="423"/>
      <c r="H29" s="17" t="str">
        <f t="shared" si="0"/>
        <v/>
      </c>
      <c r="I29" s="18"/>
      <c r="J29" s="61"/>
      <c r="K29" s="399"/>
      <c r="L29" s="420" t="str">
        <f t="shared" si="3"/>
        <v/>
      </c>
      <c r="M29" s="401" t="str">
        <f t="shared" si="4"/>
        <v/>
      </c>
    </row>
    <row r="30" spans="1:13" ht="13" x14ac:dyDescent="0.25">
      <c r="A30" s="5"/>
      <c r="B30" s="146" t="s">
        <v>1890</v>
      </c>
      <c r="C30" s="19" t="s">
        <v>364</v>
      </c>
      <c r="D30" s="15"/>
      <c r="E30" s="15"/>
      <c r="F30" s="24"/>
      <c r="G30" s="423"/>
      <c r="H30" s="17" t="str">
        <f t="shared" si="0"/>
        <v/>
      </c>
      <c r="I30" s="18"/>
      <c r="J30" s="61"/>
      <c r="K30" s="399"/>
      <c r="L30" s="420" t="str">
        <f t="shared" si="3"/>
        <v/>
      </c>
      <c r="M30" s="401" t="str">
        <f t="shared" si="4"/>
        <v/>
      </c>
    </row>
    <row r="31" spans="1:13" x14ac:dyDescent="0.25">
      <c r="A31" s="5"/>
      <c r="B31" s="58"/>
      <c r="C31" s="50"/>
      <c r="D31" s="15"/>
      <c r="E31" s="15"/>
      <c r="F31" s="24"/>
      <c r="G31" s="423"/>
      <c r="H31" s="17" t="str">
        <f t="shared" si="0"/>
        <v/>
      </c>
      <c r="I31" s="18"/>
      <c r="J31" s="61"/>
      <c r="K31" s="399"/>
      <c r="L31" s="420" t="str">
        <f t="shared" si="3"/>
        <v/>
      </c>
      <c r="M31" s="401" t="str">
        <f t="shared" si="4"/>
        <v/>
      </c>
    </row>
    <row r="32" spans="1:13" x14ac:dyDescent="0.25">
      <c r="A32" s="5"/>
      <c r="B32" s="58" t="s">
        <v>370</v>
      </c>
      <c r="C32" s="14" t="s">
        <v>1957</v>
      </c>
      <c r="D32" s="15" t="s">
        <v>34</v>
      </c>
      <c r="E32" s="15" t="s">
        <v>996</v>
      </c>
      <c r="F32" s="15">
        <v>2</v>
      </c>
      <c r="G32" s="422"/>
      <c r="H32" s="17">
        <f t="shared" si="0"/>
        <v>0</v>
      </c>
      <c r="I32" s="18"/>
      <c r="J32" s="61" t="s">
        <v>996</v>
      </c>
      <c r="K32" s="399">
        <f>IF(D32="","",ROUND(6%*G32,1))</f>
        <v>0</v>
      </c>
      <c r="L32" s="420">
        <f t="shared" si="3"/>
        <v>0</v>
      </c>
      <c r="M32" s="401" t="str">
        <f t="shared" si="4"/>
        <v/>
      </c>
    </row>
    <row r="33" spans="1:13" x14ac:dyDescent="0.25">
      <c r="A33" s="5"/>
      <c r="B33" s="58"/>
      <c r="C33" s="50"/>
      <c r="D33" s="15"/>
      <c r="E33" s="15"/>
      <c r="F33" s="24"/>
      <c r="G33" s="423"/>
      <c r="H33" s="17" t="str">
        <f t="shared" si="0"/>
        <v/>
      </c>
      <c r="I33" s="18"/>
      <c r="J33" s="61"/>
      <c r="K33" s="399"/>
      <c r="L33" s="420" t="str">
        <f t="shared" si="3"/>
        <v/>
      </c>
      <c r="M33" s="401" t="str">
        <f t="shared" si="4"/>
        <v/>
      </c>
    </row>
    <row r="34" spans="1:13" x14ac:dyDescent="0.25">
      <c r="A34" s="5"/>
      <c r="B34" s="58"/>
      <c r="C34" s="1"/>
      <c r="D34" s="15"/>
      <c r="E34" s="15"/>
      <c r="F34" s="24"/>
      <c r="G34" s="421"/>
      <c r="H34" s="17" t="str">
        <f t="shared" si="0"/>
        <v/>
      </c>
      <c r="I34" s="63"/>
      <c r="J34" s="61"/>
      <c r="K34" s="399"/>
      <c r="L34" s="420" t="str">
        <f t="shared" si="3"/>
        <v/>
      </c>
      <c r="M34" s="401" t="str">
        <f t="shared" si="4"/>
        <v/>
      </c>
    </row>
    <row r="35" spans="1:13" x14ac:dyDescent="0.25">
      <c r="A35" s="5"/>
      <c r="B35" s="58"/>
      <c r="C35" s="14"/>
      <c r="D35" s="15"/>
      <c r="E35" s="15"/>
      <c r="F35" s="24"/>
      <c r="G35" s="421"/>
      <c r="H35" s="17" t="str">
        <f t="shared" si="0"/>
        <v/>
      </c>
      <c r="I35" s="63"/>
      <c r="J35" s="61"/>
      <c r="K35" s="399"/>
      <c r="L35" s="420" t="str">
        <f t="shared" si="3"/>
        <v/>
      </c>
      <c r="M35" s="401" t="str">
        <f t="shared" si="4"/>
        <v/>
      </c>
    </row>
    <row r="36" spans="1:13" x14ac:dyDescent="0.25">
      <c r="A36" s="5"/>
      <c r="B36" s="58"/>
      <c r="C36" s="14"/>
      <c r="D36" s="15"/>
      <c r="E36" s="15"/>
      <c r="F36" s="24"/>
      <c r="G36" s="422"/>
      <c r="H36" s="17" t="str">
        <f t="shared" si="0"/>
        <v/>
      </c>
      <c r="I36" s="63"/>
      <c r="J36" s="61"/>
      <c r="K36" s="399"/>
      <c r="L36" s="420" t="str">
        <f t="shared" si="3"/>
        <v/>
      </c>
      <c r="M36" s="401" t="str">
        <f t="shared" si="4"/>
        <v/>
      </c>
    </row>
    <row r="37" spans="1:13" x14ac:dyDescent="0.25">
      <c r="A37" s="5"/>
      <c r="B37" s="58"/>
      <c r="C37" s="14"/>
      <c r="D37" s="15"/>
      <c r="E37" s="15"/>
      <c r="F37" s="24"/>
      <c r="G37" s="421"/>
      <c r="H37" s="17" t="str">
        <f t="shared" si="0"/>
        <v/>
      </c>
      <c r="I37" s="63"/>
      <c r="J37" s="61"/>
      <c r="K37" s="399"/>
      <c r="L37" s="420" t="str">
        <f t="shared" si="3"/>
        <v/>
      </c>
      <c r="M37" s="401" t="str">
        <f t="shared" si="4"/>
        <v/>
      </c>
    </row>
    <row r="38" spans="1:13" x14ac:dyDescent="0.25">
      <c r="A38" s="5"/>
      <c r="B38" s="58"/>
      <c r="C38" s="14"/>
      <c r="D38" s="15"/>
      <c r="E38" s="15"/>
      <c r="F38" s="24"/>
      <c r="G38" s="423"/>
      <c r="H38" s="17" t="str">
        <f t="shared" si="0"/>
        <v/>
      </c>
      <c r="I38" s="63"/>
      <c r="J38" s="61"/>
      <c r="K38" s="400"/>
      <c r="L38" s="420" t="str">
        <f t="shared" si="3"/>
        <v/>
      </c>
      <c r="M38" s="401" t="str">
        <f t="shared" si="4"/>
        <v/>
      </c>
    </row>
    <row r="39" spans="1:13" x14ac:dyDescent="0.25">
      <c r="A39" s="5"/>
      <c r="B39" s="58"/>
      <c r="C39" s="14"/>
      <c r="D39" s="15"/>
      <c r="E39" s="15"/>
      <c r="F39" s="24"/>
      <c r="G39" s="421"/>
      <c r="H39" s="17" t="str">
        <f t="shared" si="0"/>
        <v/>
      </c>
      <c r="I39" s="63"/>
      <c r="J39" s="61"/>
      <c r="K39" s="399"/>
      <c r="L39" s="420" t="str">
        <f t="shared" si="3"/>
        <v/>
      </c>
      <c r="M39" s="401" t="str">
        <f t="shared" si="4"/>
        <v/>
      </c>
    </row>
    <row r="40" spans="1:13" x14ac:dyDescent="0.25">
      <c r="A40" s="5"/>
      <c r="B40" s="58"/>
      <c r="C40" s="14"/>
      <c r="D40" s="15"/>
      <c r="E40" s="15"/>
      <c r="F40" s="24"/>
      <c r="G40" s="422"/>
      <c r="H40" s="17" t="str">
        <f t="shared" si="0"/>
        <v/>
      </c>
      <c r="I40" s="57"/>
      <c r="J40" s="61"/>
      <c r="K40" s="399"/>
      <c r="L40" s="420" t="str">
        <f t="shared" si="3"/>
        <v/>
      </c>
      <c r="M40" s="401" t="str">
        <f t="shared" si="4"/>
        <v/>
      </c>
    </row>
    <row r="41" spans="1:13" x14ac:dyDescent="0.25">
      <c r="A41" s="5"/>
      <c r="B41" s="58"/>
      <c r="C41" s="14"/>
      <c r="D41" s="15"/>
      <c r="E41" s="15"/>
      <c r="F41" s="24"/>
      <c r="G41" s="411"/>
      <c r="H41" s="17" t="str">
        <f t="shared" si="0"/>
        <v/>
      </c>
      <c r="I41" s="18"/>
      <c r="J41" s="61"/>
      <c r="K41" s="399"/>
      <c r="L41" s="420" t="str">
        <f t="shared" si="3"/>
        <v/>
      </c>
      <c r="M41" s="401" t="str">
        <f t="shared" si="4"/>
        <v/>
      </c>
    </row>
    <row r="42" spans="1:13" s="36" customFormat="1" x14ac:dyDescent="0.25">
      <c r="A42" s="63"/>
      <c r="B42" s="58"/>
      <c r="C42" s="14"/>
      <c r="D42" s="15"/>
      <c r="E42" s="15"/>
      <c r="F42" s="24"/>
      <c r="G42" s="411"/>
      <c r="H42" s="17" t="str">
        <f t="shared" si="0"/>
        <v/>
      </c>
      <c r="I42" s="18"/>
      <c r="J42" s="61"/>
      <c r="K42" s="399"/>
      <c r="L42" s="420" t="str">
        <f t="shared" si="3"/>
        <v/>
      </c>
      <c r="M42" s="401" t="str">
        <f t="shared" si="4"/>
        <v/>
      </c>
    </row>
    <row r="43" spans="1:13" x14ac:dyDescent="0.25">
      <c r="A43" s="5"/>
      <c r="B43" s="58"/>
      <c r="C43" s="14"/>
      <c r="D43" s="15"/>
      <c r="E43" s="15"/>
      <c r="F43" s="24"/>
      <c r="G43" s="422"/>
      <c r="H43" s="17" t="str">
        <f t="shared" si="0"/>
        <v/>
      </c>
      <c r="I43" s="57"/>
      <c r="J43" s="61"/>
      <c r="K43" s="399"/>
      <c r="L43" s="420" t="str">
        <f t="shared" si="3"/>
        <v/>
      </c>
      <c r="M43" s="401" t="str">
        <f t="shared" si="4"/>
        <v/>
      </c>
    </row>
    <row r="44" spans="1:13" x14ac:dyDescent="0.25">
      <c r="A44" s="5"/>
      <c r="B44" s="58"/>
      <c r="C44" s="14"/>
      <c r="D44" s="15"/>
      <c r="E44" s="15"/>
      <c r="F44" s="24"/>
      <c r="G44" s="422"/>
      <c r="H44" s="17" t="str">
        <f t="shared" si="0"/>
        <v/>
      </c>
      <c r="I44" s="57"/>
      <c r="J44" s="61"/>
      <c r="K44" s="399"/>
      <c r="L44" s="420" t="str">
        <f t="shared" si="3"/>
        <v/>
      </c>
      <c r="M44" s="401" t="str">
        <f t="shared" si="4"/>
        <v/>
      </c>
    </row>
    <row r="45" spans="1:13" x14ac:dyDescent="0.25">
      <c r="A45" s="5"/>
      <c r="B45" s="58"/>
      <c r="C45" s="14"/>
      <c r="D45" s="15"/>
      <c r="E45" s="15"/>
      <c r="F45" s="24"/>
      <c r="G45" s="411"/>
      <c r="H45" s="17" t="str">
        <f t="shared" si="0"/>
        <v/>
      </c>
      <c r="I45" s="18"/>
      <c r="J45" s="61"/>
      <c r="K45" s="399"/>
      <c r="L45" s="420" t="str">
        <f t="shared" si="3"/>
        <v/>
      </c>
      <c r="M45" s="401" t="str">
        <f t="shared" si="4"/>
        <v/>
      </c>
    </row>
    <row r="46" spans="1:13" x14ac:dyDescent="0.25">
      <c r="A46" s="5"/>
      <c r="B46" s="58"/>
      <c r="C46" s="14"/>
      <c r="D46" s="15"/>
      <c r="E46" s="15"/>
      <c r="F46" s="24"/>
      <c r="G46" s="411"/>
      <c r="H46" s="17" t="str">
        <f t="shared" si="0"/>
        <v/>
      </c>
      <c r="I46" s="18"/>
      <c r="J46" s="61"/>
      <c r="K46" s="399"/>
      <c r="L46" s="420" t="str">
        <f t="shared" si="3"/>
        <v/>
      </c>
      <c r="M46" s="401" t="str">
        <f t="shared" si="4"/>
        <v/>
      </c>
    </row>
    <row r="47" spans="1:13" x14ac:dyDescent="0.25">
      <c r="A47" s="5"/>
      <c r="B47" s="58"/>
      <c r="C47" s="14"/>
      <c r="D47" s="15"/>
      <c r="E47" s="15"/>
      <c r="F47" s="24"/>
      <c r="G47" s="423"/>
      <c r="H47" s="17" t="str">
        <f t="shared" si="0"/>
        <v/>
      </c>
      <c r="I47" s="18"/>
      <c r="J47" s="61"/>
      <c r="K47" s="399"/>
      <c r="L47" s="420" t="str">
        <f t="shared" si="3"/>
        <v/>
      </c>
      <c r="M47" s="401" t="str">
        <f t="shared" si="4"/>
        <v/>
      </c>
    </row>
    <row r="48" spans="1:13" x14ac:dyDescent="0.25">
      <c r="A48" s="5"/>
      <c r="B48" s="58"/>
      <c r="C48" s="14"/>
      <c r="D48" s="15"/>
      <c r="E48" s="15"/>
      <c r="F48" s="24"/>
      <c r="G48" s="423"/>
      <c r="H48" s="17" t="str">
        <f t="shared" si="0"/>
        <v/>
      </c>
      <c r="I48" s="18"/>
      <c r="J48" s="61"/>
      <c r="K48" s="399"/>
      <c r="L48" s="420" t="str">
        <f t="shared" si="3"/>
        <v/>
      </c>
      <c r="M48" s="401" t="str">
        <f t="shared" si="4"/>
        <v/>
      </c>
    </row>
    <row r="49" spans="1:13" x14ac:dyDescent="0.25">
      <c r="A49" s="5"/>
      <c r="B49" s="58"/>
      <c r="C49" s="14"/>
      <c r="D49" s="15"/>
      <c r="E49" s="15"/>
      <c r="F49" s="15"/>
      <c r="G49" s="411"/>
      <c r="H49" s="17" t="str">
        <f t="shared" si="0"/>
        <v/>
      </c>
      <c r="I49" s="18"/>
      <c r="J49" s="61"/>
      <c r="K49" s="399"/>
      <c r="L49" s="420" t="str">
        <f t="shared" si="3"/>
        <v/>
      </c>
      <c r="M49" s="401" t="str">
        <f t="shared" si="4"/>
        <v/>
      </c>
    </row>
    <row r="50" spans="1:13" x14ac:dyDescent="0.25">
      <c r="A50" s="5"/>
      <c r="B50" s="58"/>
      <c r="C50" s="14"/>
      <c r="D50" s="15"/>
      <c r="E50" s="15"/>
      <c r="F50" s="15"/>
      <c r="G50" s="411"/>
      <c r="H50" s="17" t="str">
        <f t="shared" si="0"/>
        <v/>
      </c>
      <c r="I50" s="18"/>
      <c r="J50" s="61"/>
      <c r="K50" s="402"/>
      <c r="L50" s="420" t="str">
        <f t="shared" si="3"/>
        <v/>
      </c>
      <c r="M50" s="401" t="str">
        <f t="shared" si="4"/>
        <v/>
      </c>
    </row>
    <row r="51" spans="1:13" x14ac:dyDescent="0.25">
      <c r="A51" s="5"/>
      <c r="B51" s="58"/>
      <c r="C51" s="14"/>
      <c r="D51" s="15"/>
      <c r="E51" s="15"/>
      <c r="F51" s="15"/>
      <c r="G51" s="422"/>
      <c r="H51" s="17" t="str">
        <f t="shared" si="0"/>
        <v/>
      </c>
      <c r="I51" s="18"/>
      <c r="J51" s="61"/>
      <c r="K51" s="399"/>
      <c r="L51" s="420" t="str">
        <f t="shared" si="3"/>
        <v/>
      </c>
      <c r="M51" s="401" t="str">
        <f t="shared" si="4"/>
        <v/>
      </c>
    </row>
    <row r="52" spans="1:13" x14ac:dyDescent="0.25">
      <c r="A52" s="5"/>
      <c r="B52" s="58"/>
      <c r="C52" s="14"/>
      <c r="D52" s="15"/>
      <c r="E52" s="15"/>
      <c r="F52" s="15"/>
      <c r="G52" s="422"/>
      <c r="H52" s="17" t="str">
        <f t="shared" si="0"/>
        <v/>
      </c>
      <c r="I52" s="18"/>
      <c r="J52" s="61"/>
      <c r="K52" s="402"/>
      <c r="L52" s="420" t="str">
        <f t="shared" si="3"/>
        <v/>
      </c>
      <c r="M52" s="401" t="str">
        <f t="shared" si="4"/>
        <v/>
      </c>
    </row>
    <row r="53" spans="1:13" x14ac:dyDescent="0.25">
      <c r="A53" s="5"/>
      <c r="B53" s="58"/>
      <c r="C53" s="14"/>
      <c r="D53" s="15"/>
      <c r="E53" s="15"/>
      <c r="F53" s="15"/>
      <c r="G53" s="422"/>
      <c r="H53" s="17" t="str">
        <f t="shared" si="0"/>
        <v/>
      </c>
      <c r="I53" s="18"/>
      <c r="J53" s="62"/>
      <c r="K53" s="62"/>
      <c r="L53" s="420" t="str">
        <f t="shared" si="3"/>
        <v/>
      </c>
      <c r="M53" s="401" t="str">
        <f t="shared" si="4"/>
        <v/>
      </c>
    </row>
    <row r="54" spans="1:13" x14ac:dyDescent="0.25">
      <c r="A54" s="5"/>
      <c r="B54" s="58"/>
      <c r="C54" s="14"/>
      <c r="D54" s="15"/>
      <c r="E54" s="15"/>
      <c r="F54" s="15"/>
      <c r="G54" s="422"/>
      <c r="H54" s="17" t="str">
        <f t="shared" si="0"/>
        <v/>
      </c>
      <c r="I54" s="18"/>
      <c r="J54" s="62"/>
      <c r="K54" s="62"/>
      <c r="L54" s="420" t="str">
        <f t="shared" si="3"/>
        <v/>
      </c>
      <c r="M54" s="401" t="str">
        <f t="shared" si="4"/>
        <v/>
      </c>
    </row>
    <row r="55" spans="1:13" x14ac:dyDescent="0.25">
      <c r="A55" s="5"/>
      <c r="B55" s="58"/>
      <c r="C55" s="14"/>
      <c r="D55" s="15"/>
      <c r="E55" s="15"/>
      <c r="F55" s="15"/>
      <c r="G55" s="422"/>
      <c r="H55" s="17" t="str">
        <f t="shared" si="0"/>
        <v/>
      </c>
      <c r="I55" s="18"/>
      <c r="J55" s="62"/>
      <c r="K55" s="62"/>
      <c r="L55" s="420" t="str">
        <f t="shared" si="3"/>
        <v/>
      </c>
      <c r="M55" s="401" t="str">
        <f t="shared" si="4"/>
        <v/>
      </c>
    </row>
    <row r="56" spans="1:13" x14ac:dyDescent="0.25">
      <c r="A56" s="5"/>
      <c r="B56" s="58"/>
      <c r="C56" s="14"/>
      <c r="D56" s="15"/>
      <c r="E56" s="15"/>
      <c r="F56" s="15"/>
      <c r="G56" s="422"/>
      <c r="H56" s="17" t="str">
        <f t="shared" si="0"/>
        <v/>
      </c>
      <c r="I56" s="18"/>
      <c r="J56" s="62"/>
      <c r="K56" s="62"/>
      <c r="L56" s="420" t="str">
        <f t="shared" si="3"/>
        <v/>
      </c>
      <c r="M56" s="401" t="str">
        <f t="shared" si="4"/>
        <v/>
      </c>
    </row>
    <row r="57" spans="1:13" x14ac:dyDescent="0.25">
      <c r="A57" s="5"/>
      <c r="B57" s="58"/>
      <c r="C57" s="14"/>
      <c r="D57" s="15"/>
      <c r="E57" s="15"/>
      <c r="F57" s="15"/>
      <c r="G57" s="422"/>
      <c r="H57" s="17" t="str">
        <f t="shared" si="0"/>
        <v/>
      </c>
      <c r="I57" s="18"/>
      <c r="J57" s="62"/>
      <c r="K57" s="62"/>
      <c r="L57" s="420" t="str">
        <f t="shared" si="3"/>
        <v/>
      </c>
      <c r="M57" s="401" t="str">
        <f t="shared" si="4"/>
        <v/>
      </c>
    </row>
    <row r="58" spans="1:13" x14ac:dyDescent="0.25">
      <c r="A58" s="5"/>
      <c r="B58" s="58"/>
      <c r="C58" s="14"/>
      <c r="D58" s="15"/>
      <c r="E58" s="15"/>
      <c r="F58" s="15"/>
      <c r="G58" s="422"/>
      <c r="H58" s="17" t="str">
        <f t="shared" si="0"/>
        <v/>
      </c>
      <c r="I58" s="18"/>
      <c r="J58" s="62"/>
      <c r="K58" s="62"/>
      <c r="L58" s="420" t="str">
        <f t="shared" si="3"/>
        <v/>
      </c>
      <c r="M58" s="401" t="str">
        <f t="shared" si="4"/>
        <v/>
      </c>
    </row>
    <row r="59" spans="1:13" x14ac:dyDescent="0.25">
      <c r="A59" s="5"/>
      <c r="B59" s="58"/>
      <c r="C59" s="14"/>
      <c r="D59" s="15"/>
      <c r="E59" s="15"/>
      <c r="F59" s="15"/>
      <c r="G59" s="424"/>
      <c r="H59" s="17" t="str">
        <f t="shared" si="0"/>
        <v/>
      </c>
      <c r="I59" s="18"/>
      <c r="J59" s="62"/>
      <c r="K59" s="62"/>
      <c r="L59" s="420" t="str">
        <f t="shared" si="3"/>
        <v/>
      </c>
      <c r="M59" s="401" t="str">
        <f t="shared" si="4"/>
        <v/>
      </c>
    </row>
    <row r="60" spans="1:13" x14ac:dyDescent="0.25">
      <c r="A60" s="5"/>
      <c r="B60" s="58"/>
      <c r="C60" s="14"/>
      <c r="D60" s="15"/>
      <c r="E60" s="15"/>
      <c r="F60" s="15"/>
      <c r="G60" s="424"/>
      <c r="H60" s="17" t="str">
        <f t="shared" si="0"/>
        <v/>
      </c>
      <c r="I60" s="18"/>
      <c r="J60" s="62"/>
      <c r="K60" s="62"/>
      <c r="L60" s="420" t="str">
        <f t="shared" si="3"/>
        <v/>
      </c>
      <c r="M60" s="401" t="str">
        <f t="shared" si="4"/>
        <v/>
      </c>
    </row>
    <row r="61" spans="1:13" x14ac:dyDescent="0.25">
      <c r="A61" s="5"/>
      <c r="B61" s="58"/>
      <c r="C61" s="14"/>
      <c r="D61" s="15"/>
      <c r="E61" s="15"/>
      <c r="F61" s="15"/>
      <c r="G61" s="422"/>
      <c r="H61" s="17" t="str">
        <f t="shared" si="0"/>
        <v/>
      </c>
      <c r="I61" s="18"/>
      <c r="J61" s="62"/>
      <c r="K61" s="62"/>
      <c r="L61" s="420" t="str">
        <f t="shared" si="3"/>
        <v/>
      </c>
      <c r="M61" s="401" t="str">
        <f t="shared" si="4"/>
        <v/>
      </c>
    </row>
    <row r="62" spans="1:13" x14ac:dyDescent="0.25">
      <c r="A62" s="5"/>
      <c r="B62" s="58"/>
      <c r="C62" s="14"/>
      <c r="D62" s="15"/>
      <c r="E62" s="15"/>
      <c r="F62" s="15"/>
      <c r="G62" s="422"/>
      <c r="H62" s="17" t="str">
        <f t="shared" ref="H62:H67" si="5">IF(D62="","",F62*G62)</f>
        <v/>
      </c>
      <c r="I62" s="18"/>
      <c r="J62" s="62"/>
      <c r="K62" s="62"/>
      <c r="L62" s="420" t="str">
        <f t="shared" ref="L62:L67" si="6">IF(J62="","",F62*K62)</f>
        <v/>
      </c>
      <c r="M62" s="401" t="str">
        <f t="shared" ref="M62:M67" si="7">IF(J62="","",IF(SUM(H62)=0,"",L62/H62))</f>
        <v/>
      </c>
    </row>
    <row r="63" spans="1:13" x14ac:dyDescent="0.25">
      <c r="A63" s="5"/>
      <c r="B63" s="58"/>
      <c r="C63" s="14"/>
      <c r="D63" s="15"/>
      <c r="E63" s="15"/>
      <c r="F63" s="15"/>
      <c r="G63" s="422"/>
      <c r="H63" s="17" t="str">
        <f t="shared" si="5"/>
        <v/>
      </c>
      <c r="I63" s="18"/>
      <c r="J63" s="62"/>
      <c r="K63" s="62"/>
      <c r="L63" s="420" t="str">
        <f t="shared" si="6"/>
        <v/>
      </c>
      <c r="M63" s="401" t="str">
        <f t="shared" si="7"/>
        <v/>
      </c>
    </row>
    <row r="64" spans="1:13" x14ac:dyDescent="0.25">
      <c r="A64" s="5"/>
      <c r="B64" s="58"/>
      <c r="C64" s="14"/>
      <c r="D64" s="15"/>
      <c r="E64" s="15"/>
      <c r="F64" s="15"/>
      <c r="G64" s="422"/>
      <c r="H64" s="17" t="str">
        <f t="shared" si="5"/>
        <v/>
      </c>
      <c r="I64" s="18"/>
      <c r="J64" s="62"/>
      <c r="K64" s="62"/>
      <c r="L64" s="420" t="str">
        <f t="shared" si="6"/>
        <v/>
      </c>
      <c r="M64" s="401" t="str">
        <f t="shared" si="7"/>
        <v/>
      </c>
    </row>
    <row r="65" spans="1:13" x14ac:dyDescent="0.25">
      <c r="A65" s="5"/>
      <c r="B65" s="58"/>
      <c r="C65" s="14"/>
      <c r="D65" s="15"/>
      <c r="E65" s="15"/>
      <c r="F65" s="15"/>
      <c r="G65" s="422"/>
      <c r="H65" s="17" t="str">
        <f t="shared" si="5"/>
        <v/>
      </c>
      <c r="I65" s="18"/>
      <c r="J65" s="62"/>
      <c r="K65" s="62"/>
      <c r="L65" s="420" t="str">
        <f t="shared" si="6"/>
        <v/>
      </c>
      <c r="M65" s="401" t="str">
        <f t="shared" si="7"/>
        <v/>
      </c>
    </row>
    <row r="66" spans="1:13" x14ac:dyDescent="0.25">
      <c r="A66" s="5"/>
      <c r="B66" s="58"/>
      <c r="C66" s="14"/>
      <c r="D66" s="15"/>
      <c r="E66" s="15"/>
      <c r="F66" s="15"/>
      <c r="G66" s="422"/>
      <c r="H66" s="17" t="str">
        <f t="shared" si="5"/>
        <v/>
      </c>
      <c r="I66" s="18"/>
      <c r="J66" s="62"/>
      <c r="K66" s="62"/>
      <c r="L66" s="420" t="str">
        <f t="shared" si="6"/>
        <v/>
      </c>
      <c r="M66" s="401" t="str">
        <f t="shared" si="7"/>
        <v/>
      </c>
    </row>
    <row r="67" spans="1:13" x14ac:dyDescent="0.25">
      <c r="A67" s="5"/>
      <c r="B67" s="58"/>
      <c r="C67" s="14"/>
      <c r="D67" s="15"/>
      <c r="E67" s="15"/>
      <c r="F67" s="15"/>
      <c r="G67" s="422"/>
      <c r="H67" s="17" t="str">
        <f t="shared" si="5"/>
        <v/>
      </c>
      <c r="I67" s="18"/>
      <c r="J67" s="62"/>
      <c r="K67" s="62"/>
      <c r="L67" s="420" t="str">
        <f t="shared" si="6"/>
        <v/>
      </c>
      <c r="M67" s="401" t="str">
        <f t="shared" si="7"/>
        <v/>
      </c>
    </row>
    <row r="68" spans="1:13" x14ac:dyDescent="0.25">
      <c r="A68" s="5"/>
      <c r="B68" s="58"/>
      <c r="C68" s="14"/>
      <c r="D68" s="15"/>
      <c r="E68" s="15"/>
      <c r="F68" s="15"/>
      <c r="G68" s="422"/>
      <c r="H68" s="17" t="str">
        <f t="shared" si="0"/>
        <v/>
      </c>
      <c r="I68" s="18"/>
      <c r="J68" s="62"/>
      <c r="K68" s="62"/>
      <c r="L68" s="420" t="str">
        <f t="shared" si="3"/>
        <v/>
      </c>
      <c r="M68" s="401" t="str">
        <f t="shared" si="4"/>
        <v/>
      </c>
    </row>
    <row r="69" spans="1:13" x14ac:dyDescent="0.25">
      <c r="A69" s="5"/>
      <c r="B69" s="58"/>
      <c r="C69" s="14"/>
      <c r="D69" s="15"/>
      <c r="E69" s="15"/>
      <c r="F69" s="15"/>
      <c r="G69" s="422"/>
      <c r="H69" s="17" t="str">
        <f t="shared" si="0"/>
        <v/>
      </c>
      <c r="I69" s="18"/>
      <c r="J69" s="62"/>
      <c r="K69" s="62"/>
      <c r="L69" s="420" t="str">
        <f t="shared" si="3"/>
        <v/>
      </c>
      <c r="M69" s="401" t="str">
        <f t="shared" si="4"/>
        <v/>
      </c>
    </row>
    <row r="70" spans="1:13" x14ac:dyDescent="0.25">
      <c r="A70" s="5"/>
      <c r="B70" s="58"/>
      <c r="C70" s="14"/>
      <c r="D70" s="15"/>
      <c r="E70" s="15"/>
      <c r="F70" s="15"/>
      <c r="G70" s="422"/>
      <c r="H70" s="17" t="str">
        <f t="shared" si="0"/>
        <v/>
      </c>
      <c r="I70" s="18"/>
      <c r="J70" s="62"/>
      <c r="K70" s="62"/>
      <c r="L70" s="420" t="str">
        <f t="shared" si="3"/>
        <v/>
      </c>
      <c r="M70" s="401" t="str">
        <f t="shared" si="4"/>
        <v/>
      </c>
    </row>
    <row r="71" spans="1:13" x14ac:dyDescent="0.25">
      <c r="A71" s="5"/>
      <c r="B71" s="58"/>
      <c r="C71" s="14"/>
      <c r="D71" s="15"/>
      <c r="E71" s="15"/>
      <c r="F71" s="15"/>
      <c r="G71" s="422"/>
      <c r="H71" s="17" t="str">
        <f t="shared" si="0"/>
        <v/>
      </c>
      <c r="I71" s="18"/>
      <c r="J71" s="61"/>
      <c r="K71" s="62"/>
      <c r="L71" s="420" t="str">
        <f t="shared" si="3"/>
        <v/>
      </c>
      <c r="M71" s="401" t="str">
        <f t="shared" si="4"/>
        <v/>
      </c>
    </row>
    <row r="72" spans="1:13" x14ac:dyDescent="0.25">
      <c r="A72" s="5"/>
      <c r="B72" s="58"/>
      <c r="C72" s="14"/>
      <c r="D72" s="15"/>
      <c r="E72" s="15"/>
      <c r="F72" s="15"/>
      <c r="G72" s="422"/>
      <c r="H72" s="17" t="str">
        <f t="shared" si="0"/>
        <v/>
      </c>
      <c r="I72" s="18"/>
      <c r="J72" s="61"/>
      <c r="K72" s="696"/>
      <c r="L72" s="420" t="str">
        <f t="shared" si="3"/>
        <v/>
      </c>
      <c r="M72" s="401" t="str">
        <f t="shared" si="4"/>
        <v/>
      </c>
    </row>
    <row r="73" spans="1:13" s="28" customFormat="1" ht="19.5" customHeight="1" x14ac:dyDescent="0.25">
      <c r="B73" s="135" t="str">
        <f>$B$14</f>
        <v>C13.8</v>
      </c>
      <c r="C73" s="498" t="str">
        <f>"TOTAL CARRIED FORWARD"&amp;IF(H73=H$1," TO SUMMARY (Page C"&amp;Page_B&amp;")","")</f>
        <v>TOTAL CARRIED FORWARD TO SUMMARY (Page C65)</v>
      </c>
      <c r="D73" s="31"/>
      <c r="E73" s="31"/>
      <c r="F73" s="32"/>
      <c r="G73" s="31"/>
      <c r="H73" s="33">
        <f>SUM(H13:H72)</f>
        <v>0</v>
      </c>
      <c r="I73" s="34"/>
      <c r="J73" s="408"/>
      <c r="K73" s="406"/>
      <c r="L73" s="418">
        <f>SUM(L13:L72)</f>
        <v>0</v>
      </c>
      <c r="M73" s="407" t="str">
        <f t="shared" ref="M73" si="8">IF(J73="","",IF(SUM(H73)=0,"",L73/H73))</f>
        <v/>
      </c>
    </row>
    <row r="74" spans="1:13" ht="13" x14ac:dyDescent="0.25">
      <c r="B74" s="1108" t="str">
        <f>Client1</f>
        <v>Province of KwaZulu-Natal</v>
      </c>
      <c r="C74" s="1108"/>
      <c r="D74" s="1108"/>
      <c r="E74" s="87"/>
      <c r="F74" s="1109" t="str">
        <f>"Contract No. "&amp;ContractNo</f>
        <v>Contract No. ZNB 00399/00000/HOD/INF/21/T</v>
      </c>
      <c r="G74" s="1109"/>
      <c r="H74" s="1109"/>
    </row>
    <row r="75" spans="1:13" ht="13" x14ac:dyDescent="0.25">
      <c r="B75" s="1108" t="str">
        <f>Client2</f>
        <v>Department of Transport</v>
      </c>
      <c r="C75" s="1108"/>
      <c r="D75" s="1108"/>
      <c r="E75" s="87"/>
      <c r="F75" s="1109"/>
      <c r="G75" s="1109"/>
      <c r="H75" s="1109"/>
    </row>
    <row r="76" spans="1:13" x14ac:dyDescent="0.25">
      <c r="B76" s="1111"/>
      <c r="C76" s="1111"/>
      <c r="D76" s="1111"/>
      <c r="E76" s="78"/>
      <c r="F76" s="1110"/>
      <c r="G76" s="1110"/>
      <c r="H76" s="1110"/>
    </row>
    <row r="77" spans="1:13" ht="13" x14ac:dyDescent="0.25">
      <c r="B77" s="1112" t="s">
        <v>8</v>
      </c>
      <c r="C77" s="1113"/>
      <c r="D77" s="1113"/>
      <c r="E77" s="1113"/>
      <c r="F77" s="1113"/>
      <c r="G77" s="1113"/>
      <c r="H77" s="1125" t="str">
        <f>$H$6</f>
        <v>CHAPTER C13.8</v>
      </c>
      <c r="I77" s="6"/>
    </row>
    <row r="78" spans="1:13" ht="13" x14ac:dyDescent="0.25">
      <c r="B78" s="1117" t="str">
        <f>ContractDescription</f>
        <v>THE CONSTRUCTION OF EARTHWORKS, LAYERWORKS, SURFACING, CULVERTS AND CWAKA RIVER BRIDGE FROM KM 11.600 TO KM 14.000 ON MAIN ROAD P494 IN THE KING CETSHWAYO DISTRICT UNDER EMPANGENI REGION</v>
      </c>
      <c r="C78" s="1118"/>
      <c r="D78" s="1118"/>
      <c r="E78" s="1118"/>
      <c r="F78" s="1118"/>
      <c r="G78" s="1118"/>
      <c r="H78" s="1126"/>
      <c r="I78" s="8"/>
    </row>
    <row r="79" spans="1:13" ht="13" x14ac:dyDescent="0.25">
      <c r="B79" s="1117"/>
      <c r="C79" s="1118"/>
      <c r="D79" s="1118"/>
      <c r="E79" s="1118"/>
      <c r="F79" s="1118"/>
      <c r="G79" s="1118"/>
      <c r="H79" s="1126"/>
      <c r="I79" s="8"/>
    </row>
    <row r="80" spans="1:13" ht="13" x14ac:dyDescent="0.25">
      <c r="B80" s="1119"/>
      <c r="C80" s="1120"/>
      <c r="D80" s="1120"/>
      <c r="E80" s="1120"/>
      <c r="F80" s="1120"/>
      <c r="G80" s="1120"/>
      <c r="H80" s="1127"/>
      <c r="I80" s="8"/>
    </row>
    <row r="81" spans="1:9" s="9" customFormat="1" ht="25" customHeight="1" x14ac:dyDescent="0.25">
      <c r="B81" s="74" t="s">
        <v>0</v>
      </c>
      <c r="C81" s="11" t="s">
        <v>1</v>
      </c>
      <c r="D81" s="11" t="s">
        <v>2</v>
      </c>
      <c r="E81" s="11"/>
      <c r="F81" s="11" t="s">
        <v>3</v>
      </c>
      <c r="G81" s="11" t="s">
        <v>4</v>
      </c>
      <c r="H81" s="11" t="s">
        <v>5</v>
      </c>
      <c r="I81" s="12"/>
    </row>
    <row r="82" spans="1:9" s="28" customFormat="1" ht="19.5" customHeight="1" x14ac:dyDescent="0.25">
      <c r="B82" s="80"/>
      <c r="C82" s="30" t="s">
        <v>27</v>
      </c>
      <c r="D82" s="31"/>
      <c r="E82" s="31"/>
      <c r="F82" s="32"/>
      <c r="G82" s="31"/>
      <c r="H82" s="33">
        <f>H73</f>
        <v>0</v>
      </c>
      <c r="I82" s="34"/>
    </row>
    <row r="83" spans="1:9" x14ac:dyDescent="0.25">
      <c r="A83" s="5"/>
      <c r="B83" s="46"/>
      <c r="C83" s="14"/>
      <c r="D83" s="21"/>
      <c r="E83" s="21"/>
      <c r="F83" s="21"/>
      <c r="G83" s="38"/>
      <c r="H83" s="17"/>
      <c r="I83" s="40"/>
    </row>
    <row r="84" spans="1:9" x14ac:dyDescent="0.25">
      <c r="A84" s="5"/>
      <c r="B84" s="46"/>
      <c r="C84" s="14"/>
      <c r="D84" s="21"/>
      <c r="E84" s="21"/>
      <c r="F84" s="21"/>
      <c r="G84" s="38"/>
      <c r="H84" s="17" t="str">
        <f t="shared" ref="H84:H115" si="9">IF(D84="","",F84*G84)</f>
        <v/>
      </c>
      <c r="I84" s="40"/>
    </row>
    <row r="85" spans="1:9" x14ac:dyDescent="0.25">
      <c r="A85" s="5"/>
      <c r="B85" s="46"/>
      <c r="C85" s="14"/>
      <c r="D85" s="21"/>
      <c r="E85" s="21"/>
      <c r="F85" s="21"/>
      <c r="G85" s="38"/>
      <c r="H85" s="17" t="str">
        <f t="shared" si="9"/>
        <v/>
      </c>
      <c r="I85" s="40"/>
    </row>
    <row r="86" spans="1:9" x14ac:dyDescent="0.25">
      <c r="A86" s="5"/>
      <c r="B86" s="46"/>
      <c r="C86" s="14"/>
      <c r="D86" s="21"/>
      <c r="E86" s="21"/>
      <c r="F86" s="21"/>
      <c r="G86" s="38"/>
      <c r="H86" s="17" t="str">
        <f t="shared" si="9"/>
        <v/>
      </c>
      <c r="I86" s="40"/>
    </row>
    <row r="87" spans="1:9" x14ac:dyDescent="0.25">
      <c r="A87" s="5"/>
      <c r="B87" s="46"/>
      <c r="C87" s="14"/>
      <c r="D87" s="21"/>
      <c r="E87" s="21"/>
      <c r="F87" s="21"/>
      <c r="G87" s="38"/>
      <c r="H87" s="17" t="str">
        <f t="shared" si="9"/>
        <v/>
      </c>
      <c r="I87" s="40"/>
    </row>
    <row r="88" spans="1:9" x14ac:dyDescent="0.25">
      <c r="A88" s="5"/>
      <c r="B88" s="46"/>
      <c r="C88" s="14"/>
      <c r="D88" s="21"/>
      <c r="E88" s="21"/>
      <c r="F88" s="21"/>
      <c r="G88" s="38"/>
      <c r="H88" s="17" t="str">
        <f t="shared" si="9"/>
        <v/>
      </c>
      <c r="I88" s="40"/>
    </row>
    <row r="89" spans="1:9" x14ac:dyDescent="0.25">
      <c r="A89" s="5"/>
      <c r="B89" s="46"/>
      <c r="C89" s="14"/>
      <c r="D89" s="21"/>
      <c r="E89" s="21"/>
      <c r="F89" s="21"/>
      <c r="G89" s="38"/>
      <c r="H89" s="17" t="str">
        <f t="shared" si="9"/>
        <v/>
      </c>
      <c r="I89" s="40"/>
    </row>
    <row r="90" spans="1:9" x14ac:dyDescent="0.25">
      <c r="A90" s="5"/>
      <c r="B90" s="46"/>
      <c r="C90" s="14"/>
      <c r="D90" s="21"/>
      <c r="E90" s="21"/>
      <c r="F90" s="21"/>
      <c r="G90" s="38"/>
      <c r="H90" s="17" t="str">
        <f t="shared" si="9"/>
        <v/>
      </c>
      <c r="I90" s="40"/>
    </row>
    <row r="91" spans="1:9" x14ac:dyDescent="0.25">
      <c r="A91" s="5"/>
      <c r="B91" s="46"/>
      <c r="C91" s="14"/>
      <c r="D91" s="21"/>
      <c r="E91" s="21"/>
      <c r="F91" s="21"/>
      <c r="G91" s="38"/>
      <c r="H91" s="17" t="str">
        <f t="shared" si="9"/>
        <v/>
      </c>
      <c r="I91" s="40"/>
    </row>
    <row r="92" spans="1:9" x14ac:dyDescent="0.25">
      <c r="A92" s="5"/>
      <c r="B92" s="46"/>
      <c r="C92" s="14"/>
      <c r="D92" s="21"/>
      <c r="E92" s="21"/>
      <c r="F92" s="21"/>
      <c r="G92" s="38"/>
      <c r="H92" s="17" t="str">
        <f t="shared" si="9"/>
        <v/>
      </c>
      <c r="I92" s="40"/>
    </row>
    <row r="93" spans="1:9" x14ac:dyDescent="0.25">
      <c r="A93" s="5"/>
      <c r="B93" s="46"/>
      <c r="C93" s="14"/>
      <c r="D93" s="21"/>
      <c r="E93" s="21"/>
      <c r="F93" s="21"/>
      <c r="G93" s="38"/>
      <c r="H93" s="17" t="str">
        <f t="shared" si="9"/>
        <v/>
      </c>
      <c r="I93" s="40"/>
    </row>
    <row r="94" spans="1:9" x14ac:dyDescent="0.25">
      <c r="A94" s="5"/>
      <c r="B94" s="46"/>
      <c r="C94" s="14"/>
      <c r="D94" s="21"/>
      <c r="E94" s="21"/>
      <c r="F94" s="21"/>
      <c r="G94" s="38"/>
      <c r="H94" s="17" t="str">
        <f t="shared" si="9"/>
        <v/>
      </c>
      <c r="I94" s="40"/>
    </row>
    <row r="95" spans="1:9" x14ac:dyDescent="0.25">
      <c r="A95" s="5"/>
      <c r="B95" s="46"/>
      <c r="C95" s="14"/>
      <c r="D95" s="21"/>
      <c r="E95" s="21"/>
      <c r="F95" s="21"/>
      <c r="G95" s="38"/>
      <c r="H95" s="17" t="str">
        <f t="shared" si="9"/>
        <v/>
      </c>
      <c r="I95" s="40"/>
    </row>
    <row r="96" spans="1:9" x14ac:dyDescent="0.25">
      <c r="A96" s="5"/>
      <c r="B96" s="46"/>
      <c r="C96" s="14"/>
      <c r="D96" s="21"/>
      <c r="E96" s="21"/>
      <c r="F96" s="21"/>
      <c r="G96" s="38"/>
      <c r="H96" s="17" t="str">
        <f t="shared" si="9"/>
        <v/>
      </c>
      <c r="I96" s="40"/>
    </row>
    <row r="97" spans="1:9" x14ac:dyDescent="0.25">
      <c r="A97" s="5"/>
      <c r="B97" s="46"/>
      <c r="C97" s="14"/>
      <c r="D97" s="21"/>
      <c r="E97" s="21"/>
      <c r="F97" s="21"/>
      <c r="G97" s="38"/>
      <c r="H97" s="17" t="str">
        <f t="shared" si="9"/>
        <v/>
      </c>
      <c r="I97" s="40"/>
    </row>
    <row r="98" spans="1:9" x14ac:dyDescent="0.25">
      <c r="A98" s="5"/>
      <c r="B98" s="46"/>
      <c r="C98" s="14"/>
      <c r="D98" s="21"/>
      <c r="E98" s="21"/>
      <c r="F98" s="21"/>
      <c r="G98" s="38"/>
      <c r="H98" s="17" t="str">
        <f t="shared" si="9"/>
        <v/>
      </c>
      <c r="I98" s="40"/>
    </row>
    <row r="99" spans="1:9" x14ac:dyDescent="0.25">
      <c r="A99" s="5"/>
      <c r="B99" s="46"/>
      <c r="C99" s="14"/>
      <c r="D99" s="21"/>
      <c r="E99" s="21"/>
      <c r="F99" s="21"/>
      <c r="G99" s="38"/>
      <c r="H99" s="17" t="str">
        <f t="shared" si="9"/>
        <v/>
      </c>
      <c r="I99" s="40"/>
    </row>
    <row r="100" spans="1:9" x14ac:dyDescent="0.25">
      <c r="A100" s="5"/>
      <c r="B100" s="46"/>
      <c r="C100" s="14"/>
      <c r="D100" s="21"/>
      <c r="E100" s="21"/>
      <c r="F100" s="21"/>
      <c r="G100" s="38"/>
      <c r="H100" s="17" t="str">
        <f t="shared" si="9"/>
        <v/>
      </c>
      <c r="I100" s="40"/>
    </row>
    <row r="101" spans="1:9" x14ac:dyDescent="0.25">
      <c r="A101" s="5"/>
      <c r="B101" s="46"/>
      <c r="C101" s="14"/>
      <c r="D101" s="21"/>
      <c r="E101" s="21"/>
      <c r="F101" s="21"/>
      <c r="G101" s="38"/>
      <c r="H101" s="17" t="str">
        <f t="shared" si="9"/>
        <v/>
      </c>
      <c r="I101" s="40"/>
    </row>
    <row r="102" spans="1:9" x14ac:dyDescent="0.25">
      <c r="A102" s="5"/>
      <c r="B102" s="46"/>
      <c r="C102" s="14"/>
      <c r="D102" s="21"/>
      <c r="E102" s="21"/>
      <c r="F102" s="21"/>
      <c r="G102" s="38"/>
      <c r="H102" s="17" t="str">
        <f t="shared" si="9"/>
        <v/>
      </c>
      <c r="I102" s="40"/>
    </row>
    <row r="103" spans="1:9" x14ac:dyDescent="0.25">
      <c r="A103" s="5"/>
      <c r="B103" s="46"/>
      <c r="C103" s="14"/>
      <c r="D103" s="21"/>
      <c r="E103" s="21"/>
      <c r="F103" s="21"/>
      <c r="G103" s="38"/>
      <c r="H103" s="17" t="str">
        <f t="shared" si="9"/>
        <v/>
      </c>
      <c r="I103" s="40"/>
    </row>
    <row r="104" spans="1:9" x14ac:dyDescent="0.25">
      <c r="A104" s="5"/>
      <c r="B104" s="46"/>
      <c r="C104" s="14"/>
      <c r="D104" s="21"/>
      <c r="E104" s="21"/>
      <c r="F104" s="21"/>
      <c r="G104" s="38"/>
      <c r="H104" s="17" t="str">
        <f t="shared" si="9"/>
        <v/>
      </c>
      <c r="I104" s="40"/>
    </row>
    <row r="105" spans="1:9" x14ac:dyDescent="0.25">
      <c r="A105" s="5"/>
      <c r="B105" s="46"/>
      <c r="C105" s="14"/>
      <c r="D105" s="21"/>
      <c r="E105" s="21"/>
      <c r="F105" s="21"/>
      <c r="G105" s="38"/>
      <c r="H105" s="17" t="str">
        <f t="shared" si="9"/>
        <v/>
      </c>
      <c r="I105" s="40"/>
    </row>
    <row r="106" spans="1:9" x14ac:dyDescent="0.25">
      <c r="A106" s="5"/>
      <c r="B106" s="46"/>
      <c r="C106" s="14"/>
      <c r="D106" s="21"/>
      <c r="E106" s="21"/>
      <c r="F106" s="21"/>
      <c r="G106" s="38"/>
      <c r="H106" s="17" t="str">
        <f t="shared" si="9"/>
        <v/>
      </c>
      <c r="I106" s="40"/>
    </row>
    <row r="107" spans="1:9" x14ac:dyDescent="0.25">
      <c r="A107" s="5"/>
      <c r="B107" s="46"/>
      <c r="C107" s="14"/>
      <c r="D107" s="21"/>
      <c r="E107" s="21"/>
      <c r="F107" s="21"/>
      <c r="G107" s="38"/>
      <c r="H107" s="17" t="str">
        <f t="shared" si="9"/>
        <v/>
      </c>
      <c r="I107" s="40"/>
    </row>
    <row r="108" spans="1:9" x14ac:dyDescent="0.25">
      <c r="A108" s="5"/>
      <c r="B108" s="46"/>
      <c r="C108" s="14"/>
      <c r="D108" s="21"/>
      <c r="E108" s="21"/>
      <c r="F108" s="21"/>
      <c r="G108" s="38"/>
      <c r="H108" s="17" t="str">
        <f t="shared" si="9"/>
        <v/>
      </c>
      <c r="I108" s="40"/>
    </row>
    <row r="109" spans="1:9" x14ac:dyDescent="0.25">
      <c r="A109" s="5"/>
      <c r="B109" s="46"/>
      <c r="C109" s="14"/>
      <c r="D109" s="21"/>
      <c r="E109" s="21"/>
      <c r="F109" s="21"/>
      <c r="G109" s="38"/>
      <c r="H109" s="17" t="str">
        <f t="shared" si="9"/>
        <v/>
      </c>
      <c r="I109" s="40"/>
    </row>
    <row r="110" spans="1:9" x14ac:dyDescent="0.25">
      <c r="A110" s="5"/>
      <c r="B110" s="46"/>
      <c r="C110" s="14"/>
      <c r="D110" s="21"/>
      <c r="E110" s="21"/>
      <c r="F110" s="21"/>
      <c r="G110" s="38"/>
      <c r="H110" s="17" t="str">
        <f t="shared" si="9"/>
        <v/>
      </c>
      <c r="I110" s="40"/>
    </row>
    <row r="111" spans="1:9" x14ac:dyDescent="0.25">
      <c r="A111" s="5"/>
      <c r="B111" s="46"/>
      <c r="C111" s="14"/>
      <c r="D111" s="21"/>
      <c r="E111" s="21"/>
      <c r="F111" s="21"/>
      <c r="G111" s="38"/>
      <c r="H111" s="17" t="str">
        <f t="shared" si="9"/>
        <v/>
      </c>
      <c r="I111" s="40"/>
    </row>
    <row r="112" spans="1:9" x14ac:dyDescent="0.25">
      <c r="A112" s="5"/>
      <c r="B112" s="46"/>
      <c r="C112" s="14"/>
      <c r="D112" s="21"/>
      <c r="E112" s="21"/>
      <c r="F112" s="21"/>
      <c r="G112" s="38"/>
      <c r="H112" s="17" t="str">
        <f t="shared" si="9"/>
        <v/>
      </c>
      <c r="I112" s="40"/>
    </row>
    <row r="113" spans="1:9" x14ac:dyDescent="0.25">
      <c r="A113" s="5"/>
      <c r="B113" s="46"/>
      <c r="C113" s="14"/>
      <c r="D113" s="21"/>
      <c r="E113" s="21"/>
      <c r="F113" s="21"/>
      <c r="G113" s="38"/>
      <c r="H113" s="17" t="str">
        <f t="shared" si="9"/>
        <v/>
      </c>
      <c r="I113" s="40"/>
    </row>
    <row r="114" spans="1:9" x14ac:dyDescent="0.25">
      <c r="A114" s="5"/>
      <c r="B114" s="46"/>
      <c r="C114" s="14"/>
      <c r="D114" s="21"/>
      <c r="E114" s="21"/>
      <c r="F114" s="21"/>
      <c r="G114" s="38"/>
      <c r="H114" s="17" t="str">
        <f t="shared" si="9"/>
        <v/>
      </c>
      <c r="I114" s="40"/>
    </row>
    <row r="115" spans="1:9" x14ac:dyDescent="0.25">
      <c r="A115" s="5"/>
      <c r="B115" s="46"/>
      <c r="C115" s="14"/>
      <c r="D115" s="21"/>
      <c r="E115" s="21"/>
      <c r="F115" s="21"/>
      <c r="G115" s="38"/>
      <c r="H115" s="17" t="str">
        <f t="shared" si="9"/>
        <v/>
      </c>
      <c r="I115" s="40"/>
    </row>
    <row r="116" spans="1:9" x14ac:dyDescent="0.25">
      <c r="A116" s="5"/>
      <c r="B116" s="46"/>
      <c r="C116" s="14"/>
      <c r="D116" s="21"/>
      <c r="E116" s="21"/>
      <c r="F116" s="21"/>
      <c r="G116" s="38"/>
      <c r="H116" s="17" t="str">
        <f t="shared" ref="H116:H147" si="10">IF(D116="","",F116*G116)</f>
        <v/>
      </c>
      <c r="I116" s="40"/>
    </row>
    <row r="117" spans="1:9" x14ac:dyDescent="0.25">
      <c r="A117" s="5"/>
      <c r="B117" s="46"/>
      <c r="C117" s="14"/>
      <c r="D117" s="21"/>
      <c r="E117" s="21"/>
      <c r="F117" s="21"/>
      <c r="G117" s="38"/>
      <c r="H117" s="17" t="str">
        <f t="shared" si="10"/>
        <v/>
      </c>
      <c r="I117" s="40"/>
    </row>
    <row r="118" spans="1:9" x14ac:dyDescent="0.25">
      <c r="A118" s="5"/>
      <c r="B118" s="46"/>
      <c r="C118" s="14"/>
      <c r="D118" s="21"/>
      <c r="E118" s="21"/>
      <c r="F118" s="21"/>
      <c r="G118" s="38"/>
      <c r="H118" s="17" t="str">
        <f t="shared" si="10"/>
        <v/>
      </c>
      <c r="I118" s="40"/>
    </row>
    <row r="119" spans="1:9" x14ac:dyDescent="0.25">
      <c r="A119" s="5"/>
      <c r="B119" s="46"/>
      <c r="C119" s="14"/>
      <c r="D119" s="21"/>
      <c r="E119" s="21"/>
      <c r="F119" s="21"/>
      <c r="G119" s="38"/>
      <c r="H119" s="17" t="str">
        <f t="shared" si="10"/>
        <v/>
      </c>
      <c r="I119" s="40"/>
    </row>
    <row r="120" spans="1:9" x14ac:dyDescent="0.25">
      <c r="A120" s="5"/>
      <c r="B120" s="46"/>
      <c r="C120" s="14"/>
      <c r="D120" s="21"/>
      <c r="E120" s="21"/>
      <c r="F120" s="21"/>
      <c r="G120" s="38"/>
      <c r="H120" s="17" t="str">
        <f t="shared" si="10"/>
        <v/>
      </c>
      <c r="I120" s="40"/>
    </row>
    <row r="121" spans="1:9" x14ac:dyDescent="0.25">
      <c r="A121" s="5"/>
      <c r="B121" s="46"/>
      <c r="C121" s="14"/>
      <c r="D121" s="21"/>
      <c r="E121" s="21"/>
      <c r="F121" s="21"/>
      <c r="G121" s="38"/>
      <c r="H121" s="17" t="str">
        <f t="shared" si="10"/>
        <v/>
      </c>
      <c r="I121" s="40"/>
    </row>
    <row r="122" spans="1:9" ht="13" x14ac:dyDescent="0.25">
      <c r="A122" s="5"/>
      <c r="B122" s="73"/>
      <c r="C122" s="19"/>
      <c r="D122" s="21"/>
      <c r="E122" s="21"/>
      <c r="F122" s="21"/>
      <c r="G122" s="38"/>
      <c r="H122" s="17" t="str">
        <f t="shared" si="10"/>
        <v/>
      </c>
      <c r="I122" s="40"/>
    </row>
    <row r="123" spans="1:9" x14ac:dyDescent="0.25">
      <c r="A123" s="5"/>
      <c r="B123" s="46"/>
      <c r="C123" s="14"/>
      <c r="D123" s="21"/>
      <c r="E123" s="21"/>
      <c r="F123" s="21"/>
      <c r="G123" s="38"/>
      <c r="H123" s="17" t="str">
        <f t="shared" si="10"/>
        <v/>
      </c>
      <c r="I123" s="40"/>
    </row>
    <row r="124" spans="1:9" x14ac:dyDescent="0.25">
      <c r="A124" s="5"/>
      <c r="B124" s="46"/>
      <c r="C124" s="14"/>
      <c r="D124" s="21"/>
      <c r="E124" s="21"/>
      <c r="F124" s="21"/>
      <c r="G124" s="38"/>
      <c r="H124" s="17" t="str">
        <f t="shared" si="10"/>
        <v/>
      </c>
      <c r="I124" s="40"/>
    </row>
    <row r="125" spans="1:9" x14ac:dyDescent="0.25">
      <c r="A125" s="5"/>
      <c r="B125" s="46"/>
      <c r="C125" s="14"/>
      <c r="D125" s="21"/>
      <c r="E125" s="21"/>
      <c r="F125" s="21"/>
      <c r="G125" s="38"/>
      <c r="H125" s="17" t="str">
        <f t="shared" si="10"/>
        <v/>
      </c>
      <c r="I125" s="40"/>
    </row>
    <row r="126" spans="1:9" x14ac:dyDescent="0.25">
      <c r="A126" s="5"/>
      <c r="B126" s="46"/>
      <c r="C126" s="14"/>
      <c r="D126" s="21"/>
      <c r="E126" s="21"/>
      <c r="F126" s="21"/>
      <c r="G126" s="38"/>
      <c r="H126" s="17" t="str">
        <f t="shared" si="10"/>
        <v/>
      </c>
      <c r="I126" s="40"/>
    </row>
    <row r="127" spans="1:9" x14ac:dyDescent="0.25">
      <c r="A127" s="5"/>
      <c r="B127" s="46"/>
      <c r="C127" s="14"/>
      <c r="D127" s="21"/>
      <c r="E127" s="21"/>
      <c r="F127" s="21"/>
      <c r="G127" s="38"/>
      <c r="H127" s="17" t="str">
        <f t="shared" si="10"/>
        <v/>
      </c>
      <c r="I127" s="40"/>
    </row>
    <row r="128" spans="1:9" x14ac:dyDescent="0.25">
      <c r="A128" s="5"/>
      <c r="B128" s="46"/>
      <c r="C128" s="14"/>
      <c r="D128" s="21"/>
      <c r="E128" s="21"/>
      <c r="F128" s="21"/>
      <c r="G128" s="38"/>
      <c r="H128" s="17" t="str">
        <f t="shared" si="10"/>
        <v/>
      </c>
      <c r="I128" s="40"/>
    </row>
    <row r="129" spans="1:9" x14ac:dyDescent="0.25">
      <c r="A129" s="5"/>
      <c r="B129" s="46"/>
      <c r="C129" s="14"/>
      <c r="D129" s="21"/>
      <c r="E129" s="21"/>
      <c r="F129" s="21"/>
      <c r="G129" s="38"/>
      <c r="H129" s="17" t="str">
        <f t="shared" si="10"/>
        <v/>
      </c>
      <c r="I129" s="40"/>
    </row>
    <row r="130" spans="1:9" x14ac:dyDescent="0.25">
      <c r="A130" s="5"/>
      <c r="B130" s="46"/>
      <c r="C130" s="14"/>
      <c r="D130" s="21"/>
      <c r="E130" s="21"/>
      <c r="F130" s="21"/>
      <c r="G130" s="38"/>
      <c r="H130" s="17" t="str">
        <f t="shared" si="10"/>
        <v/>
      </c>
      <c r="I130" s="40"/>
    </row>
    <row r="131" spans="1:9" x14ac:dyDescent="0.25">
      <c r="A131" s="5"/>
      <c r="B131" s="46"/>
      <c r="C131" s="14"/>
      <c r="D131" s="21"/>
      <c r="E131" s="21"/>
      <c r="F131" s="21"/>
      <c r="G131" s="38"/>
      <c r="H131" s="17" t="str">
        <f t="shared" si="10"/>
        <v/>
      </c>
      <c r="I131" s="40"/>
    </row>
    <row r="132" spans="1:9" x14ac:dyDescent="0.25">
      <c r="A132" s="5"/>
      <c r="B132" s="46"/>
      <c r="C132" s="14"/>
      <c r="D132" s="21"/>
      <c r="E132" s="21"/>
      <c r="F132" s="21"/>
      <c r="G132" s="38"/>
      <c r="H132" s="17" t="str">
        <f t="shared" si="10"/>
        <v/>
      </c>
      <c r="I132" s="40"/>
    </row>
    <row r="133" spans="1:9" x14ac:dyDescent="0.25">
      <c r="A133" s="5"/>
      <c r="B133" s="46"/>
      <c r="C133" s="14"/>
      <c r="D133" s="21"/>
      <c r="E133" s="21"/>
      <c r="F133" s="21"/>
      <c r="G133" s="38"/>
      <c r="H133" s="17" t="str">
        <f t="shared" si="10"/>
        <v/>
      </c>
      <c r="I133" s="40"/>
    </row>
    <row r="134" spans="1:9" x14ac:dyDescent="0.25">
      <c r="A134" s="5"/>
      <c r="B134" s="46"/>
      <c r="C134" s="14"/>
      <c r="D134" s="21"/>
      <c r="E134" s="21"/>
      <c r="F134" s="21"/>
      <c r="G134" s="38"/>
      <c r="H134" s="17" t="str">
        <f t="shared" si="10"/>
        <v/>
      </c>
      <c r="I134" s="40"/>
    </row>
    <row r="135" spans="1:9" x14ac:dyDescent="0.25">
      <c r="A135" s="5"/>
      <c r="B135" s="46"/>
      <c r="C135" s="14"/>
      <c r="D135" s="21"/>
      <c r="E135" s="21"/>
      <c r="F135" s="21"/>
      <c r="G135" s="38"/>
      <c r="H135" s="17" t="str">
        <f t="shared" si="10"/>
        <v/>
      </c>
      <c r="I135" s="40"/>
    </row>
    <row r="136" spans="1:9" x14ac:dyDescent="0.25">
      <c r="A136" s="5"/>
      <c r="B136" s="46"/>
      <c r="C136" s="14"/>
      <c r="D136" s="21"/>
      <c r="E136" s="21"/>
      <c r="F136" s="21"/>
      <c r="G136" s="38"/>
      <c r="H136" s="17" t="str">
        <f t="shared" si="10"/>
        <v/>
      </c>
      <c r="I136" s="40"/>
    </row>
    <row r="137" spans="1:9" x14ac:dyDescent="0.25">
      <c r="A137" s="5"/>
      <c r="B137" s="46"/>
      <c r="C137" s="14"/>
      <c r="D137" s="21"/>
      <c r="E137" s="21"/>
      <c r="F137" s="21"/>
      <c r="G137" s="38"/>
      <c r="H137" s="17" t="str">
        <f t="shared" si="10"/>
        <v/>
      </c>
      <c r="I137" s="40"/>
    </row>
    <row r="138" spans="1:9" x14ac:dyDescent="0.25">
      <c r="A138" s="5"/>
      <c r="B138" s="46"/>
      <c r="C138" s="14"/>
      <c r="D138" s="21"/>
      <c r="E138" s="21"/>
      <c r="F138" s="21"/>
      <c r="G138" s="38"/>
      <c r="H138" s="17" t="str">
        <f t="shared" si="10"/>
        <v/>
      </c>
      <c r="I138" s="40"/>
    </row>
    <row r="139" spans="1:9" x14ac:dyDescent="0.25">
      <c r="A139" s="5"/>
      <c r="B139" s="46"/>
      <c r="C139" s="14"/>
      <c r="D139" s="21"/>
      <c r="E139" s="21"/>
      <c r="F139" s="21"/>
      <c r="G139" s="38"/>
      <c r="H139" s="17" t="str">
        <f t="shared" si="10"/>
        <v/>
      </c>
      <c r="I139" s="40"/>
    </row>
    <row r="140" spans="1:9" x14ac:dyDescent="0.25">
      <c r="A140" s="5"/>
      <c r="B140" s="46"/>
      <c r="C140" s="14"/>
      <c r="D140" s="21"/>
      <c r="E140" s="21"/>
      <c r="F140" s="21"/>
      <c r="G140" s="38"/>
      <c r="H140" s="17" t="str">
        <f t="shared" si="10"/>
        <v/>
      </c>
      <c r="I140" s="40"/>
    </row>
    <row r="141" spans="1:9" x14ac:dyDescent="0.25">
      <c r="A141" s="5"/>
      <c r="B141" s="46"/>
      <c r="C141" s="14"/>
      <c r="D141" s="21"/>
      <c r="E141" s="21"/>
      <c r="F141" s="21"/>
      <c r="G141" s="38"/>
      <c r="H141" s="17" t="str">
        <f t="shared" si="10"/>
        <v/>
      </c>
      <c r="I141" s="40"/>
    </row>
    <row r="142" spans="1:9" x14ac:dyDescent="0.25">
      <c r="A142" s="5"/>
      <c r="B142" s="46"/>
      <c r="C142" s="14"/>
      <c r="D142" s="21"/>
      <c r="E142" s="21"/>
      <c r="F142" s="21"/>
      <c r="G142" s="38"/>
      <c r="H142" s="17" t="str">
        <f t="shared" si="10"/>
        <v/>
      </c>
      <c r="I142" s="40"/>
    </row>
    <row r="143" spans="1:9" x14ac:dyDescent="0.25">
      <c r="A143" s="5"/>
      <c r="B143" s="46"/>
      <c r="C143" s="14"/>
      <c r="D143" s="21"/>
      <c r="E143" s="21"/>
      <c r="F143" s="21"/>
      <c r="G143" s="38"/>
      <c r="H143" s="17" t="str">
        <f t="shared" si="10"/>
        <v/>
      </c>
      <c r="I143" s="40"/>
    </row>
    <row r="144" spans="1:9" x14ac:dyDescent="0.25">
      <c r="A144" s="5"/>
      <c r="B144" s="46"/>
      <c r="C144" s="14"/>
      <c r="D144" s="21"/>
      <c r="E144" s="21"/>
      <c r="F144" s="21"/>
      <c r="G144" s="38"/>
      <c r="H144" s="17" t="str">
        <f t="shared" si="10"/>
        <v/>
      </c>
      <c r="I144" s="40"/>
    </row>
    <row r="145" spans="1:9" x14ac:dyDescent="0.25">
      <c r="A145" s="5"/>
      <c r="B145" s="46"/>
      <c r="C145" s="14"/>
      <c r="D145" s="21"/>
      <c r="E145" s="21"/>
      <c r="F145" s="21"/>
      <c r="G145" s="38"/>
      <c r="H145" s="17" t="str">
        <f t="shared" si="10"/>
        <v/>
      </c>
      <c r="I145" s="40"/>
    </row>
    <row r="146" spans="1:9" x14ac:dyDescent="0.25">
      <c r="A146" s="5"/>
      <c r="B146" s="46"/>
      <c r="C146" s="14"/>
      <c r="D146" s="21"/>
      <c r="E146" s="21"/>
      <c r="F146" s="21"/>
      <c r="G146" s="38"/>
      <c r="H146" s="17" t="str">
        <f t="shared" si="10"/>
        <v/>
      </c>
      <c r="I146" s="40"/>
    </row>
    <row r="147" spans="1:9" x14ac:dyDescent="0.25">
      <c r="A147" s="5"/>
      <c r="B147" s="46"/>
      <c r="C147" s="14"/>
      <c r="D147" s="21"/>
      <c r="E147" s="21"/>
      <c r="F147" s="21"/>
      <c r="G147" s="38"/>
      <c r="H147" s="17" t="str">
        <f t="shared" si="10"/>
        <v/>
      </c>
      <c r="I147" s="40"/>
    </row>
    <row r="148" spans="1:9" s="28" customFormat="1" ht="24.75" customHeight="1" x14ac:dyDescent="0.25">
      <c r="B148" s="144" t="str">
        <f>$B$14</f>
        <v>C13.8</v>
      </c>
      <c r="C148" s="498" t="str">
        <f>"TOTAL CARRIED FORWARD"&amp;IF(H148=H$1," TO SUMMARY (Page C"&amp;Page_A&amp;")","")</f>
        <v>TOTAL CARRIED FORWARD TO SUMMARY (Page C48)</v>
      </c>
      <c r="D148" s="31"/>
      <c r="E148" s="31"/>
      <c r="F148" s="32"/>
      <c r="G148" s="31"/>
      <c r="H148" s="33">
        <f>SUM(H82:H147)</f>
        <v>0</v>
      </c>
      <c r="I148" s="34"/>
    </row>
  </sheetData>
  <mergeCells count="11">
    <mergeCell ref="B77:G77"/>
    <mergeCell ref="H77:H80"/>
    <mergeCell ref="B78:G80"/>
    <mergeCell ref="F3:H3"/>
    <mergeCell ref="H6:H11"/>
    <mergeCell ref="B6:G6"/>
    <mergeCell ref="B74:D74"/>
    <mergeCell ref="F74:H76"/>
    <mergeCell ref="B75:D75"/>
    <mergeCell ref="B76:D76"/>
    <mergeCell ref="B7:G9"/>
  </mergeCells>
  <conditionalFormatting sqref="G13:H73 G82:H148">
    <cfRule type="expression" dxfId="62" priority="1">
      <formula>AND(_Show_Price=FALSE,$D13&lt;&gt;"PC Sum",$D13&lt;&gt;"P C Sum",$D13&lt;&gt;"Prov Sum",$D13&lt;&gt;"P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28">
    <tabColor rgb="FFFFFF00"/>
  </sheetPr>
  <dimension ref="A1:N198"/>
  <sheetViews>
    <sheetView view="pageBreakPreview" zoomScale="90" zoomScaleNormal="125" zoomScaleSheetLayoutView="90" zoomScalePageLayoutView="125" workbookViewId="0">
      <pane ySplit="2" topLeftCell="A14"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MAX(H2:H211)</f>
        <v>0</v>
      </c>
      <c r="I1" s="247">
        <f>MAX(I2:I211)</f>
        <v>0</v>
      </c>
      <c r="J1" s="248"/>
      <c r="K1" s="249"/>
      <c r="L1" s="247">
        <f>MAX(L2:L211)</f>
        <v>19024.800000000003</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C13.1</v>
      </c>
      <c r="I6" s="6"/>
    </row>
    <row r="7" spans="1:14" ht="36"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1.75" customHeight="1" x14ac:dyDescent="0.25">
      <c r="B8" s="1152" t="s">
        <v>1774</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42" si="0">IF(D11="","",F11*G11)</f>
        <v/>
      </c>
      <c r="I11" s="18"/>
      <c r="J11" s="61"/>
      <c r="K11" s="399"/>
      <c r="L11" s="420" t="str">
        <f t="shared" ref="L11" si="1">IF(J11="","",F11*K11)</f>
        <v/>
      </c>
      <c r="M11" s="401" t="str">
        <f t="shared" ref="M11" si="2">IF(J11="","",IF(SUM(H11)=0,"",L11/H11))</f>
        <v/>
      </c>
    </row>
    <row r="12" spans="1:14" ht="13" x14ac:dyDescent="0.25">
      <c r="B12" s="146" t="s">
        <v>277</v>
      </c>
      <c r="C12" s="672" t="s">
        <v>278</v>
      </c>
      <c r="D12" s="15"/>
      <c r="E12" s="15"/>
      <c r="F12" s="15"/>
      <c r="G12" s="411"/>
      <c r="H12" s="17" t="str">
        <f t="shared" si="0"/>
        <v/>
      </c>
      <c r="I12" s="18"/>
      <c r="J12" s="61"/>
      <c r="K12" s="399"/>
      <c r="L12" s="420" t="str">
        <f t="shared" ref="L12:L63" si="3">IF(J12="","",F12*K12)</f>
        <v/>
      </c>
      <c r="M12" s="401" t="str">
        <f t="shared" ref="M12:M63" si="4">IF(J12="","",IF(SUM(H12)=0,"",L12/H12))</f>
        <v/>
      </c>
    </row>
    <row r="13" spans="1:14" x14ac:dyDescent="0.25">
      <c r="B13" s="58"/>
      <c r="C13" s="65"/>
      <c r="D13" s="15"/>
      <c r="E13" s="15"/>
      <c r="F13" s="15"/>
      <c r="G13" s="411"/>
      <c r="H13" s="17" t="str">
        <f t="shared" si="0"/>
        <v/>
      </c>
      <c r="I13" s="18"/>
      <c r="J13" s="61"/>
      <c r="K13" s="399"/>
      <c r="L13" s="420" t="str">
        <f t="shared" si="3"/>
        <v/>
      </c>
      <c r="M13" s="401" t="str">
        <f t="shared" si="4"/>
        <v/>
      </c>
    </row>
    <row r="14" spans="1:14" ht="13" x14ac:dyDescent="0.25">
      <c r="B14" s="146" t="s">
        <v>286</v>
      </c>
      <c r="C14" s="672" t="s">
        <v>279</v>
      </c>
      <c r="D14" s="15"/>
      <c r="E14" s="15"/>
      <c r="F14" s="24"/>
      <c r="G14" s="411"/>
      <c r="H14" s="17" t="str">
        <f t="shared" si="0"/>
        <v/>
      </c>
      <c r="I14" s="63"/>
      <c r="J14" s="61"/>
      <c r="K14" s="402"/>
      <c r="L14" s="420" t="str">
        <f t="shared" si="3"/>
        <v/>
      </c>
      <c r="M14" s="401" t="str">
        <f t="shared" si="4"/>
        <v/>
      </c>
    </row>
    <row r="15" spans="1:14" x14ac:dyDescent="0.25">
      <c r="B15" s="58"/>
      <c r="C15" s="784"/>
      <c r="D15" s="15"/>
      <c r="E15" s="15"/>
      <c r="F15" s="24"/>
      <c r="G15" s="411"/>
      <c r="H15" s="17" t="str">
        <f t="shared" si="0"/>
        <v/>
      </c>
      <c r="I15" s="63"/>
      <c r="J15" s="61"/>
      <c r="K15" s="402"/>
      <c r="L15" s="420" t="str">
        <f t="shared" si="3"/>
        <v/>
      </c>
      <c r="M15" s="401" t="str">
        <f t="shared" si="4"/>
        <v/>
      </c>
    </row>
    <row r="16" spans="1:14" ht="25" x14ac:dyDescent="0.25">
      <c r="B16" s="58" t="s">
        <v>287</v>
      </c>
      <c r="C16" s="65" t="s">
        <v>280</v>
      </c>
      <c r="D16" s="15"/>
      <c r="E16" s="15"/>
      <c r="F16" s="24"/>
      <c r="G16" s="411"/>
      <c r="H16" s="17" t="str">
        <f t="shared" si="0"/>
        <v/>
      </c>
      <c r="I16" s="63"/>
      <c r="J16" s="61"/>
      <c r="K16" s="402"/>
      <c r="L16" s="420" t="str">
        <f t="shared" si="3"/>
        <v/>
      </c>
      <c r="M16" s="401" t="str">
        <f t="shared" si="4"/>
        <v/>
      </c>
    </row>
    <row r="17" spans="2:13" x14ac:dyDescent="0.25">
      <c r="B17" s="58"/>
      <c r="C17" s="65"/>
      <c r="D17" s="15"/>
      <c r="E17" s="15"/>
      <c r="F17" s="24"/>
      <c r="G17" s="411"/>
      <c r="H17" s="17" t="str">
        <f t="shared" si="0"/>
        <v/>
      </c>
      <c r="I17" s="63"/>
      <c r="J17" s="61"/>
      <c r="K17" s="402"/>
      <c r="L17" s="420" t="str">
        <f t="shared" si="3"/>
        <v/>
      </c>
      <c r="M17" s="401" t="str">
        <f t="shared" si="4"/>
        <v/>
      </c>
    </row>
    <row r="18" spans="2:13" ht="14.5" x14ac:dyDescent="0.25">
      <c r="B18" s="58" t="s">
        <v>39</v>
      </c>
      <c r="C18" s="65" t="s">
        <v>281</v>
      </c>
      <c r="D18" s="15" t="s">
        <v>23</v>
      </c>
      <c r="E18" s="15"/>
      <c r="F18" s="24">
        <v>450</v>
      </c>
      <c r="G18" s="411"/>
      <c r="H18" s="17">
        <f t="shared" si="0"/>
        <v>0</v>
      </c>
      <c r="I18" s="18"/>
      <c r="J18" s="61" t="s">
        <v>1721</v>
      </c>
      <c r="K18" s="399">
        <f>IF(D18="","",ROUND(Labour_perc_structures*G18,1))</f>
        <v>0</v>
      </c>
      <c r="L18" s="420">
        <f t="shared" ref="L18:L23" si="5">IF(J18="","",F18*K18)</f>
        <v>0</v>
      </c>
      <c r="M18" s="401" t="str">
        <f t="shared" ref="M18:M23" si="6">IF(J18="","",IF(SUM(H18)=0,"",L18/H18))</f>
        <v/>
      </c>
    </row>
    <row r="19" spans="2:13" x14ac:dyDescent="0.25">
      <c r="B19" s="58"/>
      <c r="C19" s="65"/>
      <c r="D19" s="15"/>
      <c r="E19" s="15"/>
      <c r="F19" s="24"/>
      <c r="G19" s="411"/>
      <c r="H19" s="17" t="str">
        <f t="shared" si="0"/>
        <v/>
      </c>
      <c r="I19" s="18"/>
      <c r="J19" s="61"/>
      <c r="K19" s="402"/>
      <c r="L19" s="420" t="str">
        <f t="shared" si="5"/>
        <v/>
      </c>
      <c r="M19" s="401" t="str">
        <f t="shared" si="6"/>
        <v/>
      </c>
    </row>
    <row r="20" spans="2:13" ht="14.5" x14ac:dyDescent="0.25">
      <c r="B20" s="58" t="s">
        <v>41</v>
      </c>
      <c r="C20" s="65" t="s">
        <v>282</v>
      </c>
      <c r="D20" s="15" t="s">
        <v>23</v>
      </c>
      <c r="E20" s="15"/>
      <c r="F20" s="24">
        <v>270</v>
      </c>
      <c r="G20" s="411"/>
      <c r="H20" s="17">
        <f t="shared" si="0"/>
        <v>0</v>
      </c>
      <c r="I20" s="18"/>
      <c r="J20" s="61" t="s">
        <v>1721</v>
      </c>
      <c r="K20" s="399">
        <f>IF(D20="","",ROUND(Labour_perc_structures*G20,1))</f>
        <v>0</v>
      </c>
      <c r="L20" s="420">
        <f t="shared" si="5"/>
        <v>0</v>
      </c>
      <c r="M20" s="401" t="str">
        <f t="shared" si="6"/>
        <v/>
      </c>
    </row>
    <row r="21" spans="2:13" x14ac:dyDescent="0.25">
      <c r="B21" s="58"/>
      <c r="C21" s="65"/>
      <c r="D21" s="15"/>
      <c r="E21" s="15"/>
      <c r="F21" s="24"/>
      <c r="G21" s="411"/>
      <c r="H21" s="17" t="str">
        <f t="shared" si="0"/>
        <v/>
      </c>
      <c r="I21" s="18"/>
      <c r="J21" s="61"/>
      <c r="K21" s="402"/>
      <c r="L21" s="420" t="str">
        <f t="shared" si="5"/>
        <v/>
      </c>
      <c r="M21" s="401" t="str">
        <f t="shared" si="6"/>
        <v/>
      </c>
    </row>
    <row r="22" spans="2:13" ht="14.5" x14ac:dyDescent="0.25">
      <c r="B22" s="58" t="s">
        <v>52</v>
      </c>
      <c r="C22" s="65" t="s">
        <v>1961</v>
      </c>
      <c r="D22" s="15" t="s">
        <v>23</v>
      </c>
      <c r="E22" s="15"/>
      <c r="F22" s="24">
        <v>100</v>
      </c>
      <c r="G22" s="411"/>
      <c r="H22" s="17">
        <f t="shared" si="0"/>
        <v>0</v>
      </c>
      <c r="I22" s="18"/>
      <c r="J22" s="61" t="s">
        <v>1721</v>
      </c>
      <c r="K22" s="399">
        <f>IF(D22="","",ROUND(Labour_perc_structures*G22,1))</f>
        <v>0</v>
      </c>
      <c r="L22" s="420">
        <f t="shared" si="5"/>
        <v>0</v>
      </c>
      <c r="M22" s="401" t="str">
        <f t="shared" si="6"/>
        <v/>
      </c>
    </row>
    <row r="23" spans="2:13" x14ac:dyDescent="0.25">
      <c r="B23" s="58"/>
      <c r="C23" s="65"/>
      <c r="D23" s="15"/>
      <c r="E23" s="15"/>
      <c r="F23" s="24"/>
      <c r="G23" s="411"/>
      <c r="H23" s="17" t="str">
        <f t="shared" si="0"/>
        <v/>
      </c>
      <c r="I23" s="18"/>
      <c r="J23" s="61"/>
      <c r="K23" s="402"/>
      <c r="L23" s="420" t="str">
        <f t="shared" si="5"/>
        <v/>
      </c>
      <c r="M23" s="401" t="str">
        <f t="shared" si="6"/>
        <v/>
      </c>
    </row>
    <row r="24" spans="2:13" ht="25" x14ac:dyDescent="0.25">
      <c r="B24" s="58" t="s">
        <v>288</v>
      </c>
      <c r="C24" s="65" t="s">
        <v>283</v>
      </c>
      <c r="D24" s="15" t="s">
        <v>23</v>
      </c>
      <c r="E24" s="15"/>
      <c r="F24" s="24">
        <v>99</v>
      </c>
      <c r="G24" s="411"/>
      <c r="H24" s="17">
        <f t="shared" si="0"/>
        <v>0</v>
      </c>
      <c r="I24" s="57"/>
      <c r="J24" s="61" t="s">
        <v>1721</v>
      </c>
      <c r="K24" s="399">
        <f>IF(D24="","",ROUND(Labour_perc_structures*G24,1))</f>
        <v>0</v>
      </c>
      <c r="L24" s="420">
        <f t="shared" si="3"/>
        <v>0</v>
      </c>
      <c r="M24" s="401" t="str">
        <f t="shared" si="4"/>
        <v/>
      </c>
    </row>
    <row r="25" spans="2:13" x14ac:dyDescent="0.25">
      <c r="B25" s="58"/>
      <c r="C25" s="65"/>
      <c r="D25" s="15"/>
      <c r="E25" s="15"/>
      <c r="F25" s="24"/>
      <c r="G25" s="411"/>
      <c r="H25" s="17" t="str">
        <f t="shared" si="0"/>
        <v/>
      </c>
      <c r="I25" s="18"/>
      <c r="J25" s="61"/>
      <c r="K25" s="399" t="str">
        <f t="shared" ref="K25" si="7">IF(D25="","",ROUND(Labour_perc_structures*H25,1))</f>
        <v/>
      </c>
      <c r="L25" s="420" t="str">
        <f t="shared" si="3"/>
        <v/>
      </c>
      <c r="M25" s="401" t="str">
        <f t="shared" si="4"/>
        <v/>
      </c>
    </row>
    <row r="26" spans="2:13" ht="25" x14ac:dyDescent="0.25">
      <c r="B26" s="58" t="s">
        <v>289</v>
      </c>
      <c r="C26" s="65" t="s">
        <v>284</v>
      </c>
      <c r="D26" s="15" t="s">
        <v>23</v>
      </c>
      <c r="E26" s="15"/>
      <c r="F26" s="24">
        <v>35</v>
      </c>
      <c r="G26" s="411"/>
      <c r="H26" s="17">
        <f t="shared" si="0"/>
        <v>0</v>
      </c>
      <c r="I26" s="18"/>
      <c r="J26" s="61" t="s">
        <v>1721</v>
      </c>
      <c r="K26" s="399">
        <f>IF(D26="","",ROUND(Labour_perc_structures*G26,1))</f>
        <v>0</v>
      </c>
      <c r="L26" s="420">
        <f t="shared" si="3"/>
        <v>0</v>
      </c>
      <c r="M26" s="401" t="str">
        <f t="shared" si="4"/>
        <v/>
      </c>
    </row>
    <row r="27" spans="2:13" x14ac:dyDescent="0.25">
      <c r="B27" s="58"/>
      <c r="C27" s="65"/>
      <c r="D27" s="15"/>
      <c r="E27" s="15"/>
      <c r="F27" s="24"/>
      <c r="G27" s="411"/>
      <c r="H27" s="17" t="str">
        <f t="shared" si="0"/>
        <v/>
      </c>
      <c r="I27" s="18"/>
      <c r="J27" s="61"/>
      <c r="K27" s="577" t="str">
        <f>IF(D27="","",ROUND(90%*H27,1))</f>
        <v/>
      </c>
      <c r="L27" s="420" t="str">
        <f t="shared" si="3"/>
        <v/>
      </c>
      <c r="M27" s="401" t="str">
        <f t="shared" si="4"/>
        <v/>
      </c>
    </row>
    <row r="28" spans="2:13" ht="14.5" x14ac:dyDescent="0.25">
      <c r="B28" s="58" t="s">
        <v>290</v>
      </c>
      <c r="C28" s="65" t="s">
        <v>285</v>
      </c>
      <c r="D28" s="15" t="s">
        <v>23</v>
      </c>
      <c r="E28" s="15" t="s">
        <v>996</v>
      </c>
      <c r="F28" s="24">
        <v>20</v>
      </c>
      <c r="G28" s="411"/>
      <c r="H28" s="17">
        <f t="shared" si="0"/>
        <v>0</v>
      </c>
      <c r="I28" s="18"/>
      <c r="J28" s="61" t="s">
        <v>1721</v>
      </c>
      <c r="K28" s="399">
        <f>G28*90/100</f>
        <v>0</v>
      </c>
      <c r="L28" s="420">
        <f t="shared" si="3"/>
        <v>0</v>
      </c>
      <c r="M28" s="401" t="str">
        <f t="shared" si="4"/>
        <v/>
      </c>
    </row>
    <row r="29" spans="2:13" x14ac:dyDescent="0.25">
      <c r="B29" s="58"/>
      <c r="C29" s="65"/>
      <c r="D29" s="15"/>
      <c r="E29" s="15"/>
      <c r="F29" s="647"/>
      <c r="G29" s="411"/>
      <c r="H29" s="17" t="str">
        <f t="shared" si="0"/>
        <v/>
      </c>
      <c r="I29" s="63"/>
      <c r="J29" s="61"/>
      <c r="K29" s="399"/>
      <c r="L29" s="420" t="str">
        <f t="shared" si="3"/>
        <v/>
      </c>
      <c r="M29" s="401" t="str">
        <f t="shared" si="4"/>
        <v/>
      </c>
    </row>
    <row r="30" spans="2:13" ht="13" x14ac:dyDescent="0.25">
      <c r="B30" s="146" t="s">
        <v>292</v>
      </c>
      <c r="C30" s="672" t="s">
        <v>291</v>
      </c>
      <c r="D30" s="15"/>
      <c r="E30" s="15"/>
      <c r="F30" s="15"/>
      <c r="G30" s="411"/>
      <c r="H30" s="17" t="str">
        <f t="shared" si="0"/>
        <v/>
      </c>
      <c r="I30" s="18"/>
      <c r="J30" s="62"/>
      <c r="K30" s="62"/>
      <c r="L30" s="420" t="str">
        <f t="shared" si="3"/>
        <v/>
      </c>
      <c r="M30" s="401" t="str">
        <f t="shared" si="4"/>
        <v/>
      </c>
    </row>
    <row r="31" spans="2:13" x14ac:dyDescent="0.25">
      <c r="B31" s="58"/>
      <c r="C31" s="65"/>
      <c r="D31" s="15"/>
      <c r="E31" s="15"/>
      <c r="F31" s="15"/>
      <c r="G31" s="411"/>
      <c r="H31" s="17" t="str">
        <f t="shared" si="0"/>
        <v/>
      </c>
      <c r="I31" s="18"/>
      <c r="J31" s="62"/>
      <c r="K31" s="62"/>
      <c r="L31" s="420" t="str">
        <f t="shared" si="3"/>
        <v/>
      </c>
      <c r="M31" s="401" t="str">
        <f t="shared" si="4"/>
        <v/>
      </c>
    </row>
    <row r="32" spans="2:13" s="36" customFormat="1" x14ac:dyDescent="0.25">
      <c r="B32" s="58" t="s">
        <v>293</v>
      </c>
      <c r="C32" s="65" t="s">
        <v>295</v>
      </c>
      <c r="D32" s="15" t="s">
        <v>11</v>
      </c>
      <c r="E32" s="15"/>
      <c r="F32" s="15">
        <v>1</v>
      </c>
      <c r="G32" s="411"/>
      <c r="H32" s="17">
        <f t="shared" si="0"/>
        <v>0</v>
      </c>
      <c r="I32" s="18"/>
      <c r="J32" s="62" t="s">
        <v>1721</v>
      </c>
      <c r="K32" s="399">
        <f>IF(D32="","",ROUND(Labour_perc_structures*G32,4))</f>
        <v>0</v>
      </c>
      <c r="L32" s="420">
        <f t="shared" si="3"/>
        <v>0</v>
      </c>
      <c r="M32" s="401" t="str">
        <f t="shared" si="4"/>
        <v/>
      </c>
    </row>
    <row r="33" spans="2:13" s="36" customFormat="1" x14ac:dyDescent="0.25">
      <c r="B33" s="58"/>
      <c r="C33" s="65"/>
      <c r="D33" s="15"/>
      <c r="E33" s="15"/>
      <c r="F33" s="647"/>
      <c r="G33" s="411"/>
      <c r="H33" s="17" t="str">
        <f t="shared" si="0"/>
        <v/>
      </c>
      <c r="I33" s="18"/>
      <c r="J33" s="61"/>
      <c r="K33" s="399"/>
      <c r="L33" s="420" t="str">
        <f t="shared" si="3"/>
        <v/>
      </c>
      <c r="M33" s="401" t="str">
        <f t="shared" si="4"/>
        <v/>
      </c>
    </row>
    <row r="34" spans="2:13" s="36" customFormat="1" x14ac:dyDescent="0.25">
      <c r="B34" s="58" t="s">
        <v>294</v>
      </c>
      <c r="C34" s="65" t="s">
        <v>296</v>
      </c>
      <c r="D34" s="15" t="s">
        <v>11</v>
      </c>
      <c r="E34" s="15"/>
      <c r="F34" s="15">
        <v>1</v>
      </c>
      <c r="G34" s="411"/>
      <c r="H34" s="17">
        <f t="shared" si="0"/>
        <v>0</v>
      </c>
      <c r="I34" s="18"/>
      <c r="J34" s="62" t="s">
        <v>1721</v>
      </c>
      <c r="K34" s="399">
        <f>IF(D34="","",ROUND(Labour_perc_structures*G34,4))</f>
        <v>0</v>
      </c>
      <c r="L34" s="420">
        <f t="shared" si="3"/>
        <v>0</v>
      </c>
      <c r="M34" s="401" t="str">
        <f t="shared" si="4"/>
        <v/>
      </c>
    </row>
    <row r="35" spans="2:13" s="36" customFormat="1" x14ac:dyDescent="0.25">
      <c r="B35" s="58"/>
      <c r="C35" s="65"/>
      <c r="D35" s="15"/>
      <c r="E35" s="15"/>
      <c r="F35" s="647"/>
      <c r="G35" s="411"/>
      <c r="H35" s="17" t="str">
        <f t="shared" si="0"/>
        <v/>
      </c>
      <c r="I35" s="18"/>
      <c r="J35" s="61"/>
      <c r="K35" s="399"/>
      <c r="L35" s="420" t="str">
        <f t="shared" ref="L35" si="8">IF(J35="","",F35*K35)</f>
        <v/>
      </c>
      <c r="M35" s="401" t="str">
        <f t="shared" ref="M35" si="9">IF(J35="","",IF(SUM(H35)=0,"",L35/H35))</f>
        <v/>
      </c>
    </row>
    <row r="36" spans="2:13" s="36" customFormat="1" ht="13" x14ac:dyDescent="0.25">
      <c r="B36" s="146" t="s">
        <v>299</v>
      </c>
      <c r="C36" s="672" t="s">
        <v>297</v>
      </c>
      <c r="D36" s="61"/>
      <c r="E36" s="61"/>
      <c r="F36" s="61"/>
      <c r="G36" s="411"/>
      <c r="H36" s="17" t="str">
        <f t="shared" si="0"/>
        <v/>
      </c>
      <c r="I36" s="63"/>
      <c r="J36" s="62"/>
      <c r="K36" s="62"/>
      <c r="L36" s="420" t="str">
        <f t="shared" si="3"/>
        <v/>
      </c>
      <c r="M36" s="401" t="str">
        <f t="shared" si="4"/>
        <v/>
      </c>
    </row>
    <row r="37" spans="2:13" s="36" customFormat="1" x14ac:dyDescent="0.25">
      <c r="B37" s="58"/>
      <c r="C37" s="65"/>
      <c r="D37" s="15"/>
      <c r="E37" s="15"/>
      <c r="F37" s="15"/>
      <c r="G37" s="411"/>
      <c r="H37" s="17" t="str">
        <f t="shared" si="0"/>
        <v/>
      </c>
      <c r="I37" s="18"/>
      <c r="J37" s="62"/>
      <c r="K37" s="62"/>
      <c r="L37" s="420" t="str">
        <f t="shared" si="3"/>
        <v/>
      </c>
      <c r="M37" s="401" t="str">
        <f t="shared" si="4"/>
        <v/>
      </c>
    </row>
    <row r="38" spans="2:13" ht="14.5" x14ac:dyDescent="0.25">
      <c r="B38" s="58" t="s">
        <v>300</v>
      </c>
      <c r="C38" s="65" t="s">
        <v>298</v>
      </c>
      <c r="D38" s="15" t="s">
        <v>23</v>
      </c>
      <c r="E38" s="15"/>
      <c r="F38" s="15">
        <v>98</v>
      </c>
      <c r="G38" s="411"/>
      <c r="H38" s="17">
        <f t="shared" si="0"/>
        <v>0</v>
      </c>
      <c r="I38" s="18"/>
      <c r="J38" s="62" t="s">
        <v>1721</v>
      </c>
      <c r="K38" s="399">
        <f>IF(D38="","",ROUND(Labour_perc_structures*G38,1))</f>
        <v>0</v>
      </c>
      <c r="L38" s="420">
        <f t="shared" si="3"/>
        <v>0</v>
      </c>
      <c r="M38" s="401" t="str">
        <f t="shared" si="4"/>
        <v/>
      </c>
    </row>
    <row r="39" spans="2:13" x14ac:dyDescent="0.25">
      <c r="B39" s="58"/>
      <c r="C39" s="65"/>
      <c r="D39" s="15"/>
      <c r="E39" s="15"/>
      <c r="F39" s="15"/>
      <c r="G39" s="411"/>
      <c r="H39" s="17" t="str">
        <f t="shared" si="0"/>
        <v/>
      </c>
      <c r="I39" s="18"/>
      <c r="J39" s="62"/>
      <c r="K39" s="399" t="str">
        <f t="shared" ref="K39" si="10">IF(D39="","",ROUND(Labour_perc_structures*H39,1))</f>
        <v/>
      </c>
      <c r="L39" s="420" t="str">
        <f t="shared" si="3"/>
        <v/>
      </c>
      <c r="M39" s="401" t="str">
        <f t="shared" si="4"/>
        <v/>
      </c>
    </row>
    <row r="40" spans="2:13" ht="25" x14ac:dyDescent="0.25">
      <c r="B40" s="58" t="s">
        <v>301</v>
      </c>
      <c r="C40" s="65" t="s">
        <v>2145</v>
      </c>
      <c r="D40" s="15" t="s">
        <v>23</v>
      </c>
      <c r="E40" s="15"/>
      <c r="F40" s="15">
        <v>295</v>
      </c>
      <c r="G40" s="411"/>
      <c r="H40" s="17">
        <f t="shared" si="0"/>
        <v>0</v>
      </c>
      <c r="I40" s="18"/>
      <c r="J40" s="62" t="s">
        <v>1721</v>
      </c>
      <c r="K40" s="399">
        <f>IF(D40="","",ROUND(Labour_perc_structures*G40,1))</f>
        <v>0</v>
      </c>
      <c r="L40" s="420">
        <f t="shared" si="3"/>
        <v>0</v>
      </c>
      <c r="M40" s="401" t="str">
        <f t="shared" si="4"/>
        <v/>
      </c>
    </row>
    <row r="41" spans="2:13" x14ac:dyDescent="0.25">
      <c r="B41" s="58"/>
      <c r="C41" s="65"/>
      <c r="D41" s="15"/>
      <c r="E41" s="15"/>
      <c r="F41" s="24"/>
      <c r="G41" s="411"/>
      <c r="H41" s="17" t="str">
        <f t="shared" si="0"/>
        <v/>
      </c>
      <c r="I41" s="18"/>
      <c r="J41" s="61"/>
      <c r="K41" s="577"/>
      <c r="L41" s="420" t="str">
        <f t="shared" si="3"/>
        <v/>
      </c>
      <c r="M41" s="401" t="str">
        <f t="shared" si="4"/>
        <v/>
      </c>
    </row>
    <row r="42" spans="2:13" ht="14.5" x14ac:dyDescent="0.25">
      <c r="B42" s="146" t="s">
        <v>1886</v>
      </c>
      <c r="C42" s="672" t="s">
        <v>302</v>
      </c>
      <c r="D42" s="15" t="s">
        <v>23</v>
      </c>
      <c r="E42" s="15"/>
      <c r="F42" s="15">
        <v>20</v>
      </c>
      <c r="G42" s="411"/>
      <c r="H42" s="17">
        <f t="shared" si="0"/>
        <v>0</v>
      </c>
      <c r="I42" s="18"/>
      <c r="J42" s="61" t="s">
        <v>1721</v>
      </c>
      <c r="K42" s="399">
        <f>IF(D42="","",ROUND(Labour_perc_structures*G42,1))</f>
        <v>0</v>
      </c>
      <c r="L42" s="420">
        <f t="shared" si="3"/>
        <v>0</v>
      </c>
      <c r="M42" s="401" t="str">
        <f t="shared" si="4"/>
        <v/>
      </c>
    </row>
    <row r="43" spans="2:13" x14ac:dyDescent="0.25">
      <c r="B43" s="58"/>
      <c r="C43" s="65"/>
      <c r="D43" s="15"/>
      <c r="E43" s="15"/>
      <c r="F43" s="15"/>
      <c r="G43" s="411"/>
      <c r="H43" s="17" t="str">
        <f t="shared" ref="H43:H63" si="11">IF(D43="","",F43*G43)</f>
        <v/>
      </c>
      <c r="I43" s="18"/>
      <c r="J43" s="61"/>
      <c r="K43" s="402"/>
      <c r="L43" s="420" t="str">
        <f t="shared" si="3"/>
        <v/>
      </c>
      <c r="M43" s="401" t="str">
        <f t="shared" si="4"/>
        <v/>
      </c>
    </row>
    <row r="44" spans="2:13" ht="39" x14ac:dyDescent="0.25">
      <c r="B44" s="146" t="s">
        <v>304</v>
      </c>
      <c r="C44" s="672" t="s">
        <v>303</v>
      </c>
      <c r="D44" s="15" t="s">
        <v>510</v>
      </c>
      <c r="E44" s="15"/>
      <c r="F44" s="15">
        <v>2500</v>
      </c>
      <c r="G44" s="411"/>
      <c r="H44" s="17">
        <f t="shared" si="11"/>
        <v>0</v>
      </c>
      <c r="I44" s="18"/>
      <c r="J44" s="61" t="s">
        <v>1721</v>
      </c>
      <c r="K44" s="399">
        <f>IF(D44="","",ROUND(Labour_perc_structures*G44,1))</f>
        <v>0</v>
      </c>
      <c r="L44" s="420">
        <f t="shared" si="3"/>
        <v>0</v>
      </c>
      <c r="M44" s="401" t="str">
        <f t="shared" si="4"/>
        <v/>
      </c>
    </row>
    <row r="45" spans="2:13" x14ac:dyDescent="0.25">
      <c r="B45" s="58"/>
      <c r="C45" s="65"/>
      <c r="D45" s="15"/>
      <c r="E45" s="15"/>
      <c r="F45" s="15"/>
      <c r="G45" s="411"/>
      <c r="H45" s="17" t="str">
        <f t="shared" si="11"/>
        <v/>
      </c>
      <c r="I45" s="18"/>
      <c r="J45" s="61"/>
      <c r="K45" s="399"/>
      <c r="L45" s="420" t="str">
        <f t="shared" si="3"/>
        <v/>
      </c>
      <c r="M45" s="401" t="str">
        <f t="shared" si="4"/>
        <v/>
      </c>
    </row>
    <row r="46" spans="2:13" ht="13" x14ac:dyDescent="0.25">
      <c r="B46" s="146" t="s">
        <v>1887</v>
      </c>
      <c r="C46" s="672" t="s">
        <v>309</v>
      </c>
      <c r="D46" s="15"/>
      <c r="E46" s="15"/>
      <c r="F46" s="15"/>
      <c r="G46" s="411"/>
      <c r="H46" s="17" t="str">
        <f t="shared" si="11"/>
        <v/>
      </c>
      <c r="I46" s="18"/>
      <c r="J46" s="61"/>
      <c r="K46" s="399"/>
      <c r="L46" s="420" t="str">
        <f t="shared" si="3"/>
        <v/>
      </c>
      <c r="M46" s="401" t="str">
        <f t="shared" si="4"/>
        <v/>
      </c>
    </row>
    <row r="47" spans="2:13" x14ac:dyDescent="0.25">
      <c r="B47" s="58"/>
      <c r="C47" s="65"/>
      <c r="D47" s="15"/>
      <c r="E47" s="15"/>
      <c r="F47" s="15"/>
      <c r="G47" s="411"/>
      <c r="H47" s="17" t="str">
        <f t="shared" si="11"/>
        <v/>
      </c>
      <c r="I47" s="18"/>
      <c r="J47" s="61"/>
      <c r="K47" s="399"/>
      <c r="L47" s="420" t="str">
        <f t="shared" si="3"/>
        <v/>
      </c>
      <c r="M47" s="401" t="str">
        <f t="shared" si="4"/>
        <v/>
      </c>
    </row>
    <row r="48" spans="2:13" ht="14.5" x14ac:dyDescent="0.25">
      <c r="B48" s="58" t="s">
        <v>305</v>
      </c>
      <c r="C48" s="65" t="s">
        <v>227</v>
      </c>
      <c r="D48" s="15" t="s">
        <v>23</v>
      </c>
      <c r="E48" s="15"/>
      <c r="F48" s="15">
        <v>80</v>
      </c>
      <c r="G48" s="411"/>
      <c r="H48" s="17">
        <f t="shared" si="11"/>
        <v>0</v>
      </c>
      <c r="I48" s="18"/>
      <c r="J48" s="61" t="s">
        <v>1721</v>
      </c>
      <c r="K48" s="399">
        <f>IF(D48="","",ROUND(Labour_perc_structures*G48,1))</f>
        <v>0</v>
      </c>
      <c r="L48" s="420">
        <f t="shared" si="3"/>
        <v>0</v>
      </c>
      <c r="M48" s="401" t="str">
        <f t="shared" si="4"/>
        <v/>
      </c>
    </row>
    <row r="49" spans="2:13" x14ac:dyDescent="0.25">
      <c r="B49" s="58"/>
      <c r="C49" s="65"/>
      <c r="D49" s="15"/>
      <c r="E49" s="15"/>
      <c r="F49" s="15"/>
      <c r="G49" s="411"/>
      <c r="H49" s="17" t="str">
        <f t="shared" si="11"/>
        <v/>
      </c>
      <c r="I49" s="18"/>
      <c r="J49" s="61"/>
      <c r="K49" s="399"/>
      <c r="L49" s="420" t="str">
        <f t="shared" si="3"/>
        <v/>
      </c>
      <c r="M49" s="401" t="str">
        <f t="shared" si="4"/>
        <v/>
      </c>
    </row>
    <row r="50" spans="2:13" ht="37.5" x14ac:dyDescent="0.25">
      <c r="B50" s="58" t="s">
        <v>306</v>
      </c>
      <c r="C50" s="65" t="s">
        <v>2146</v>
      </c>
      <c r="D50" s="15" t="s">
        <v>23</v>
      </c>
      <c r="E50" s="15"/>
      <c r="F50" s="15">
        <v>80</v>
      </c>
      <c r="G50" s="411"/>
      <c r="H50" s="17">
        <f t="shared" si="11"/>
        <v>0</v>
      </c>
      <c r="I50" s="18"/>
      <c r="J50" s="61" t="s">
        <v>1721</v>
      </c>
      <c r="K50" s="399">
        <f>IF(D50="","",ROUND(Labour_perc_structures*G50,1))</f>
        <v>0</v>
      </c>
      <c r="L50" s="420">
        <f t="shared" si="3"/>
        <v>0</v>
      </c>
      <c r="M50" s="401" t="str">
        <f t="shared" si="4"/>
        <v/>
      </c>
    </row>
    <row r="51" spans="2:13" x14ac:dyDescent="0.25">
      <c r="B51" s="58"/>
      <c r="C51" s="65"/>
      <c r="D51" s="15"/>
      <c r="E51" s="15"/>
      <c r="F51" s="15"/>
      <c r="G51" s="411"/>
      <c r="H51" s="17" t="str">
        <f t="shared" si="11"/>
        <v/>
      </c>
      <c r="I51" s="18"/>
      <c r="J51" s="61"/>
      <c r="K51" s="399"/>
      <c r="L51" s="420" t="str">
        <f t="shared" si="3"/>
        <v/>
      </c>
      <c r="M51" s="401" t="str">
        <f t="shared" si="4"/>
        <v/>
      </c>
    </row>
    <row r="52" spans="2:13" ht="25" x14ac:dyDescent="0.25">
      <c r="B52" s="58" t="s">
        <v>307</v>
      </c>
      <c r="C52" s="65" t="s">
        <v>2147</v>
      </c>
      <c r="D52" s="15" t="s">
        <v>23</v>
      </c>
      <c r="E52" s="15"/>
      <c r="F52" s="15">
        <v>32</v>
      </c>
      <c r="G52" s="411"/>
      <c r="H52" s="17">
        <f t="shared" si="11"/>
        <v>0</v>
      </c>
      <c r="I52" s="18"/>
      <c r="J52" s="61" t="s">
        <v>1721</v>
      </c>
      <c r="K52" s="577">
        <f>ROUND(_Mix+_Haul+_Place,1)*0.5</f>
        <v>396.35</v>
      </c>
      <c r="L52" s="420">
        <f t="shared" si="3"/>
        <v>12683.2</v>
      </c>
      <c r="M52" s="401" t="str">
        <f t="shared" si="4"/>
        <v/>
      </c>
    </row>
    <row r="53" spans="2:13" x14ac:dyDescent="0.25">
      <c r="B53" s="58"/>
      <c r="C53" s="65"/>
      <c r="D53" s="15"/>
      <c r="E53" s="15"/>
      <c r="F53" s="15"/>
      <c r="G53" s="411"/>
      <c r="H53" s="17" t="str">
        <f t="shared" si="11"/>
        <v/>
      </c>
      <c r="I53" s="18"/>
      <c r="J53" s="61"/>
      <c r="K53" s="399"/>
      <c r="L53" s="420" t="str">
        <f t="shared" si="3"/>
        <v/>
      </c>
      <c r="M53" s="401" t="str">
        <f t="shared" si="4"/>
        <v/>
      </c>
    </row>
    <row r="54" spans="2:13" ht="25" x14ac:dyDescent="0.25">
      <c r="B54" s="58" t="s">
        <v>308</v>
      </c>
      <c r="C54" s="65" t="s">
        <v>2148</v>
      </c>
      <c r="D54" s="15" t="s">
        <v>23</v>
      </c>
      <c r="E54" s="15"/>
      <c r="F54" s="15">
        <v>16</v>
      </c>
      <c r="G54" s="411"/>
      <c r="H54" s="17">
        <f t="shared" si="11"/>
        <v>0</v>
      </c>
      <c r="I54" s="18"/>
      <c r="J54" s="61" t="s">
        <v>1721</v>
      </c>
      <c r="K54" s="577">
        <f>ROUND(_Mix+_Haul+_Place,1)*0.5</f>
        <v>396.35</v>
      </c>
      <c r="L54" s="420">
        <f t="shared" si="3"/>
        <v>6341.6</v>
      </c>
      <c r="M54" s="401" t="str">
        <f t="shared" si="4"/>
        <v/>
      </c>
    </row>
    <row r="55" spans="2:13" x14ac:dyDescent="0.25">
      <c r="B55" s="58"/>
      <c r="C55" s="65"/>
      <c r="D55" s="15"/>
      <c r="E55" s="15"/>
      <c r="F55" s="15"/>
      <c r="G55" s="411"/>
      <c r="H55" s="17" t="str">
        <f t="shared" si="11"/>
        <v/>
      </c>
      <c r="I55" s="18"/>
      <c r="J55" s="62"/>
      <c r="K55" s="62"/>
      <c r="L55" s="420" t="str">
        <f t="shared" si="3"/>
        <v/>
      </c>
      <c r="M55" s="401" t="str">
        <f t="shared" si="4"/>
        <v/>
      </c>
    </row>
    <row r="56" spans="2:13" x14ac:dyDescent="0.25">
      <c r="B56" s="58"/>
      <c r="C56" s="65"/>
      <c r="D56" s="15"/>
      <c r="E56" s="15"/>
      <c r="F56" s="15"/>
      <c r="G56" s="411"/>
      <c r="H56" s="17" t="str">
        <f t="shared" si="11"/>
        <v/>
      </c>
      <c r="I56" s="18"/>
      <c r="J56" s="62"/>
      <c r="K56" s="62"/>
      <c r="L56" s="420" t="str">
        <f t="shared" si="3"/>
        <v/>
      </c>
      <c r="M56" s="401" t="str">
        <f t="shared" si="4"/>
        <v/>
      </c>
    </row>
    <row r="57" spans="2:13" ht="12" customHeight="1" x14ac:dyDescent="0.25">
      <c r="B57" s="58"/>
      <c r="C57" s="65"/>
      <c r="D57" s="15"/>
      <c r="E57" s="15"/>
      <c r="F57" s="15"/>
      <c r="G57" s="411"/>
      <c r="H57" s="17" t="str">
        <f t="shared" si="11"/>
        <v/>
      </c>
      <c r="I57" s="18"/>
      <c r="J57" s="62"/>
      <c r="K57" s="62"/>
      <c r="L57" s="420" t="str">
        <f t="shared" si="3"/>
        <v/>
      </c>
      <c r="M57" s="401" t="str">
        <f t="shared" si="4"/>
        <v/>
      </c>
    </row>
    <row r="58" spans="2:13" x14ac:dyDescent="0.25">
      <c r="B58" s="58"/>
      <c r="C58" s="65"/>
      <c r="D58" s="15"/>
      <c r="E58" s="15"/>
      <c r="F58" s="15"/>
      <c r="G58" s="411"/>
      <c r="H58" s="17" t="str">
        <f t="shared" si="11"/>
        <v/>
      </c>
      <c r="I58" s="18"/>
      <c r="J58" s="62"/>
      <c r="K58" s="62"/>
      <c r="L58" s="420" t="str">
        <f t="shared" si="3"/>
        <v/>
      </c>
      <c r="M58" s="401" t="str">
        <f t="shared" si="4"/>
        <v/>
      </c>
    </row>
    <row r="59" spans="2:13" ht="12" customHeight="1" x14ac:dyDescent="0.25">
      <c r="B59" s="58"/>
      <c r="C59" s="65"/>
      <c r="D59" s="15"/>
      <c r="E59" s="15"/>
      <c r="F59" s="15"/>
      <c r="G59" s="411"/>
      <c r="H59" s="17" t="str">
        <f t="shared" si="11"/>
        <v/>
      </c>
      <c r="I59" s="18"/>
      <c r="J59" s="62"/>
      <c r="K59" s="62"/>
      <c r="L59" s="420" t="str">
        <f t="shared" si="3"/>
        <v/>
      </c>
      <c r="M59" s="401" t="str">
        <f t="shared" si="4"/>
        <v/>
      </c>
    </row>
    <row r="60" spans="2:13" ht="12" customHeight="1" x14ac:dyDescent="0.25">
      <c r="B60" s="58"/>
      <c r="C60" s="787"/>
      <c r="D60" s="15"/>
      <c r="E60" s="15"/>
      <c r="F60" s="61"/>
      <c r="G60" s="411"/>
      <c r="H60" s="17" t="str">
        <f t="shared" si="11"/>
        <v/>
      </c>
      <c r="I60" s="63"/>
      <c r="J60" s="62"/>
      <c r="K60" s="62"/>
      <c r="L60" s="420" t="str">
        <f t="shared" si="3"/>
        <v/>
      </c>
      <c r="M60" s="401" t="str">
        <f t="shared" si="4"/>
        <v/>
      </c>
    </row>
    <row r="61" spans="2:13" ht="12" customHeight="1" x14ac:dyDescent="0.25">
      <c r="B61" s="58"/>
      <c r="C61" s="65"/>
      <c r="D61" s="61"/>
      <c r="E61" s="61"/>
      <c r="F61" s="61"/>
      <c r="G61" s="411"/>
      <c r="H61" s="17" t="str">
        <f t="shared" si="11"/>
        <v/>
      </c>
      <c r="I61" s="63"/>
      <c r="J61" s="62"/>
      <c r="K61" s="62"/>
      <c r="L61" s="420" t="str">
        <f t="shared" si="3"/>
        <v/>
      </c>
      <c r="M61" s="401" t="str">
        <f t="shared" si="4"/>
        <v/>
      </c>
    </row>
    <row r="62" spans="2:13" ht="12" customHeight="1" x14ac:dyDescent="0.25">
      <c r="B62" s="58"/>
      <c r="C62" s="787"/>
      <c r="D62" s="15"/>
      <c r="E62" s="15"/>
      <c r="F62" s="61"/>
      <c r="G62" s="411"/>
      <c r="H62" s="17" t="str">
        <f t="shared" si="11"/>
        <v/>
      </c>
      <c r="I62" s="63"/>
      <c r="J62" s="62"/>
      <c r="K62" s="62"/>
      <c r="L62" s="420" t="str">
        <f t="shared" si="3"/>
        <v/>
      </c>
      <c r="M62" s="401" t="str">
        <f t="shared" si="4"/>
        <v/>
      </c>
    </row>
    <row r="63" spans="2:13" ht="12" customHeight="1" x14ac:dyDescent="0.25">
      <c r="B63" s="58"/>
      <c r="C63" s="65"/>
      <c r="D63" s="15"/>
      <c r="E63" s="15"/>
      <c r="F63" s="15"/>
      <c r="G63" s="411"/>
      <c r="H63" s="17" t="str">
        <f t="shared" si="11"/>
        <v/>
      </c>
      <c r="I63" s="18"/>
      <c r="J63" s="61"/>
      <c r="K63" s="696"/>
      <c r="L63" s="420" t="str">
        <f t="shared" si="3"/>
        <v/>
      </c>
      <c r="M63" s="401" t="str">
        <f t="shared" si="4"/>
        <v/>
      </c>
    </row>
    <row r="64" spans="2:13" s="28" customFormat="1" ht="19.5" customHeight="1" x14ac:dyDescent="0.25">
      <c r="B64" s="135" t="str">
        <f>$B$12</f>
        <v>C13.1</v>
      </c>
      <c r="C64" s="30" t="s">
        <v>12</v>
      </c>
      <c r="D64" s="31"/>
      <c r="E64" s="31"/>
      <c r="F64" s="32"/>
      <c r="G64" s="31"/>
      <c r="H64" s="33">
        <f>SUM(H11:H63)</f>
        <v>0</v>
      </c>
      <c r="I64" s="34"/>
      <c r="J64" s="408"/>
      <c r="K64" s="406"/>
      <c r="L64" s="418">
        <f>SUM(L11:L63)</f>
        <v>19024.800000000003</v>
      </c>
      <c r="M64" s="407" t="str">
        <f t="shared" ref="M64" si="12">IF(J64="","",IF(SUM(H64)=0,"",L64/H64))</f>
        <v/>
      </c>
    </row>
    <row r="65" spans="2:13" ht="13" x14ac:dyDescent="0.25">
      <c r="B65" s="1108" t="str">
        <f>Client1</f>
        <v>Province of KwaZulu-Natal</v>
      </c>
      <c r="C65" s="1108"/>
      <c r="D65" s="1108"/>
      <c r="E65" s="87"/>
      <c r="F65" s="1109" t="str">
        <f>"Contract No. "&amp;ContractNo</f>
        <v>Contract No. ZNB 00399/00000/HOD/INF/21/T</v>
      </c>
      <c r="G65" s="1109"/>
      <c r="H65" s="1109"/>
    </row>
    <row r="66" spans="2:13" ht="13" x14ac:dyDescent="0.25">
      <c r="B66" s="1108" t="str">
        <f>Client2</f>
        <v>Department of Transport</v>
      </c>
      <c r="C66" s="1108"/>
      <c r="D66" s="1108"/>
      <c r="E66" s="87"/>
      <c r="F66" s="1109"/>
      <c r="G66" s="1109"/>
      <c r="H66" s="1109"/>
    </row>
    <row r="67" spans="2:13" x14ac:dyDescent="0.25">
      <c r="B67" s="1111"/>
      <c r="C67" s="1111"/>
      <c r="D67" s="1111"/>
      <c r="E67" s="78"/>
      <c r="F67" s="1110"/>
      <c r="G67" s="1110"/>
      <c r="H67" s="1110"/>
    </row>
    <row r="68" spans="2:13" ht="13" x14ac:dyDescent="0.25">
      <c r="B68" s="1112" t="s">
        <v>1773</v>
      </c>
      <c r="C68" s="1113"/>
      <c r="D68" s="1113"/>
      <c r="E68" s="1113"/>
      <c r="F68" s="1113"/>
      <c r="G68" s="1113"/>
      <c r="H68" s="1125" t="str">
        <f>$H$6</f>
        <v>CHAPTER C13.1</v>
      </c>
      <c r="I68" s="6"/>
    </row>
    <row r="69" spans="2:13" ht="31.5" customHeight="1" x14ac:dyDescent="0.25">
      <c r="B69" s="1117" t="str">
        <f>ContractDescription</f>
        <v>THE CONSTRUCTION OF EARTHWORKS, LAYERWORKS, SURFACING, CULVERTS AND CWAKA RIVER BRIDGE FROM KM 11.600 TO KM 14.000 ON MAIN ROAD P494 IN THE KING CETSHWAYO DISTRICT UNDER EMPANGENI REGION</v>
      </c>
      <c r="C69" s="1148"/>
      <c r="D69" s="1148"/>
      <c r="E69" s="1148"/>
      <c r="F69" s="1148"/>
      <c r="G69" s="1148"/>
      <c r="H69" s="1126"/>
      <c r="I69" s="8"/>
    </row>
    <row r="70" spans="2:13" ht="13" x14ac:dyDescent="0.25">
      <c r="B70" s="1149" t="s">
        <v>1774</v>
      </c>
      <c r="C70" s="1150"/>
      <c r="D70" s="1150"/>
      <c r="E70" s="1150"/>
      <c r="F70" s="1150"/>
      <c r="G70" s="1150"/>
      <c r="H70" s="1126"/>
      <c r="I70" s="8"/>
    </row>
    <row r="71" spans="2:13" ht="13" x14ac:dyDescent="0.25">
      <c r="B71" s="611"/>
      <c r="C71" s="612"/>
      <c r="D71" s="612"/>
      <c r="E71" s="612"/>
      <c r="F71" s="612"/>
      <c r="G71" s="612"/>
      <c r="H71" s="1127"/>
      <c r="I71" s="8"/>
    </row>
    <row r="72" spans="2:13" s="9" customFormat="1" ht="25" customHeight="1" x14ac:dyDescent="0.25">
      <c r="B72" s="74" t="s">
        <v>0</v>
      </c>
      <c r="C72" s="11" t="s">
        <v>1</v>
      </c>
      <c r="D72" s="11" t="s">
        <v>2</v>
      </c>
      <c r="E72" s="11"/>
      <c r="F72" s="11" t="s">
        <v>3</v>
      </c>
      <c r="G72" s="11" t="s">
        <v>4</v>
      </c>
      <c r="H72" s="11" t="s">
        <v>5</v>
      </c>
      <c r="I72" s="12"/>
      <c r="J72" s="408" t="s">
        <v>996</v>
      </c>
      <c r="K72" s="253" t="s">
        <v>997</v>
      </c>
      <c r="L72" s="253" t="s">
        <v>998</v>
      </c>
      <c r="M72" s="253" t="s">
        <v>999</v>
      </c>
    </row>
    <row r="73" spans="2:13" s="28" customFormat="1" ht="19.5" customHeight="1" x14ac:dyDescent="0.25">
      <c r="B73" s="80"/>
      <c r="C73" s="30" t="s">
        <v>27</v>
      </c>
      <c r="D73" s="31"/>
      <c r="E73" s="31"/>
      <c r="F73" s="32"/>
      <c r="G73" s="31"/>
      <c r="H73" s="33">
        <f>H64</f>
        <v>0</v>
      </c>
      <c r="I73" s="34"/>
      <c r="J73" s="416"/>
      <c r="K73" s="409"/>
      <c r="L73" s="419">
        <f>L64</f>
        <v>19024.800000000003</v>
      </c>
      <c r="M73" s="410" t="str">
        <f t="shared" ref="M73" si="13">IF(J73="","",IF(SUM(H73)=0,"",L73/H73))</f>
        <v/>
      </c>
    </row>
    <row r="74" spans="2:13" x14ac:dyDescent="0.25">
      <c r="B74" s="46"/>
      <c r="C74" s="14"/>
      <c r="D74" s="15"/>
      <c r="E74" s="15"/>
      <c r="F74" s="15"/>
      <c r="G74" s="64"/>
      <c r="H74" s="17" t="str">
        <f t="shared" ref="H74:H75" si="14">IF(D74="","",F74*G74)</f>
        <v/>
      </c>
      <c r="I74" s="18"/>
      <c r="J74" s="61"/>
      <c r="K74" s="399"/>
      <c r="L74" s="420" t="str">
        <f t="shared" ref="L74:L75" si="15">IF(J74="","",F74*K74)</f>
        <v/>
      </c>
      <c r="M74" s="401" t="str">
        <f t="shared" ref="M74:M75" si="16">IF(J74="","",IF(SUM(H74)=0,"",L74/H74))</f>
        <v/>
      </c>
    </row>
    <row r="75" spans="2:13" x14ac:dyDescent="0.25">
      <c r="B75" s="46"/>
      <c r="C75" s="14"/>
      <c r="D75" s="15"/>
      <c r="E75" s="15"/>
      <c r="F75" s="15"/>
      <c r="G75" s="64"/>
      <c r="H75" s="17" t="str">
        <f t="shared" si="14"/>
        <v/>
      </c>
      <c r="I75" s="18"/>
      <c r="J75" s="61"/>
      <c r="K75" s="399"/>
      <c r="L75" s="420" t="str">
        <f t="shared" si="15"/>
        <v/>
      </c>
      <c r="M75" s="401" t="str">
        <f t="shared" si="16"/>
        <v/>
      </c>
    </row>
    <row r="76" spans="2:13" x14ac:dyDescent="0.25">
      <c r="B76" s="46"/>
      <c r="C76" s="14"/>
      <c r="D76" s="15"/>
      <c r="E76" s="15"/>
      <c r="F76" s="15"/>
      <c r="G76" s="64"/>
      <c r="H76" s="17" t="str">
        <f t="shared" ref="H76" si="17">IF(D76="","",F76*G76)</f>
        <v/>
      </c>
      <c r="I76" s="18"/>
      <c r="J76" s="61"/>
      <c r="K76" s="399"/>
      <c r="L76" s="420" t="str">
        <f t="shared" ref="L76" si="18">IF(J76="","",F76*K76)</f>
        <v/>
      </c>
      <c r="M76" s="401" t="str">
        <f t="shared" ref="M76:M129" si="19">IF(J76="","",IF(SUM(H76)=0,"",L76/H76))</f>
        <v/>
      </c>
    </row>
    <row r="77" spans="2:13" x14ac:dyDescent="0.25">
      <c r="B77" s="46"/>
      <c r="C77" s="14"/>
      <c r="D77" s="15"/>
      <c r="E77" s="15"/>
      <c r="F77" s="15"/>
      <c r="G77" s="64"/>
      <c r="H77" s="17" t="str">
        <f t="shared" ref="H77:H128" si="20">IF(D77="","",F77*G77)</f>
        <v/>
      </c>
      <c r="I77" s="18"/>
      <c r="J77" s="61"/>
      <c r="K77" s="399"/>
      <c r="L77" s="420" t="str">
        <f t="shared" ref="L77:L128" si="21">IF(J77="","",F77*K77)</f>
        <v/>
      </c>
      <c r="M77" s="401" t="str">
        <f t="shared" ref="M77:M128" si="22">IF(J77="","",IF(SUM(H77)=0,"",L77/H77))</f>
        <v/>
      </c>
    </row>
    <row r="78" spans="2:13" x14ac:dyDescent="0.25">
      <c r="B78" s="46"/>
      <c r="C78" s="14"/>
      <c r="D78" s="15"/>
      <c r="E78" s="15"/>
      <c r="F78" s="15"/>
      <c r="G78" s="64"/>
      <c r="H78" s="17" t="str">
        <f t="shared" si="20"/>
        <v/>
      </c>
      <c r="I78" s="18"/>
      <c r="J78" s="61"/>
      <c r="K78" s="400"/>
      <c r="L78" s="420" t="str">
        <f t="shared" si="21"/>
        <v/>
      </c>
      <c r="M78" s="401" t="str">
        <f t="shared" si="22"/>
        <v/>
      </c>
    </row>
    <row r="79" spans="2:13" x14ac:dyDescent="0.25">
      <c r="B79" s="46"/>
      <c r="C79" s="14"/>
      <c r="D79" s="15"/>
      <c r="E79" s="15"/>
      <c r="F79" s="15"/>
      <c r="G79" s="64"/>
      <c r="H79" s="17" t="str">
        <f t="shared" si="20"/>
        <v/>
      </c>
      <c r="I79" s="18"/>
      <c r="J79" s="61"/>
      <c r="K79" s="399"/>
      <c r="L79" s="420" t="str">
        <f t="shared" si="21"/>
        <v/>
      </c>
      <c r="M79" s="401" t="str">
        <f t="shared" si="22"/>
        <v/>
      </c>
    </row>
    <row r="80" spans="2:13" x14ac:dyDescent="0.25">
      <c r="B80" s="46"/>
      <c r="C80" s="14"/>
      <c r="D80" s="15"/>
      <c r="E80" s="15"/>
      <c r="F80" s="15"/>
      <c r="G80" s="64"/>
      <c r="H80" s="17" t="str">
        <f t="shared" si="20"/>
        <v/>
      </c>
      <c r="I80" s="18"/>
      <c r="J80" s="61"/>
      <c r="K80" s="399"/>
      <c r="L80" s="420" t="str">
        <f t="shared" si="21"/>
        <v/>
      </c>
      <c r="M80" s="401" t="str">
        <f t="shared" si="22"/>
        <v/>
      </c>
    </row>
    <row r="81" spans="2:13" x14ac:dyDescent="0.25">
      <c r="B81" s="46"/>
      <c r="C81" s="14"/>
      <c r="D81" s="15"/>
      <c r="E81" s="15"/>
      <c r="F81" s="15"/>
      <c r="G81" s="64"/>
      <c r="H81" s="17" t="str">
        <f t="shared" si="20"/>
        <v/>
      </c>
      <c r="I81" s="18"/>
      <c r="J81" s="61"/>
      <c r="K81" s="399"/>
      <c r="L81" s="420" t="str">
        <f t="shared" si="21"/>
        <v/>
      </c>
      <c r="M81" s="401" t="str">
        <f t="shared" si="22"/>
        <v/>
      </c>
    </row>
    <row r="82" spans="2:13" x14ac:dyDescent="0.25">
      <c r="B82" s="46"/>
      <c r="C82" s="14"/>
      <c r="D82" s="15"/>
      <c r="E82" s="15"/>
      <c r="F82" s="15"/>
      <c r="G82" s="64"/>
      <c r="H82" s="17" t="str">
        <f t="shared" si="20"/>
        <v/>
      </c>
      <c r="I82" s="18"/>
      <c r="J82" s="61"/>
      <c r="K82" s="402"/>
      <c r="L82" s="420" t="str">
        <f t="shared" si="21"/>
        <v/>
      </c>
      <c r="M82" s="401" t="str">
        <f t="shared" si="22"/>
        <v/>
      </c>
    </row>
    <row r="83" spans="2:13" x14ac:dyDescent="0.25">
      <c r="B83" s="46"/>
      <c r="C83" s="14"/>
      <c r="D83" s="15"/>
      <c r="E83" s="15"/>
      <c r="F83" s="15"/>
      <c r="G83" s="64"/>
      <c r="H83" s="17" t="str">
        <f t="shared" si="20"/>
        <v/>
      </c>
      <c r="I83" s="18"/>
      <c r="J83" s="61"/>
      <c r="K83" s="399"/>
      <c r="L83" s="420" t="str">
        <f t="shared" si="21"/>
        <v/>
      </c>
      <c r="M83" s="401" t="str">
        <f t="shared" si="22"/>
        <v/>
      </c>
    </row>
    <row r="84" spans="2:13" x14ac:dyDescent="0.25">
      <c r="B84" s="46"/>
      <c r="C84" s="14"/>
      <c r="D84" s="15"/>
      <c r="E84" s="15"/>
      <c r="F84" s="15"/>
      <c r="G84" s="64"/>
      <c r="H84" s="17" t="str">
        <f t="shared" si="20"/>
        <v/>
      </c>
      <c r="I84" s="18"/>
      <c r="J84" s="61"/>
      <c r="K84" s="402"/>
      <c r="L84" s="420" t="str">
        <f t="shared" si="21"/>
        <v/>
      </c>
      <c r="M84" s="401" t="str">
        <f t="shared" si="22"/>
        <v/>
      </c>
    </row>
    <row r="85" spans="2:13" x14ac:dyDescent="0.25">
      <c r="B85" s="46"/>
      <c r="C85" s="14"/>
      <c r="D85" s="15"/>
      <c r="E85" s="15"/>
      <c r="F85" s="15"/>
      <c r="G85" s="64"/>
      <c r="H85" s="17" t="str">
        <f t="shared" si="20"/>
        <v/>
      </c>
      <c r="I85" s="18"/>
      <c r="J85" s="61"/>
      <c r="K85" s="399"/>
      <c r="L85" s="420" t="str">
        <f t="shared" si="21"/>
        <v/>
      </c>
      <c r="M85" s="401" t="str">
        <f t="shared" si="22"/>
        <v/>
      </c>
    </row>
    <row r="86" spans="2:13" x14ac:dyDescent="0.25">
      <c r="B86" s="46"/>
      <c r="C86" s="14"/>
      <c r="D86" s="15"/>
      <c r="E86" s="15"/>
      <c r="F86" s="15"/>
      <c r="G86" s="64"/>
      <c r="H86" s="17" t="str">
        <f t="shared" si="20"/>
        <v/>
      </c>
      <c r="I86" s="18"/>
      <c r="J86" s="61"/>
      <c r="K86" s="402"/>
      <c r="L86" s="420" t="str">
        <f t="shared" si="21"/>
        <v/>
      </c>
      <c r="M86" s="401" t="str">
        <f t="shared" si="22"/>
        <v/>
      </c>
    </row>
    <row r="87" spans="2:13" x14ac:dyDescent="0.25">
      <c r="B87" s="46"/>
      <c r="C87" s="14"/>
      <c r="D87" s="15"/>
      <c r="E87" s="15"/>
      <c r="F87" s="15"/>
      <c r="G87" s="64"/>
      <c r="H87" s="17" t="str">
        <f t="shared" si="20"/>
        <v/>
      </c>
      <c r="I87" s="18"/>
      <c r="J87" s="61"/>
      <c r="K87" s="402"/>
      <c r="L87" s="420" t="str">
        <f t="shared" si="21"/>
        <v/>
      </c>
      <c r="M87" s="401" t="str">
        <f t="shared" si="22"/>
        <v/>
      </c>
    </row>
    <row r="88" spans="2:13" x14ac:dyDescent="0.25">
      <c r="B88" s="46"/>
      <c r="C88" s="14"/>
      <c r="D88" s="15"/>
      <c r="E88" s="15"/>
      <c r="F88" s="15"/>
      <c r="G88" s="64"/>
      <c r="H88" s="17" t="str">
        <f t="shared" si="20"/>
        <v/>
      </c>
      <c r="I88" s="18"/>
      <c r="J88" s="61"/>
      <c r="K88" s="399"/>
      <c r="L88" s="420" t="str">
        <f t="shared" si="21"/>
        <v/>
      </c>
      <c r="M88" s="401" t="str">
        <f t="shared" si="22"/>
        <v/>
      </c>
    </row>
    <row r="89" spans="2:13" x14ac:dyDescent="0.25">
      <c r="B89" s="46"/>
      <c r="C89" s="14"/>
      <c r="D89" s="15"/>
      <c r="E89" s="15"/>
      <c r="F89" s="15"/>
      <c r="G89" s="64"/>
      <c r="H89" s="17" t="str">
        <f t="shared" si="20"/>
        <v/>
      </c>
      <c r="I89" s="18"/>
      <c r="J89" s="61"/>
      <c r="K89" s="399"/>
      <c r="L89" s="420" t="str">
        <f t="shared" si="21"/>
        <v/>
      </c>
      <c r="M89" s="401" t="str">
        <f t="shared" si="22"/>
        <v/>
      </c>
    </row>
    <row r="90" spans="2:13" x14ac:dyDescent="0.25">
      <c r="B90" s="46"/>
      <c r="C90" s="14"/>
      <c r="D90" s="15"/>
      <c r="E90" s="15"/>
      <c r="F90" s="15"/>
      <c r="G90" s="64"/>
      <c r="H90" s="17" t="str">
        <f t="shared" si="20"/>
        <v/>
      </c>
      <c r="I90" s="18"/>
      <c r="J90" s="61"/>
      <c r="K90" s="400"/>
      <c r="L90" s="420" t="str">
        <f t="shared" si="21"/>
        <v/>
      </c>
      <c r="M90" s="401" t="str">
        <f t="shared" si="22"/>
        <v/>
      </c>
    </row>
    <row r="91" spans="2:13" x14ac:dyDescent="0.25">
      <c r="B91" s="46"/>
      <c r="C91" s="14"/>
      <c r="D91" s="15"/>
      <c r="E91" s="15"/>
      <c r="F91" s="15"/>
      <c r="G91" s="64"/>
      <c r="H91" s="17" t="str">
        <f t="shared" si="20"/>
        <v/>
      </c>
      <c r="I91" s="18"/>
      <c r="J91" s="61"/>
      <c r="K91" s="399"/>
      <c r="L91" s="420" t="str">
        <f t="shared" si="21"/>
        <v/>
      </c>
      <c r="M91" s="401" t="str">
        <f t="shared" si="22"/>
        <v/>
      </c>
    </row>
    <row r="92" spans="2:13" x14ac:dyDescent="0.25">
      <c r="B92" s="46"/>
      <c r="C92" s="14"/>
      <c r="D92" s="15"/>
      <c r="E92" s="15"/>
      <c r="F92" s="15"/>
      <c r="G92" s="64"/>
      <c r="H92" s="17" t="str">
        <f t="shared" si="20"/>
        <v/>
      </c>
      <c r="I92" s="18"/>
      <c r="J92" s="61"/>
      <c r="K92" s="399"/>
      <c r="L92" s="420" t="str">
        <f t="shared" si="21"/>
        <v/>
      </c>
      <c r="M92" s="401" t="str">
        <f t="shared" si="22"/>
        <v/>
      </c>
    </row>
    <row r="93" spans="2:13" x14ac:dyDescent="0.25">
      <c r="B93" s="46"/>
      <c r="C93" s="14"/>
      <c r="D93" s="15"/>
      <c r="E93" s="15"/>
      <c r="F93" s="15"/>
      <c r="G93" s="64"/>
      <c r="H93" s="17" t="str">
        <f t="shared" si="20"/>
        <v/>
      </c>
      <c r="I93" s="18"/>
      <c r="J93" s="61"/>
      <c r="K93" s="399"/>
      <c r="L93" s="420" t="str">
        <f t="shared" si="21"/>
        <v/>
      </c>
      <c r="M93" s="401" t="str">
        <f t="shared" si="22"/>
        <v/>
      </c>
    </row>
    <row r="94" spans="2:13" x14ac:dyDescent="0.25">
      <c r="B94" s="46"/>
      <c r="C94" s="14"/>
      <c r="D94" s="15"/>
      <c r="E94" s="15"/>
      <c r="F94" s="15"/>
      <c r="G94" s="64"/>
      <c r="H94" s="17" t="str">
        <f t="shared" si="20"/>
        <v/>
      </c>
      <c r="I94" s="18"/>
      <c r="J94" s="61"/>
      <c r="K94" s="399"/>
      <c r="L94" s="420" t="str">
        <f t="shared" si="21"/>
        <v/>
      </c>
      <c r="M94" s="401" t="str">
        <f t="shared" si="22"/>
        <v/>
      </c>
    </row>
    <row r="95" spans="2:13" x14ac:dyDescent="0.25">
      <c r="B95" s="46"/>
      <c r="C95" s="14"/>
      <c r="D95" s="15"/>
      <c r="E95" s="15"/>
      <c r="F95" s="15"/>
      <c r="G95" s="64"/>
      <c r="H95" s="17" t="str">
        <f t="shared" si="20"/>
        <v/>
      </c>
      <c r="I95" s="18"/>
      <c r="J95" s="61"/>
      <c r="K95" s="399"/>
      <c r="L95" s="420" t="str">
        <f t="shared" si="21"/>
        <v/>
      </c>
      <c r="M95" s="401" t="str">
        <f t="shared" si="22"/>
        <v/>
      </c>
    </row>
    <row r="96" spans="2:13" x14ac:dyDescent="0.25">
      <c r="B96" s="46"/>
      <c r="C96" s="14"/>
      <c r="D96" s="15"/>
      <c r="E96" s="15"/>
      <c r="F96" s="15"/>
      <c r="G96" s="64"/>
      <c r="H96" s="17" t="str">
        <f t="shared" si="20"/>
        <v/>
      </c>
      <c r="I96" s="18"/>
      <c r="J96" s="61"/>
      <c r="K96" s="400"/>
      <c r="L96" s="420" t="str">
        <f t="shared" si="21"/>
        <v/>
      </c>
      <c r="M96" s="401" t="str">
        <f t="shared" si="22"/>
        <v/>
      </c>
    </row>
    <row r="97" spans="2:13" x14ac:dyDescent="0.25">
      <c r="B97" s="46"/>
      <c r="C97" s="14"/>
      <c r="D97" s="15"/>
      <c r="E97" s="15"/>
      <c r="F97" s="15"/>
      <c r="G97" s="64"/>
      <c r="H97" s="17" t="str">
        <f t="shared" si="20"/>
        <v/>
      </c>
      <c r="I97" s="18"/>
      <c r="J97" s="61"/>
      <c r="K97" s="399"/>
      <c r="L97" s="420" t="str">
        <f t="shared" si="21"/>
        <v/>
      </c>
      <c r="M97" s="401" t="str">
        <f t="shared" si="22"/>
        <v/>
      </c>
    </row>
    <row r="98" spans="2:13" x14ac:dyDescent="0.25">
      <c r="B98" s="46"/>
      <c r="C98" s="14"/>
      <c r="D98" s="15"/>
      <c r="E98" s="15"/>
      <c r="F98" s="15"/>
      <c r="G98" s="64"/>
      <c r="H98" s="17" t="str">
        <f t="shared" si="20"/>
        <v/>
      </c>
      <c r="I98" s="18"/>
      <c r="J98" s="61"/>
      <c r="K98" s="399"/>
      <c r="L98" s="420" t="str">
        <f t="shared" si="21"/>
        <v/>
      </c>
      <c r="M98" s="401" t="str">
        <f t="shared" si="22"/>
        <v/>
      </c>
    </row>
    <row r="99" spans="2:13" x14ac:dyDescent="0.25">
      <c r="B99" s="46"/>
      <c r="C99" s="14"/>
      <c r="D99" s="15"/>
      <c r="E99" s="15"/>
      <c r="F99" s="15"/>
      <c r="G99" s="64"/>
      <c r="H99" s="17" t="str">
        <f t="shared" si="20"/>
        <v/>
      </c>
      <c r="I99" s="18"/>
      <c r="J99" s="61"/>
      <c r="K99" s="399"/>
      <c r="L99" s="420" t="str">
        <f t="shared" si="21"/>
        <v/>
      </c>
      <c r="M99" s="401" t="str">
        <f t="shared" si="22"/>
        <v/>
      </c>
    </row>
    <row r="100" spans="2:13" x14ac:dyDescent="0.25">
      <c r="B100" s="46"/>
      <c r="C100" s="14"/>
      <c r="D100" s="15"/>
      <c r="E100" s="15"/>
      <c r="F100" s="15"/>
      <c r="G100" s="64"/>
      <c r="H100" s="17" t="str">
        <f t="shared" si="20"/>
        <v/>
      </c>
      <c r="I100" s="18"/>
      <c r="J100" s="61"/>
      <c r="K100" s="399"/>
      <c r="L100" s="420" t="str">
        <f t="shared" si="21"/>
        <v/>
      </c>
      <c r="M100" s="401" t="str">
        <f t="shared" si="22"/>
        <v/>
      </c>
    </row>
    <row r="101" spans="2:13" x14ac:dyDescent="0.25">
      <c r="B101" s="46"/>
      <c r="C101" s="14"/>
      <c r="D101" s="15"/>
      <c r="E101" s="15"/>
      <c r="F101" s="15"/>
      <c r="G101" s="64"/>
      <c r="H101" s="17" t="str">
        <f t="shared" si="20"/>
        <v/>
      </c>
      <c r="I101" s="18"/>
      <c r="J101" s="61"/>
      <c r="K101" s="577"/>
      <c r="L101" s="420" t="str">
        <f t="shared" si="21"/>
        <v/>
      </c>
      <c r="M101" s="401" t="str">
        <f t="shared" si="22"/>
        <v/>
      </c>
    </row>
    <row r="102" spans="2:13" x14ac:dyDescent="0.25">
      <c r="B102" s="46"/>
      <c r="C102" s="14"/>
      <c r="D102" s="15"/>
      <c r="E102" s="15"/>
      <c r="F102" s="15"/>
      <c r="G102" s="64"/>
      <c r="H102" s="17" t="str">
        <f t="shared" si="20"/>
        <v/>
      </c>
      <c r="I102" s="18"/>
      <c r="J102" s="61"/>
      <c r="K102" s="399"/>
      <c r="L102" s="420" t="str">
        <f t="shared" si="21"/>
        <v/>
      </c>
      <c r="M102" s="401" t="str">
        <f t="shared" si="22"/>
        <v/>
      </c>
    </row>
    <row r="103" spans="2:13" x14ac:dyDescent="0.25">
      <c r="B103" s="46"/>
      <c r="C103" s="14"/>
      <c r="D103" s="15"/>
      <c r="E103" s="15"/>
      <c r="F103" s="15"/>
      <c r="G103" s="64"/>
      <c r="H103" s="17" t="str">
        <f t="shared" si="20"/>
        <v/>
      </c>
      <c r="I103" s="18"/>
      <c r="J103" s="61"/>
      <c r="K103" s="577"/>
      <c r="L103" s="420" t="str">
        <f t="shared" si="21"/>
        <v/>
      </c>
      <c r="M103" s="401" t="str">
        <f t="shared" si="22"/>
        <v/>
      </c>
    </row>
    <row r="104" spans="2:13" x14ac:dyDescent="0.25">
      <c r="B104" s="46"/>
      <c r="C104" s="14"/>
      <c r="D104" s="15"/>
      <c r="E104" s="15"/>
      <c r="F104" s="15"/>
      <c r="G104" s="64"/>
      <c r="H104" s="17" t="str">
        <f t="shared" si="20"/>
        <v/>
      </c>
      <c r="I104" s="18"/>
      <c r="J104" s="61"/>
      <c r="K104" s="399"/>
      <c r="L104" s="420" t="str">
        <f t="shared" si="21"/>
        <v/>
      </c>
      <c r="M104" s="401" t="str">
        <f t="shared" si="22"/>
        <v/>
      </c>
    </row>
    <row r="105" spans="2:13" x14ac:dyDescent="0.25">
      <c r="B105" s="46"/>
      <c r="C105" s="14"/>
      <c r="D105" s="15"/>
      <c r="E105" s="15"/>
      <c r="F105" s="15"/>
      <c r="G105" s="64"/>
      <c r="H105" s="17" t="str">
        <f t="shared" si="20"/>
        <v/>
      </c>
      <c r="I105" s="18"/>
      <c r="J105" s="61"/>
      <c r="K105" s="399"/>
      <c r="L105" s="420" t="str">
        <f t="shared" si="21"/>
        <v/>
      </c>
      <c r="M105" s="401" t="str">
        <f t="shared" si="22"/>
        <v/>
      </c>
    </row>
    <row r="106" spans="2:13" x14ac:dyDescent="0.25">
      <c r="B106" s="46"/>
      <c r="C106" s="14"/>
      <c r="D106" s="15"/>
      <c r="E106" s="15"/>
      <c r="F106" s="15"/>
      <c r="G106" s="64"/>
      <c r="H106" s="17" t="str">
        <f t="shared" si="20"/>
        <v/>
      </c>
      <c r="I106" s="18"/>
      <c r="J106" s="61"/>
      <c r="K106" s="399"/>
      <c r="L106" s="420" t="str">
        <f t="shared" si="21"/>
        <v/>
      </c>
      <c r="M106" s="401" t="str">
        <f t="shared" si="22"/>
        <v/>
      </c>
    </row>
    <row r="107" spans="2:13" x14ac:dyDescent="0.25">
      <c r="B107" s="46"/>
      <c r="C107" s="14"/>
      <c r="D107" s="15"/>
      <c r="E107" s="15"/>
      <c r="F107" s="15"/>
      <c r="G107" s="64"/>
      <c r="H107" s="17" t="str">
        <f t="shared" si="20"/>
        <v/>
      </c>
      <c r="I107" s="18"/>
      <c r="J107" s="61"/>
      <c r="K107" s="399"/>
      <c r="L107" s="420" t="str">
        <f t="shared" si="21"/>
        <v/>
      </c>
      <c r="M107" s="401" t="str">
        <f t="shared" si="22"/>
        <v/>
      </c>
    </row>
    <row r="108" spans="2:13" x14ac:dyDescent="0.25">
      <c r="B108" s="46"/>
      <c r="C108" s="14"/>
      <c r="D108" s="15"/>
      <c r="E108" s="15"/>
      <c r="F108" s="15"/>
      <c r="G108" s="64"/>
      <c r="H108" s="17" t="str">
        <f t="shared" si="20"/>
        <v/>
      </c>
      <c r="I108" s="18"/>
      <c r="J108" s="61"/>
      <c r="K108" s="402"/>
      <c r="L108" s="420" t="str">
        <f t="shared" si="21"/>
        <v/>
      </c>
      <c r="M108" s="401" t="str">
        <f t="shared" si="22"/>
        <v/>
      </c>
    </row>
    <row r="109" spans="2:13" x14ac:dyDescent="0.25">
      <c r="B109" s="46"/>
      <c r="C109" s="14"/>
      <c r="D109" s="15"/>
      <c r="E109" s="15"/>
      <c r="F109" s="15"/>
      <c r="G109" s="64"/>
      <c r="H109" s="17" t="str">
        <f t="shared" si="20"/>
        <v/>
      </c>
      <c r="I109" s="18"/>
      <c r="J109" s="61"/>
      <c r="K109" s="399"/>
      <c r="L109" s="420" t="str">
        <f t="shared" si="21"/>
        <v/>
      </c>
      <c r="M109" s="401" t="str">
        <f t="shared" si="22"/>
        <v/>
      </c>
    </row>
    <row r="110" spans="2:13" x14ac:dyDescent="0.25">
      <c r="B110" s="46"/>
      <c r="C110" s="14"/>
      <c r="D110" s="15"/>
      <c r="E110" s="15"/>
      <c r="F110" s="15"/>
      <c r="G110" s="64"/>
      <c r="H110" s="17" t="str">
        <f t="shared" si="20"/>
        <v/>
      </c>
      <c r="I110" s="18"/>
      <c r="J110" s="61"/>
      <c r="K110" s="402"/>
      <c r="L110" s="420" t="str">
        <f t="shared" si="21"/>
        <v/>
      </c>
      <c r="M110" s="401" t="str">
        <f t="shared" si="22"/>
        <v/>
      </c>
    </row>
    <row r="111" spans="2:13" x14ac:dyDescent="0.25">
      <c r="B111" s="46"/>
      <c r="C111" s="14"/>
      <c r="D111" s="15"/>
      <c r="E111" s="15"/>
      <c r="F111" s="15"/>
      <c r="G111" s="64"/>
      <c r="H111" s="17" t="str">
        <f t="shared" si="20"/>
        <v/>
      </c>
      <c r="I111" s="18"/>
      <c r="J111" s="62"/>
      <c r="K111" s="62"/>
      <c r="L111" s="420" t="str">
        <f t="shared" si="21"/>
        <v/>
      </c>
      <c r="M111" s="401" t="str">
        <f t="shared" si="22"/>
        <v/>
      </c>
    </row>
    <row r="112" spans="2:13" x14ac:dyDescent="0.25">
      <c r="B112" s="46"/>
      <c r="C112" s="14"/>
      <c r="D112" s="15"/>
      <c r="E112" s="15"/>
      <c r="F112" s="15"/>
      <c r="G112" s="64"/>
      <c r="H112" s="17" t="str">
        <f t="shared" si="20"/>
        <v/>
      </c>
      <c r="I112" s="18"/>
      <c r="J112" s="62"/>
      <c r="K112" s="62"/>
      <c r="L112" s="420" t="str">
        <f t="shared" si="21"/>
        <v/>
      </c>
      <c r="M112" s="401" t="str">
        <f t="shared" si="22"/>
        <v/>
      </c>
    </row>
    <row r="113" spans="2:13" x14ac:dyDescent="0.25">
      <c r="B113" s="46"/>
      <c r="C113" s="14"/>
      <c r="D113" s="15"/>
      <c r="E113" s="15"/>
      <c r="F113" s="15"/>
      <c r="G113" s="64"/>
      <c r="H113" s="17" t="str">
        <f t="shared" si="20"/>
        <v/>
      </c>
      <c r="I113" s="18"/>
      <c r="J113" s="62"/>
      <c r="K113" s="62"/>
      <c r="L113" s="420" t="str">
        <f t="shared" si="21"/>
        <v/>
      </c>
      <c r="M113" s="401" t="str">
        <f t="shared" si="22"/>
        <v/>
      </c>
    </row>
    <row r="114" spans="2:13" ht="12" customHeight="1" x14ac:dyDescent="0.25">
      <c r="B114" s="46"/>
      <c r="C114" s="14"/>
      <c r="D114" s="15"/>
      <c r="E114" s="15"/>
      <c r="F114" s="15"/>
      <c r="G114" s="64"/>
      <c r="H114" s="17" t="str">
        <f t="shared" si="20"/>
        <v/>
      </c>
      <c r="I114" s="18"/>
      <c r="J114" s="62"/>
      <c r="K114" s="62"/>
      <c r="L114" s="420" t="str">
        <f t="shared" si="21"/>
        <v/>
      </c>
      <c r="M114" s="401" t="str">
        <f t="shared" si="22"/>
        <v/>
      </c>
    </row>
    <row r="115" spans="2:13" x14ac:dyDescent="0.25">
      <c r="B115" s="46"/>
      <c r="C115" s="14"/>
      <c r="D115" s="15"/>
      <c r="E115" s="15"/>
      <c r="F115" s="15"/>
      <c r="G115" s="64"/>
      <c r="H115" s="17" t="str">
        <f t="shared" si="20"/>
        <v/>
      </c>
      <c r="I115" s="18"/>
      <c r="J115" s="62"/>
      <c r="K115" s="62"/>
      <c r="L115" s="420" t="str">
        <f t="shared" si="21"/>
        <v/>
      </c>
      <c r="M115" s="401" t="str">
        <f t="shared" si="22"/>
        <v/>
      </c>
    </row>
    <row r="116" spans="2:13" ht="12" customHeight="1" x14ac:dyDescent="0.25">
      <c r="B116" s="46"/>
      <c r="C116" s="14"/>
      <c r="D116" s="15"/>
      <c r="E116" s="15"/>
      <c r="F116" s="15"/>
      <c r="G116" s="64"/>
      <c r="H116" s="17" t="str">
        <f t="shared" si="20"/>
        <v/>
      </c>
      <c r="I116" s="18"/>
      <c r="J116" s="62"/>
      <c r="K116" s="62"/>
      <c r="L116" s="420" t="str">
        <f t="shared" si="21"/>
        <v/>
      </c>
      <c r="M116" s="401" t="str">
        <f t="shared" si="22"/>
        <v/>
      </c>
    </row>
    <row r="117" spans="2:13" x14ac:dyDescent="0.25">
      <c r="B117" s="46"/>
      <c r="C117" s="14"/>
      <c r="D117" s="15"/>
      <c r="E117" s="15"/>
      <c r="F117" s="15"/>
      <c r="G117" s="64"/>
      <c r="H117" s="17" t="str">
        <f t="shared" si="20"/>
        <v/>
      </c>
      <c r="I117" s="18"/>
      <c r="J117" s="62"/>
      <c r="K117" s="62"/>
      <c r="L117" s="420" t="str">
        <f t="shared" si="21"/>
        <v/>
      </c>
      <c r="M117" s="401" t="str">
        <f t="shared" si="22"/>
        <v/>
      </c>
    </row>
    <row r="118" spans="2:13" ht="12" customHeight="1" x14ac:dyDescent="0.25">
      <c r="B118" s="46"/>
      <c r="C118" s="14"/>
      <c r="D118" s="15"/>
      <c r="E118" s="15"/>
      <c r="F118" s="15"/>
      <c r="G118" s="64"/>
      <c r="H118" s="17" t="str">
        <f t="shared" si="20"/>
        <v/>
      </c>
      <c r="I118" s="18"/>
      <c r="J118" s="62"/>
      <c r="K118" s="62"/>
      <c r="L118" s="420" t="str">
        <f t="shared" si="21"/>
        <v/>
      </c>
      <c r="M118" s="401" t="str">
        <f t="shared" si="22"/>
        <v/>
      </c>
    </row>
    <row r="119" spans="2:13" x14ac:dyDescent="0.25">
      <c r="B119" s="46"/>
      <c r="C119" s="14"/>
      <c r="D119" s="15"/>
      <c r="E119" s="15"/>
      <c r="F119" s="15"/>
      <c r="G119" s="64"/>
      <c r="H119" s="17" t="str">
        <f t="shared" si="20"/>
        <v/>
      </c>
      <c r="I119" s="18"/>
      <c r="J119" s="62"/>
      <c r="K119" s="62"/>
      <c r="L119" s="420" t="str">
        <f t="shared" si="21"/>
        <v/>
      </c>
      <c r="M119" s="401" t="str">
        <f t="shared" si="22"/>
        <v/>
      </c>
    </row>
    <row r="120" spans="2:13" ht="12" customHeight="1" x14ac:dyDescent="0.25">
      <c r="B120" s="46"/>
      <c r="C120" s="14"/>
      <c r="D120" s="15"/>
      <c r="E120" s="15"/>
      <c r="F120" s="15"/>
      <c r="G120" s="64"/>
      <c r="H120" s="17" t="str">
        <f t="shared" si="20"/>
        <v/>
      </c>
      <c r="I120" s="18"/>
      <c r="J120" s="62"/>
      <c r="K120" s="62"/>
      <c r="L120" s="420" t="str">
        <f t="shared" si="21"/>
        <v/>
      </c>
      <c r="M120" s="401" t="str">
        <f t="shared" si="22"/>
        <v/>
      </c>
    </row>
    <row r="121" spans="2:13" x14ac:dyDescent="0.25">
      <c r="B121" s="46"/>
      <c r="C121" s="14"/>
      <c r="D121" s="15"/>
      <c r="E121" s="15"/>
      <c r="F121" s="15"/>
      <c r="G121" s="64"/>
      <c r="H121" s="17" t="str">
        <f t="shared" si="20"/>
        <v/>
      </c>
      <c r="I121" s="18"/>
      <c r="J121" s="62"/>
      <c r="K121" s="62"/>
      <c r="L121" s="420" t="str">
        <f t="shared" si="21"/>
        <v/>
      </c>
      <c r="M121" s="401" t="str">
        <f t="shared" si="22"/>
        <v/>
      </c>
    </row>
    <row r="122" spans="2:13" ht="12" customHeight="1" x14ac:dyDescent="0.25">
      <c r="B122" s="46"/>
      <c r="C122" s="14"/>
      <c r="D122" s="15"/>
      <c r="E122" s="15"/>
      <c r="F122" s="15"/>
      <c r="G122" s="64"/>
      <c r="H122" s="17" t="str">
        <f t="shared" si="20"/>
        <v/>
      </c>
      <c r="I122" s="18"/>
      <c r="J122" s="62"/>
      <c r="K122" s="62"/>
      <c r="L122" s="420" t="str">
        <f t="shared" si="21"/>
        <v/>
      </c>
      <c r="M122" s="401" t="str">
        <f t="shared" si="22"/>
        <v/>
      </c>
    </row>
    <row r="123" spans="2:13" x14ac:dyDescent="0.25">
      <c r="B123" s="46"/>
      <c r="C123" s="14"/>
      <c r="D123" s="15"/>
      <c r="E123" s="15"/>
      <c r="F123" s="15"/>
      <c r="G123" s="64"/>
      <c r="H123" s="17" t="str">
        <f t="shared" si="20"/>
        <v/>
      </c>
      <c r="I123" s="18"/>
      <c r="J123" s="61"/>
      <c r="K123" s="62"/>
      <c r="L123" s="420" t="str">
        <f t="shared" si="21"/>
        <v/>
      </c>
      <c r="M123" s="401" t="str">
        <f t="shared" si="22"/>
        <v/>
      </c>
    </row>
    <row r="124" spans="2:13" ht="12" customHeight="1" x14ac:dyDescent="0.25">
      <c r="B124" s="46"/>
      <c r="C124" s="14"/>
      <c r="D124" s="15"/>
      <c r="E124" s="15"/>
      <c r="F124" s="15"/>
      <c r="G124" s="64"/>
      <c r="H124" s="17" t="str">
        <f t="shared" si="20"/>
        <v/>
      </c>
      <c r="I124" s="18"/>
      <c r="J124" s="62"/>
      <c r="K124" s="62"/>
      <c r="L124" s="420" t="str">
        <f t="shared" si="21"/>
        <v/>
      </c>
      <c r="M124" s="401" t="str">
        <f t="shared" si="22"/>
        <v/>
      </c>
    </row>
    <row r="125" spans="2:13" x14ac:dyDescent="0.25">
      <c r="B125" s="46"/>
      <c r="C125" s="14"/>
      <c r="D125" s="15"/>
      <c r="E125" s="15"/>
      <c r="F125" s="15"/>
      <c r="G125" s="64"/>
      <c r="H125" s="17" t="str">
        <f t="shared" si="20"/>
        <v/>
      </c>
      <c r="I125" s="18"/>
      <c r="J125" s="62"/>
      <c r="K125" s="62"/>
      <c r="L125" s="420" t="str">
        <f t="shared" si="21"/>
        <v/>
      </c>
      <c r="M125" s="401" t="str">
        <f t="shared" si="22"/>
        <v/>
      </c>
    </row>
    <row r="126" spans="2:13" ht="12" customHeight="1" x14ac:dyDescent="0.25">
      <c r="B126" s="46"/>
      <c r="C126" s="14"/>
      <c r="D126" s="15"/>
      <c r="E126" s="15"/>
      <c r="F126" s="15"/>
      <c r="G126" s="64"/>
      <c r="H126" s="17" t="str">
        <f t="shared" si="20"/>
        <v/>
      </c>
      <c r="I126" s="18"/>
      <c r="J126" s="61"/>
      <c r="K126" s="62"/>
      <c r="L126" s="420" t="str">
        <f t="shared" si="21"/>
        <v/>
      </c>
      <c r="M126" s="401" t="str">
        <f t="shared" si="22"/>
        <v/>
      </c>
    </row>
    <row r="127" spans="2:13" x14ac:dyDescent="0.25">
      <c r="B127" s="46"/>
      <c r="C127" s="14"/>
      <c r="D127" s="15"/>
      <c r="E127" s="15"/>
      <c r="F127" s="15"/>
      <c r="G127" s="64"/>
      <c r="H127" s="17" t="str">
        <f t="shared" si="20"/>
        <v/>
      </c>
      <c r="I127" s="18"/>
      <c r="J127" s="61"/>
      <c r="K127" s="695"/>
      <c r="L127" s="420" t="str">
        <f t="shared" si="21"/>
        <v/>
      </c>
      <c r="M127" s="401" t="str">
        <f t="shared" si="22"/>
        <v/>
      </c>
    </row>
    <row r="128" spans="2:13" ht="12" customHeight="1" x14ac:dyDescent="0.25">
      <c r="B128" s="46"/>
      <c r="C128" s="14"/>
      <c r="D128" s="15"/>
      <c r="E128" s="15"/>
      <c r="F128" s="15"/>
      <c r="G128" s="64"/>
      <c r="H128" s="17" t="str">
        <f t="shared" si="20"/>
        <v/>
      </c>
      <c r="I128" s="18"/>
      <c r="J128" s="61"/>
      <c r="K128" s="696"/>
      <c r="L128" s="420" t="str">
        <f t="shared" si="21"/>
        <v/>
      </c>
      <c r="M128" s="401" t="str">
        <f t="shared" si="22"/>
        <v/>
      </c>
    </row>
    <row r="129" spans="2:13" s="28" customFormat="1" ht="19.5" customHeight="1" x14ac:dyDescent="0.25">
      <c r="B129" s="135" t="str">
        <f>$B$12</f>
        <v>C13.1</v>
      </c>
      <c r="C129" s="30" t="s">
        <v>12</v>
      </c>
      <c r="D129" s="31"/>
      <c r="E129" s="31"/>
      <c r="F129" s="32"/>
      <c r="G129" s="31"/>
      <c r="H129" s="33">
        <f>SUM(H73:H128)</f>
        <v>0</v>
      </c>
      <c r="I129" s="34"/>
      <c r="J129" s="408"/>
      <c r="K129" s="406"/>
      <c r="L129" s="418">
        <f>SUM(L73:L128)</f>
        <v>19024.800000000003</v>
      </c>
      <c r="M129" s="407" t="str">
        <f t="shared" si="19"/>
        <v/>
      </c>
    </row>
    <row r="130" spans="2:13" ht="13" x14ac:dyDescent="0.25">
      <c r="B130" s="1108" t="str">
        <f>Client1</f>
        <v>Province of KwaZulu-Natal</v>
      </c>
      <c r="C130" s="1108"/>
      <c r="D130" s="1108"/>
      <c r="E130" s="87"/>
      <c r="F130" s="1109" t="str">
        <f>"Contract No. "&amp;ContractNo</f>
        <v>Contract No. ZNB 00399/00000/HOD/INF/21/T</v>
      </c>
      <c r="G130" s="1109"/>
      <c r="H130" s="1109"/>
    </row>
    <row r="131" spans="2:13" ht="13" x14ac:dyDescent="0.25">
      <c r="B131" s="1108" t="str">
        <f>Client2</f>
        <v>Department of Transport</v>
      </c>
      <c r="C131" s="1108"/>
      <c r="D131" s="1108"/>
      <c r="E131" s="87"/>
      <c r="F131" s="1109"/>
      <c r="G131" s="1109"/>
      <c r="H131" s="1109"/>
    </row>
    <row r="132" spans="2:13" x14ac:dyDescent="0.25">
      <c r="B132" s="1111"/>
      <c r="C132" s="1111"/>
      <c r="D132" s="1111"/>
      <c r="E132" s="78"/>
      <c r="F132" s="1110"/>
      <c r="G132" s="1110"/>
      <c r="H132" s="1110"/>
    </row>
    <row r="133" spans="2:13" ht="13" x14ac:dyDescent="0.25">
      <c r="B133" s="1112" t="s">
        <v>1773</v>
      </c>
      <c r="C133" s="1113"/>
      <c r="D133" s="1113"/>
      <c r="E133" s="1113"/>
      <c r="F133" s="1113"/>
      <c r="G133" s="1113"/>
      <c r="H133" s="1125" t="str">
        <f>$H$6</f>
        <v>CHAPTER C13.1</v>
      </c>
      <c r="I133" s="6"/>
    </row>
    <row r="134" spans="2:13" ht="36" customHeight="1" x14ac:dyDescent="0.25">
      <c r="B134" s="1117" t="str">
        <f>ContractDescription</f>
        <v>THE CONSTRUCTION OF EARTHWORKS, LAYERWORKS, SURFACING, CULVERTS AND CWAKA RIVER BRIDGE FROM KM 11.600 TO KM 14.000 ON MAIN ROAD P494 IN THE KING CETSHWAYO DISTRICT UNDER EMPANGENI REGION</v>
      </c>
      <c r="C134" s="1148"/>
      <c r="D134" s="1148"/>
      <c r="E134" s="1148"/>
      <c r="F134" s="1148"/>
      <c r="G134" s="1148"/>
      <c r="H134" s="1126"/>
      <c r="I134" s="8"/>
    </row>
    <row r="135" spans="2:13" ht="21" customHeight="1" x14ac:dyDescent="0.25">
      <c r="B135" s="1149" t="s">
        <v>1774</v>
      </c>
      <c r="C135" s="1150"/>
      <c r="D135" s="1150"/>
      <c r="E135" s="1150"/>
      <c r="F135" s="1150"/>
      <c r="G135" s="1150"/>
      <c r="H135" s="1126"/>
      <c r="I135" s="8"/>
    </row>
    <row r="136" spans="2:13" ht="13" x14ac:dyDescent="0.25">
      <c r="B136" s="611"/>
      <c r="C136" s="612"/>
      <c r="D136" s="612"/>
      <c r="E136" s="612"/>
      <c r="F136" s="612"/>
      <c r="G136" s="612"/>
      <c r="H136" s="1127"/>
      <c r="I136" s="8"/>
    </row>
    <row r="137" spans="2:13" s="9" customFormat="1" ht="25" customHeight="1" x14ac:dyDescent="0.25">
      <c r="B137" s="74" t="s">
        <v>0</v>
      </c>
      <c r="C137" s="11" t="s">
        <v>1</v>
      </c>
      <c r="D137" s="11" t="s">
        <v>2</v>
      </c>
      <c r="E137" s="11"/>
      <c r="F137" s="11" t="s">
        <v>3</v>
      </c>
      <c r="G137" s="11" t="s">
        <v>4</v>
      </c>
      <c r="H137" s="11" t="s">
        <v>5</v>
      </c>
      <c r="I137" s="12"/>
      <c r="J137" s="408" t="s">
        <v>996</v>
      </c>
      <c r="K137" s="253" t="s">
        <v>997</v>
      </c>
      <c r="L137" s="253" t="s">
        <v>998</v>
      </c>
      <c r="M137" s="253" t="s">
        <v>999</v>
      </c>
    </row>
    <row r="138" spans="2:13" s="28" customFormat="1" ht="19.5" customHeight="1" x14ac:dyDescent="0.25">
      <c r="B138" s="80"/>
      <c r="C138" s="30" t="s">
        <v>27</v>
      </c>
      <c r="D138" s="31"/>
      <c r="E138" s="31"/>
      <c r="F138" s="32"/>
      <c r="G138" s="31"/>
      <c r="H138" s="33">
        <f>H129</f>
        <v>0</v>
      </c>
      <c r="I138" s="34"/>
      <c r="J138" s="416"/>
      <c r="K138" s="409"/>
      <c r="L138" s="419">
        <f>L129</f>
        <v>19024.800000000003</v>
      </c>
      <c r="M138" s="410" t="str">
        <f t="shared" ref="M138" si="23">IF(J138="","",IF(SUM(H138)=0,"",L138/H138))</f>
        <v/>
      </c>
    </row>
    <row r="139" spans="2:13" ht="11.9" customHeight="1" x14ac:dyDescent="0.25">
      <c r="B139" s="46"/>
      <c r="C139" s="14"/>
      <c r="D139" s="15"/>
      <c r="E139" s="15"/>
      <c r="F139" s="15"/>
      <c r="G139" s="64"/>
      <c r="H139" s="17" t="str">
        <f t="shared" ref="H139:H197" si="24">IF(D139="","",F139*G139)</f>
        <v/>
      </c>
      <c r="I139" s="18"/>
      <c r="J139" s="61"/>
      <c r="K139" s="399"/>
      <c r="L139" s="420" t="str">
        <f t="shared" ref="L139:L197" si="25">IF(J139="","",F139*K139)</f>
        <v/>
      </c>
      <c r="M139" s="401" t="str">
        <f t="shared" ref="M139:M198" si="26">IF(J139="","",IF(SUM(H139)=0,"",L139/H139))</f>
        <v/>
      </c>
    </row>
    <row r="140" spans="2:13" x14ac:dyDescent="0.25">
      <c r="B140" s="46"/>
      <c r="C140" s="14"/>
      <c r="D140" s="15"/>
      <c r="E140" s="15"/>
      <c r="F140" s="15"/>
      <c r="G140" s="64"/>
      <c r="H140" s="17" t="str">
        <f t="shared" si="24"/>
        <v/>
      </c>
      <c r="I140" s="18"/>
      <c r="J140" s="61"/>
      <c r="K140" s="399"/>
      <c r="L140" s="420" t="str">
        <f t="shared" si="25"/>
        <v/>
      </c>
      <c r="M140" s="401" t="str">
        <f t="shared" si="26"/>
        <v/>
      </c>
    </row>
    <row r="141" spans="2:13" ht="11.9" customHeight="1" x14ac:dyDescent="0.25">
      <c r="B141" s="46"/>
      <c r="C141" s="14"/>
      <c r="D141" s="15"/>
      <c r="E141" s="15"/>
      <c r="F141" s="15"/>
      <c r="G141" s="64"/>
      <c r="H141" s="17" t="str">
        <f t="shared" si="24"/>
        <v/>
      </c>
      <c r="I141" s="18"/>
      <c r="J141" s="61"/>
      <c r="K141" s="399"/>
      <c r="L141" s="420" t="str">
        <f t="shared" si="25"/>
        <v/>
      </c>
      <c r="M141" s="401" t="str">
        <f t="shared" si="26"/>
        <v/>
      </c>
    </row>
    <row r="142" spans="2:13" x14ac:dyDescent="0.25">
      <c r="B142" s="46"/>
      <c r="C142" s="14"/>
      <c r="D142" s="15"/>
      <c r="E142" s="15"/>
      <c r="F142" s="15"/>
      <c r="G142" s="64"/>
      <c r="H142" s="17" t="str">
        <f t="shared" si="24"/>
        <v/>
      </c>
      <c r="I142" s="18"/>
      <c r="J142" s="61"/>
      <c r="K142" s="399"/>
      <c r="L142" s="420" t="str">
        <f t="shared" si="25"/>
        <v/>
      </c>
      <c r="M142" s="401" t="str">
        <f t="shared" si="26"/>
        <v/>
      </c>
    </row>
    <row r="143" spans="2:13" ht="11.9" customHeight="1" x14ac:dyDescent="0.25">
      <c r="B143" s="46"/>
      <c r="C143" s="14"/>
      <c r="D143" s="15"/>
      <c r="E143" s="15"/>
      <c r="F143" s="15"/>
      <c r="G143" s="64"/>
      <c r="H143" s="17" t="str">
        <f t="shared" si="24"/>
        <v/>
      </c>
      <c r="I143" s="18"/>
      <c r="J143" s="61"/>
      <c r="K143" s="400"/>
      <c r="L143" s="420" t="str">
        <f t="shared" si="25"/>
        <v/>
      </c>
      <c r="M143" s="401" t="str">
        <f t="shared" si="26"/>
        <v/>
      </c>
    </row>
    <row r="144" spans="2:13" x14ac:dyDescent="0.25">
      <c r="B144" s="46"/>
      <c r="C144" s="14"/>
      <c r="D144" s="15"/>
      <c r="E144" s="15"/>
      <c r="F144" s="15"/>
      <c r="G144" s="64"/>
      <c r="H144" s="17" t="str">
        <f t="shared" si="24"/>
        <v/>
      </c>
      <c r="I144" s="18"/>
      <c r="J144" s="61"/>
      <c r="K144" s="399"/>
      <c r="L144" s="420" t="str">
        <f t="shared" si="25"/>
        <v/>
      </c>
      <c r="M144" s="401" t="str">
        <f t="shared" si="26"/>
        <v/>
      </c>
    </row>
    <row r="145" spans="2:13" ht="11.9" customHeight="1" x14ac:dyDescent="0.25">
      <c r="B145" s="46"/>
      <c r="C145" s="14"/>
      <c r="D145" s="15"/>
      <c r="E145" s="15"/>
      <c r="F145" s="15"/>
      <c r="G145" s="64"/>
      <c r="H145" s="17" t="str">
        <f t="shared" si="24"/>
        <v/>
      </c>
      <c r="I145" s="18"/>
      <c r="J145" s="61"/>
      <c r="K145" s="399"/>
      <c r="L145" s="420" t="str">
        <f t="shared" si="25"/>
        <v/>
      </c>
      <c r="M145" s="401" t="str">
        <f t="shared" si="26"/>
        <v/>
      </c>
    </row>
    <row r="146" spans="2:13" x14ac:dyDescent="0.25">
      <c r="B146" s="46"/>
      <c r="C146" s="14"/>
      <c r="D146" s="15"/>
      <c r="E146" s="15"/>
      <c r="F146" s="15"/>
      <c r="G146" s="64"/>
      <c r="H146" s="17" t="str">
        <f t="shared" si="24"/>
        <v/>
      </c>
      <c r="I146" s="18"/>
      <c r="J146" s="61"/>
      <c r="K146" s="399"/>
      <c r="L146" s="420" t="str">
        <f t="shared" si="25"/>
        <v/>
      </c>
      <c r="M146" s="401" t="str">
        <f t="shared" si="26"/>
        <v/>
      </c>
    </row>
    <row r="147" spans="2:13" ht="11.9" customHeight="1" x14ac:dyDescent="0.25">
      <c r="B147" s="46"/>
      <c r="C147" s="14"/>
      <c r="D147" s="15"/>
      <c r="E147" s="15"/>
      <c r="F147" s="15"/>
      <c r="G147" s="64"/>
      <c r="H147" s="17" t="str">
        <f t="shared" si="24"/>
        <v/>
      </c>
      <c r="I147" s="18"/>
      <c r="J147" s="61"/>
      <c r="K147" s="402"/>
      <c r="L147" s="420" t="str">
        <f t="shared" si="25"/>
        <v/>
      </c>
      <c r="M147" s="401" t="str">
        <f t="shared" si="26"/>
        <v/>
      </c>
    </row>
    <row r="148" spans="2:13" x14ac:dyDescent="0.25">
      <c r="B148" s="46"/>
      <c r="C148" s="14"/>
      <c r="D148" s="15"/>
      <c r="E148" s="15"/>
      <c r="F148" s="15"/>
      <c r="G148" s="64"/>
      <c r="H148" s="17" t="str">
        <f t="shared" si="24"/>
        <v/>
      </c>
      <c r="I148" s="18"/>
      <c r="J148" s="61"/>
      <c r="K148" s="402"/>
      <c r="L148" s="420" t="str">
        <f t="shared" si="25"/>
        <v/>
      </c>
      <c r="M148" s="401" t="str">
        <f t="shared" si="26"/>
        <v/>
      </c>
    </row>
    <row r="149" spans="2:13" ht="11.9" customHeight="1" x14ac:dyDescent="0.25">
      <c r="B149" s="46"/>
      <c r="C149" s="14"/>
      <c r="D149" s="15"/>
      <c r="E149" s="15"/>
      <c r="F149" s="15"/>
      <c r="G149" s="64"/>
      <c r="H149" s="17" t="str">
        <f t="shared" si="24"/>
        <v/>
      </c>
      <c r="I149" s="18"/>
      <c r="J149" s="61"/>
      <c r="K149" s="402"/>
      <c r="L149" s="420" t="str">
        <f t="shared" si="25"/>
        <v/>
      </c>
      <c r="M149" s="401" t="str">
        <f t="shared" si="26"/>
        <v/>
      </c>
    </row>
    <row r="150" spans="2:13" x14ac:dyDescent="0.25">
      <c r="B150" s="46"/>
      <c r="C150" s="14"/>
      <c r="D150" s="15"/>
      <c r="E150" s="15"/>
      <c r="F150" s="15"/>
      <c r="G150" s="64"/>
      <c r="H150" s="17" t="str">
        <f t="shared" si="24"/>
        <v/>
      </c>
      <c r="I150" s="18"/>
      <c r="J150" s="61"/>
      <c r="K150" s="402"/>
      <c r="L150" s="420" t="str">
        <f t="shared" si="25"/>
        <v/>
      </c>
      <c r="M150" s="401" t="str">
        <f t="shared" si="26"/>
        <v/>
      </c>
    </row>
    <row r="151" spans="2:13" ht="11.9" customHeight="1" x14ac:dyDescent="0.25">
      <c r="B151" s="46"/>
      <c r="C151" s="14"/>
      <c r="D151" s="15"/>
      <c r="E151" s="15"/>
      <c r="F151" s="15"/>
      <c r="G151" s="64"/>
      <c r="H151" s="17" t="str">
        <f t="shared" si="24"/>
        <v/>
      </c>
      <c r="I151" s="18"/>
      <c r="J151" s="61"/>
      <c r="K151" s="402"/>
      <c r="L151" s="420" t="str">
        <f t="shared" si="25"/>
        <v/>
      </c>
      <c r="M151" s="401" t="str">
        <f t="shared" si="26"/>
        <v/>
      </c>
    </row>
    <row r="152" spans="2:13" x14ac:dyDescent="0.25">
      <c r="B152" s="46"/>
      <c r="C152" s="14"/>
      <c r="D152" s="15"/>
      <c r="E152" s="15"/>
      <c r="F152" s="15"/>
      <c r="G152" s="64"/>
      <c r="H152" s="17" t="str">
        <f t="shared" si="24"/>
        <v/>
      </c>
      <c r="I152" s="18"/>
      <c r="J152" s="61"/>
      <c r="K152" s="402"/>
      <c r="L152" s="420" t="str">
        <f t="shared" si="25"/>
        <v/>
      </c>
      <c r="M152" s="401" t="str">
        <f t="shared" si="26"/>
        <v/>
      </c>
    </row>
    <row r="153" spans="2:13" ht="11.9" customHeight="1" x14ac:dyDescent="0.25">
      <c r="B153" s="46"/>
      <c r="C153" s="14"/>
      <c r="D153" s="15"/>
      <c r="E153" s="15"/>
      <c r="F153" s="15"/>
      <c r="G153" s="64"/>
      <c r="H153" s="17" t="str">
        <f t="shared" si="24"/>
        <v/>
      </c>
      <c r="I153" s="18"/>
      <c r="J153" s="61"/>
      <c r="K153" s="399"/>
      <c r="L153" s="420" t="str">
        <f t="shared" si="25"/>
        <v/>
      </c>
      <c r="M153" s="401" t="str">
        <f t="shared" si="26"/>
        <v/>
      </c>
    </row>
    <row r="154" spans="2:13" x14ac:dyDescent="0.25">
      <c r="B154" s="46"/>
      <c r="C154" s="14"/>
      <c r="D154" s="15"/>
      <c r="E154" s="15"/>
      <c r="F154" s="15"/>
      <c r="G154" s="64"/>
      <c r="H154" s="17" t="str">
        <f t="shared" si="24"/>
        <v/>
      </c>
      <c r="I154" s="18"/>
      <c r="J154" s="61"/>
      <c r="K154" s="399"/>
      <c r="L154" s="420" t="str">
        <f t="shared" si="25"/>
        <v/>
      </c>
      <c r="M154" s="401" t="str">
        <f t="shared" si="26"/>
        <v/>
      </c>
    </row>
    <row r="155" spans="2:13" ht="11.9" customHeight="1" x14ac:dyDescent="0.25">
      <c r="B155" s="46"/>
      <c r="C155" s="14"/>
      <c r="D155" s="15"/>
      <c r="E155" s="15"/>
      <c r="F155" s="15"/>
      <c r="G155" s="64"/>
      <c r="H155" s="17" t="str">
        <f t="shared" si="24"/>
        <v/>
      </c>
      <c r="I155" s="18"/>
      <c r="J155" s="61"/>
      <c r="K155" s="400"/>
      <c r="L155" s="420" t="str">
        <f t="shared" si="25"/>
        <v/>
      </c>
      <c r="M155" s="401" t="str">
        <f t="shared" si="26"/>
        <v/>
      </c>
    </row>
    <row r="156" spans="2:13" x14ac:dyDescent="0.25">
      <c r="B156" s="46"/>
      <c r="C156" s="14"/>
      <c r="D156" s="15"/>
      <c r="E156" s="15"/>
      <c r="F156" s="15"/>
      <c r="G156" s="64"/>
      <c r="H156" s="17" t="str">
        <f t="shared" si="24"/>
        <v/>
      </c>
      <c r="I156" s="18"/>
      <c r="J156" s="61"/>
      <c r="K156" s="399"/>
      <c r="L156" s="420" t="str">
        <f t="shared" si="25"/>
        <v/>
      </c>
      <c r="M156" s="401" t="str">
        <f t="shared" si="26"/>
        <v/>
      </c>
    </row>
    <row r="157" spans="2:13" ht="11.9" customHeight="1" x14ac:dyDescent="0.25">
      <c r="B157" s="46"/>
      <c r="C157" s="14"/>
      <c r="D157" s="15"/>
      <c r="E157" s="15"/>
      <c r="F157" s="15"/>
      <c r="G157" s="64"/>
      <c r="H157" s="17" t="str">
        <f t="shared" si="24"/>
        <v/>
      </c>
      <c r="I157" s="18"/>
      <c r="J157" s="61"/>
      <c r="K157" s="399"/>
      <c r="L157" s="420" t="str">
        <f t="shared" si="25"/>
        <v/>
      </c>
      <c r="M157" s="401" t="str">
        <f t="shared" si="26"/>
        <v/>
      </c>
    </row>
    <row r="158" spans="2:13" x14ac:dyDescent="0.25">
      <c r="B158" s="46"/>
      <c r="C158" s="14"/>
      <c r="D158" s="15"/>
      <c r="E158" s="15"/>
      <c r="F158" s="15"/>
      <c r="G158" s="64"/>
      <c r="H158" s="17" t="str">
        <f t="shared" si="24"/>
        <v/>
      </c>
      <c r="I158" s="18"/>
      <c r="J158" s="61"/>
      <c r="K158" s="399"/>
      <c r="L158" s="420" t="str">
        <f t="shared" si="25"/>
        <v/>
      </c>
      <c r="M158" s="401" t="str">
        <f t="shared" si="26"/>
        <v/>
      </c>
    </row>
    <row r="159" spans="2:13" ht="11.9" customHeight="1" x14ac:dyDescent="0.25">
      <c r="B159" s="46"/>
      <c r="C159" s="14"/>
      <c r="D159" s="15"/>
      <c r="E159" s="15"/>
      <c r="F159" s="15"/>
      <c r="G159" s="64"/>
      <c r="H159" s="17" t="str">
        <f t="shared" si="24"/>
        <v/>
      </c>
      <c r="I159" s="18"/>
      <c r="J159" s="61"/>
      <c r="K159" s="399"/>
      <c r="L159" s="420" t="str">
        <f t="shared" si="25"/>
        <v/>
      </c>
      <c r="M159" s="401" t="str">
        <f t="shared" si="26"/>
        <v/>
      </c>
    </row>
    <row r="160" spans="2:13" x14ac:dyDescent="0.25">
      <c r="B160" s="46"/>
      <c r="C160" s="14"/>
      <c r="D160" s="15"/>
      <c r="E160" s="15"/>
      <c r="F160" s="15"/>
      <c r="G160" s="64"/>
      <c r="H160" s="17" t="str">
        <f t="shared" si="24"/>
        <v/>
      </c>
      <c r="I160" s="18"/>
      <c r="J160" s="61"/>
      <c r="K160" s="399"/>
      <c r="L160" s="420" t="str">
        <f t="shared" si="25"/>
        <v/>
      </c>
      <c r="M160" s="401" t="str">
        <f t="shared" si="26"/>
        <v/>
      </c>
    </row>
    <row r="161" spans="2:13" ht="11.9" customHeight="1" x14ac:dyDescent="0.25">
      <c r="B161" s="46"/>
      <c r="C161" s="14"/>
      <c r="D161" s="15"/>
      <c r="E161" s="15"/>
      <c r="F161" s="15"/>
      <c r="G161" s="64"/>
      <c r="H161" s="17" t="str">
        <f t="shared" si="24"/>
        <v/>
      </c>
      <c r="I161" s="18"/>
      <c r="J161" s="61"/>
      <c r="K161" s="400"/>
      <c r="L161" s="420" t="str">
        <f t="shared" si="25"/>
        <v/>
      </c>
      <c r="M161" s="401" t="str">
        <f t="shared" si="26"/>
        <v/>
      </c>
    </row>
    <row r="162" spans="2:13" x14ac:dyDescent="0.25">
      <c r="B162" s="46"/>
      <c r="C162" s="14"/>
      <c r="D162" s="15"/>
      <c r="E162" s="15"/>
      <c r="F162" s="15"/>
      <c r="G162" s="64"/>
      <c r="H162" s="17" t="str">
        <f t="shared" si="24"/>
        <v/>
      </c>
      <c r="I162" s="18"/>
      <c r="J162" s="61"/>
      <c r="K162" s="399"/>
      <c r="L162" s="420" t="str">
        <f t="shared" si="25"/>
        <v/>
      </c>
      <c r="M162" s="401" t="str">
        <f t="shared" si="26"/>
        <v/>
      </c>
    </row>
    <row r="163" spans="2:13" ht="11.9" customHeight="1" x14ac:dyDescent="0.25">
      <c r="B163" s="46"/>
      <c r="C163" s="14"/>
      <c r="D163" s="15"/>
      <c r="E163" s="15"/>
      <c r="F163" s="15"/>
      <c r="G163" s="64"/>
      <c r="H163" s="17" t="str">
        <f t="shared" si="24"/>
        <v/>
      </c>
      <c r="I163" s="18"/>
      <c r="J163" s="61"/>
      <c r="K163" s="399"/>
      <c r="L163" s="420" t="str">
        <f t="shared" si="25"/>
        <v/>
      </c>
      <c r="M163" s="401" t="str">
        <f t="shared" si="26"/>
        <v/>
      </c>
    </row>
    <row r="164" spans="2:13" x14ac:dyDescent="0.25">
      <c r="B164" s="46"/>
      <c r="C164" s="14"/>
      <c r="D164" s="15"/>
      <c r="E164" s="15"/>
      <c r="F164" s="15"/>
      <c r="G164" s="64"/>
      <c r="H164" s="17" t="str">
        <f t="shared" si="24"/>
        <v/>
      </c>
      <c r="I164" s="18"/>
      <c r="J164" s="61"/>
      <c r="K164" s="399"/>
      <c r="L164" s="420" t="str">
        <f t="shared" si="25"/>
        <v/>
      </c>
      <c r="M164" s="401" t="str">
        <f t="shared" si="26"/>
        <v/>
      </c>
    </row>
    <row r="165" spans="2:13" ht="11.9" customHeight="1" x14ac:dyDescent="0.25">
      <c r="B165" s="46"/>
      <c r="C165" s="14"/>
      <c r="D165" s="15"/>
      <c r="E165" s="15"/>
      <c r="F165" s="15"/>
      <c r="G165" s="64"/>
      <c r="H165" s="17" t="str">
        <f t="shared" si="24"/>
        <v/>
      </c>
      <c r="I165" s="18"/>
      <c r="J165" s="61"/>
      <c r="K165" s="399"/>
      <c r="L165" s="420" t="str">
        <f t="shared" si="25"/>
        <v/>
      </c>
      <c r="M165" s="401" t="str">
        <f t="shared" si="26"/>
        <v/>
      </c>
    </row>
    <row r="166" spans="2:13" x14ac:dyDescent="0.25">
      <c r="B166" s="46"/>
      <c r="C166" s="14"/>
      <c r="D166" s="15"/>
      <c r="E166" s="15"/>
      <c r="F166" s="15"/>
      <c r="G166" s="64"/>
      <c r="H166" s="17" t="str">
        <f t="shared" si="24"/>
        <v/>
      </c>
      <c r="I166" s="18"/>
      <c r="J166" s="61"/>
      <c r="K166" s="399"/>
      <c r="L166" s="420" t="str">
        <f t="shared" si="25"/>
        <v/>
      </c>
      <c r="M166" s="401" t="str">
        <f t="shared" si="26"/>
        <v/>
      </c>
    </row>
    <row r="167" spans="2:13" ht="11.9" customHeight="1" x14ac:dyDescent="0.25">
      <c r="B167" s="46"/>
      <c r="C167" s="14"/>
      <c r="D167" s="15"/>
      <c r="E167" s="15"/>
      <c r="F167" s="15"/>
      <c r="G167" s="64"/>
      <c r="H167" s="17" t="str">
        <f t="shared" si="24"/>
        <v/>
      </c>
      <c r="I167" s="18"/>
      <c r="J167" s="61"/>
      <c r="K167" s="399"/>
      <c r="L167" s="420" t="str">
        <f t="shared" si="25"/>
        <v/>
      </c>
      <c r="M167" s="401" t="str">
        <f t="shared" si="26"/>
        <v/>
      </c>
    </row>
    <row r="168" spans="2:13" x14ac:dyDescent="0.25">
      <c r="B168" s="46"/>
      <c r="C168" s="14"/>
      <c r="D168" s="15"/>
      <c r="E168" s="15"/>
      <c r="F168" s="15"/>
      <c r="G168" s="64"/>
      <c r="H168" s="17" t="str">
        <f t="shared" si="24"/>
        <v/>
      </c>
      <c r="I168" s="18"/>
      <c r="J168" s="61"/>
      <c r="K168" s="399"/>
      <c r="L168" s="420" t="str">
        <f t="shared" si="25"/>
        <v/>
      </c>
      <c r="M168" s="401" t="str">
        <f t="shared" si="26"/>
        <v/>
      </c>
    </row>
    <row r="169" spans="2:13" ht="11.9" customHeight="1" x14ac:dyDescent="0.25">
      <c r="B169" s="46"/>
      <c r="C169" s="14"/>
      <c r="D169" s="15"/>
      <c r="E169" s="15"/>
      <c r="F169" s="15"/>
      <c r="G169" s="64"/>
      <c r="H169" s="17" t="str">
        <f t="shared" si="24"/>
        <v/>
      </c>
      <c r="I169" s="18"/>
      <c r="J169" s="61"/>
      <c r="K169" s="399"/>
      <c r="L169" s="420" t="str">
        <f t="shared" si="25"/>
        <v/>
      </c>
      <c r="M169" s="401" t="str">
        <f t="shared" si="26"/>
        <v/>
      </c>
    </row>
    <row r="170" spans="2:13" x14ac:dyDescent="0.25">
      <c r="B170" s="46"/>
      <c r="C170" s="14"/>
      <c r="D170" s="15"/>
      <c r="E170" s="15"/>
      <c r="F170" s="15"/>
      <c r="G170" s="64"/>
      <c r="H170" s="17" t="str">
        <f t="shared" si="24"/>
        <v/>
      </c>
      <c r="I170" s="18"/>
      <c r="J170" s="61"/>
      <c r="K170" s="399"/>
      <c r="L170" s="420" t="str">
        <f t="shared" si="25"/>
        <v/>
      </c>
      <c r="M170" s="401" t="str">
        <f t="shared" si="26"/>
        <v/>
      </c>
    </row>
    <row r="171" spans="2:13" ht="11.9" customHeight="1" x14ac:dyDescent="0.25">
      <c r="B171" s="46"/>
      <c r="C171" s="14"/>
      <c r="D171" s="15"/>
      <c r="E171" s="15"/>
      <c r="F171" s="15"/>
      <c r="G171" s="64"/>
      <c r="H171" s="17" t="str">
        <f t="shared" si="24"/>
        <v/>
      </c>
      <c r="I171" s="18"/>
      <c r="J171" s="61"/>
      <c r="K171" s="399"/>
      <c r="L171" s="420" t="str">
        <f t="shared" si="25"/>
        <v/>
      </c>
      <c r="M171" s="401" t="str">
        <f t="shared" si="26"/>
        <v/>
      </c>
    </row>
    <row r="172" spans="2:13" ht="13.5" customHeight="1" x14ac:dyDescent="0.25">
      <c r="B172" s="46"/>
      <c r="C172" s="14"/>
      <c r="D172" s="15"/>
      <c r="E172" s="15"/>
      <c r="F172" s="15"/>
      <c r="G172" s="64"/>
      <c r="H172" s="17" t="str">
        <f t="shared" si="24"/>
        <v/>
      </c>
      <c r="I172" s="18"/>
      <c r="J172" s="61"/>
      <c r="K172" s="399"/>
      <c r="L172" s="420" t="str">
        <f t="shared" si="25"/>
        <v/>
      </c>
      <c r="M172" s="401" t="str">
        <f t="shared" si="26"/>
        <v/>
      </c>
    </row>
    <row r="173" spans="2:13" ht="11.9" customHeight="1" x14ac:dyDescent="0.25">
      <c r="B173" s="46"/>
      <c r="C173" s="14"/>
      <c r="D173" s="15"/>
      <c r="E173" s="15"/>
      <c r="F173" s="15"/>
      <c r="G173" s="64"/>
      <c r="H173" s="17" t="str">
        <f t="shared" si="24"/>
        <v/>
      </c>
      <c r="I173" s="18"/>
      <c r="J173" s="61"/>
      <c r="K173" s="402"/>
      <c r="L173" s="420" t="str">
        <f t="shared" si="25"/>
        <v/>
      </c>
      <c r="M173" s="401" t="str">
        <f t="shared" si="26"/>
        <v/>
      </c>
    </row>
    <row r="174" spans="2:13" x14ac:dyDescent="0.25">
      <c r="B174" s="46"/>
      <c r="C174" s="14"/>
      <c r="D174" s="15"/>
      <c r="E174" s="15"/>
      <c r="F174" s="15"/>
      <c r="G174" s="64"/>
      <c r="H174" s="17" t="str">
        <f t="shared" si="24"/>
        <v/>
      </c>
      <c r="I174" s="18"/>
      <c r="J174" s="61"/>
      <c r="K174" s="399"/>
      <c r="L174" s="420" t="str">
        <f t="shared" si="25"/>
        <v/>
      </c>
      <c r="M174" s="401" t="str">
        <f t="shared" si="26"/>
        <v/>
      </c>
    </row>
    <row r="175" spans="2:13" ht="11.9" customHeight="1" x14ac:dyDescent="0.25">
      <c r="B175" s="46"/>
      <c r="C175" s="14"/>
      <c r="D175" s="15"/>
      <c r="E175" s="15"/>
      <c r="F175" s="15"/>
      <c r="G175" s="64"/>
      <c r="H175" s="17" t="str">
        <f t="shared" si="24"/>
        <v/>
      </c>
      <c r="I175" s="18"/>
      <c r="J175" s="61"/>
      <c r="K175" s="402"/>
      <c r="L175" s="420" t="str">
        <f t="shared" si="25"/>
        <v/>
      </c>
      <c r="M175" s="401" t="str">
        <f t="shared" si="26"/>
        <v/>
      </c>
    </row>
    <row r="176" spans="2:13" x14ac:dyDescent="0.25">
      <c r="B176" s="46"/>
      <c r="C176" s="14"/>
      <c r="D176" s="15"/>
      <c r="E176" s="15"/>
      <c r="F176" s="15"/>
      <c r="G176" s="64"/>
      <c r="H176" s="17" t="str">
        <f t="shared" si="24"/>
        <v/>
      </c>
      <c r="I176" s="18"/>
      <c r="J176" s="62"/>
      <c r="K176" s="62"/>
      <c r="L176" s="420" t="str">
        <f t="shared" si="25"/>
        <v/>
      </c>
      <c r="M176" s="401" t="str">
        <f t="shared" si="26"/>
        <v/>
      </c>
    </row>
    <row r="177" spans="2:13" ht="11.9" customHeight="1" x14ac:dyDescent="0.25">
      <c r="B177" s="46"/>
      <c r="C177" s="14"/>
      <c r="D177" s="15"/>
      <c r="E177" s="15"/>
      <c r="F177" s="15"/>
      <c r="G177" s="64"/>
      <c r="H177" s="17" t="str">
        <f t="shared" si="24"/>
        <v/>
      </c>
      <c r="I177" s="18"/>
      <c r="J177" s="62"/>
      <c r="K177" s="62"/>
      <c r="L177" s="420" t="str">
        <f t="shared" si="25"/>
        <v/>
      </c>
      <c r="M177" s="401" t="str">
        <f t="shared" si="26"/>
        <v/>
      </c>
    </row>
    <row r="178" spans="2:13" x14ac:dyDescent="0.25">
      <c r="B178" s="46"/>
      <c r="C178" s="14"/>
      <c r="D178" s="15"/>
      <c r="E178" s="15"/>
      <c r="F178" s="15"/>
      <c r="G178" s="64"/>
      <c r="H178" s="17" t="str">
        <f t="shared" si="24"/>
        <v/>
      </c>
      <c r="I178" s="18"/>
      <c r="J178" s="62"/>
      <c r="K178" s="62"/>
      <c r="L178" s="420" t="str">
        <f t="shared" si="25"/>
        <v/>
      </c>
      <c r="M178" s="401" t="str">
        <f t="shared" si="26"/>
        <v/>
      </c>
    </row>
    <row r="179" spans="2:13" ht="11.9" customHeight="1" x14ac:dyDescent="0.25">
      <c r="B179" s="46"/>
      <c r="C179" s="14"/>
      <c r="D179" s="15"/>
      <c r="E179" s="15"/>
      <c r="F179" s="15"/>
      <c r="G179" s="64"/>
      <c r="H179" s="17" t="str">
        <f t="shared" si="24"/>
        <v/>
      </c>
      <c r="I179" s="18"/>
      <c r="J179" s="62"/>
      <c r="K179" s="62"/>
      <c r="L179" s="420" t="str">
        <f t="shared" si="25"/>
        <v/>
      </c>
      <c r="M179" s="401" t="str">
        <f t="shared" si="26"/>
        <v/>
      </c>
    </row>
    <row r="180" spans="2:13" x14ac:dyDescent="0.25">
      <c r="B180" s="46"/>
      <c r="C180" s="14"/>
      <c r="D180" s="15"/>
      <c r="E180" s="15"/>
      <c r="F180" s="15"/>
      <c r="G180" s="64"/>
      <c r="H180" s="17" t="str">
        <f t="shared" si="24"/>
        <v/>
      </c>
      <c r="I180" s="18"/>
      <c r="J180" s="62"/>
      <c r="K180" s="62"/>
      <c r="L180" s="420" t="str">
        <f t="shared" si="25"/>
        <v/>
      </c>
      <c r="M180" s="401" t="str">
        <f t="shared" si="26"/>
        <v/>
      </c>
    </row>
    <row r="181" spans="2:13" ht="11.9" customHeight="1" x14ac:dyDescent="0.25">
      <c r="B181" s="46"/>
      <c r="C181" s="14"/>
      <c r="D181" s="15"/>
      <c r="E181" s="15"/>
      <c r="F181" s="15"/>
      <c r="G181" s="64"/>
      <c r="H181" s="17" t="str">
        <f t="shared" si="24"/>
        <v/>
      </c>
      <c r="I181" s="18"/>
      <c r="J181" s="62"/>
      <c r="K181" s="62"/>
      <c r="L181" s="420" t="str">
        <f t="shared" si="25"/>
        <v/>
      </c>
      <c r="M181" s="401" t="str">
        <f t="shared" si="26"/>
        <v/>
      </c>
    </row>
    <row r="182" spans="2:13" x14ac:dyDescent="0.25">
      <c r="B182" s="46"/>
      <c r="C182" s="14"/>
      <c r="D182" s="15"/>
      <c r="E182" s="15"/>
      <c r="F182" s="15"/>
      <c r="G182" s="64"/>
      <c r="H182" s="17" t="str">
        <f t="shared" si="24"/>
        <v/>
      </c>
      <c r="I182" s="18"/>
      <c r="J182" s="62"/>
      <c r="K182" s="62"/>
      <c r="L182" s="420" t="str">
        <f t="shared" si="25"/>
        <v/>
      </c>
      <c r="M182" s="401" t="str">
        <f t="shared" si="26"/>
        <v/>
      </c>
    </row>
    <row r="183" spans="2:13" ht="11.9" customHeight="1" x14ac:dyDescent="0.25">
      <c r="B183" s="46"/>
      <c r="C183" s="14"/>
      <c r="D183" s="15"/>
      <c r="E183" s="15"/>
      <c r="F183" s="15"/>
      <c r="G183" s="64"/>
      <c r="H183" s="17" t="str">
        <f t="shared" si="24"/>
        <v/>
      </c>
      <c r="I183" s="18"/>
      <c r="J183" s="62"/>
      <c r="K183" s="62"/>
      <c r="L183" s="420" t="str">
        <f t="shared" si="25"/>
        <v/>
      </c>
      <c r="M183" s="401" t="str">
        <f t="shared" si="26"/>
        <v/>
      </c>
    </row>
    <row r="184" spans="2:13" x14ac:dyDescent="0.25">
      <c r="B184" s="46"/>
      <c r="C184" s="14"/>
      <c r="D184" s="15"/>
      <c r="E184" s="15"/>
      <c r="F184" s="15"/>
      <c r="G184" s="64"/>
      <c r="H184" s="17" t="str">
        <f t="shared" si="24"/>
        <v/>
      </c>
      <c r="I184" s="18"/>
      <c r="J184" s="62"/>
      <c r="K184" s="62"/>
      <c r="L184" s="420" t="str">
        <f t="shared" si="25"/>
        <v/>
      </c>
      <c r="M184" s="401" t="str">
        <f t="shared" si="26"/>
        <v/>
      </c>
    </row>
    <row r="185" spans="2:13" ht="11.9" customHeight="1" x14ac:dyDescent="0.25">
      <c r="B185" s="46"/>
      <c r="C185" s="14"/>
      <c r="D185" s="15"/>
      <c r="E185" s="15"/>
      <c r="F185" s="15"/>
      <c r="G185" s="64"/>
      <c r="H185" s="17" t="str">
        <f t="shared" si="24"/>
        <v/>
      </c>
      <c r="I185" s="18"/>
      <c r="J185" s="62"/>
      <c r="K185" s="62"/>
      <c r="L185" s="420" t="str">
        <f t="shared" si="25"/>
        <v/>
      </c>
      <c r="M185" s="401" t="str">
        <f t="shared" si="26"/>
        <v/>
      </c>
    </row>
    <row r="186" spans="2:13" x14ac:dyDescent="0.25">
      <c r="B186" s="46"/>
      <c r="C186" s="14"/>
      <c r="D186" s="15"/>
      <c r="E186" s="15"/>
      <c r="F186" s="15"/>
      <c r="G186" s="64"/>
      <c r="H186" s="17" t="str">
        <f t="shared" si="24"/>
        <v/>
      </c>
      <c r="I186" s="18"/>
      <c r="J186" s="62"/>
      <c r="K186" s="62"/>
      <c r="L186" s="420" t="str">
        <f t="shared" si="25"/>
        <v/>
      </c>
      <c r="M186" s="401" t="str">
        <f t="shared" si="26"/>
        <v/>
      </c>
    </row>
    <row r="187" spans="2:13" ht="11.9" customHeight="1" x14ac:dyDescent="0.25">
      <c r="B187" s="46"/>
      <c r="C187" s="14"/>
      <c r="D187" s="15"/>
      <c r="E187" s="15"/>
      <c r="F187" s="15"/>
      <c r="G187" s="64"/>
      <c r="H187" s="17" t="str">
        <f t="shared" si="24"/>
        <v/>
      </c>
      <c r="I187" s="18"/>
      <c r="J187" s="62"/>
      <c r="K187" s="62"/>
      <c r="L187" s="420" t="str">
        <f t="shared" si="25"/>
        <v/>
      </c>
      <c r="M187" s="401" t="str">
        <f t="shared" si="26"/>
        <v/>
      </c>
    </row>
    <row r="188" spans="2:13" x14ac:dyDescent="0.25">
      <c r="B188" s="46"/>
      <c r="C188" s="14"/>
      <c r="D188" s="15"/>
      <c r="E188" s="15"/>
      <c r="F188" s="15"/>
      <c r="G188" s="64"/>
      <c r="H188" s="17" t="str">
        <f t="shared" si="24"/>
        <v/>
      </c>
      <c r="I188" s="18"/>
      <c r="J188" s="61"/>
      <c r="K188" s="62"/>
      <c r="L188" s="420" t="str">
        <f t="shared" si="25"/>
        <v/>
      </c>
      <c r="M188" s="401" t="str">
        <f t="shared" si="26"/>
        <v/>
      </c>
    </row>
    <row r="189" spans="2:13" ht="11.9" customHeight="1" x14ac:dyDescent="0.25">
      <c r="B189" s="46"/>
      <c r="C189" s="14"/>
      <c r="D189" s="15"/>
      <c r="E189" s="15"/>
      <c r="F189" s="15"/>
      <c r="G189" s="64"/>
      <c r="H189" s="17" t="str">
        <f t="shared" si="24"/>
        <v/>
      </c>
      <c r="I189" s="18"/>
      <c r="J189" s="62"/>
      <c r="K189" s="62"/>
      <c r="L189" s="420" t="str">
        <f t="shared" si="25"/>
        <v/>
      </c>
      <c r="M189" s="401" t="str">
        <f t="shared" si="26"/>
        <v/>
      </c>
    </row>
    <row r="190" spans="2:13" x14ac:dyDescent="0.25">
      <c r="B190" s="46"/>
      <c r="C190" s="14"/>
      <c r="D190" s="15"/>
      <c r="E190" s="15"/>
      <c r="F190" s="15"/>
      <c r="G190" s="64"/>
      <c r="H190" s="17" t="str">
        <f t="shared" si="24"/>
        <v/>
      </c>
      <c r="I190" s="18"/>
      <c r="J190" s="62"/>
      <c r="K190" s="62"/>
      <c r="L190" s="420" t="str">
        <f t="shared" si="25"/>
        <v/>
      </c>
      <c r="M190" s="401" t="str">
        <f t="shared" si="26"/>
        <v/>
      </c>
    </row>
    <row r="191" spans="2:13" ht="11.9" customHeight="1" x14ac:dyDescent="0.25">
      <c r="B191" s="46"/>
      <c r="C191" s="14"/>
      <c r="D191" s="15"/>
      <c r="E191" s="15"/>
      <c r="F191" s="15"/>
      <c r="G191" s="64"/>
      <c r="H191" s="17" t="str">
        <f t="shared" si="24"/>
        <v/>
      </c>
      <c r="I191" s="18"/>
      <c r="J191" s="61"/>
      <c r="K191" s="62"/>
      <c r="L191" s="420" t="str">
        <f t="shared" si="25"/>
        <v/>
      </c>
      <c r="M191" s="401" t="str">
        <f t="shared" si="26"/>
        <v/>
      </c>
    </row>
    <row r="192" spans="2:13" x14ac:dyDescent="0.25">
      <c r="B192" s="46"/>
      <c r="C192" s="14"/>
      <c r="D192" s="15"/>
      <c r="E192" s="15"/>
      <c r="F192" s="15"/>
      <c r="G192" s="64"/>
      <c r="H192" s="17" t="str">
        <f t="shared" si="24"/>
        <v/>
      </c>
      <c r="I192" s="18"/>
      <c r="J192" s="62"/>
      <c r="K192" s="62"/>
      <c r="L192" s="62" t="str">
        <f t="shared" si="25"/>
        <v/>
      </c>
      <c r="M192" s="62" t="str">
        <f t="shared" si="26"/>
        <v/>
      </c>
    </row>
    <row r="193" spans="2:13" ht="11.9" customHeight="1" x14ac:dyDescent="0.25">
      <c r="B193" s="46"/>
      <c r="C193" s="14"/>
      <c r="D193" s="15"/>
      <c r="E193" s="15"/>
      <c r="F193" s="15"/>
      <c r="G193" s="64"/>
      <c r="H193" s="17" t="str">
        <f t="shared" si="24"/>
        <v/>
      </c>
      <c r="I193" s="18"/>
      <c r="J193" s="62"/>
      <c r="K193" s="62"/>
      <c r="L193" s="62" t="str">
        <f t="shared" si="25"/>
        <v/>
      </c>
      <c r="M193" s="62" t="str">
        <f t="shared" si="26"/>
        <v/>
      </c>
    </row>
    <row r="194" spans="2:13" x14ac:dyDescent="0.25">
      <c r="B194" s="46"/>
      <c r="C194" s="14"/>
      <c r="D194" s="15"/>
      <c r="E194" s="15"/>
      <c r="F194" s="15"/>
      <c r="G194" s="64"/>
      <c r="H194" s="17" t="str">
        <f t="shared" si="24"/>
        <v/>
      </c>
      <c r="I194" s="18"/>
      <c r="J194" s="62"/>
      <c r="K194" s="62"/>
      <c r="L194" s="62" t="str">
        <f t="shared" si="25"/>
        <v/>
      </c>
      <c r="M194" s="62" t="str">
        <f t="shared" si="26"/>
        <v/>
      </c>
    </row>
    <row r="195" spans="2:13" ht="11.9" customHeight="1" x14ac:dyDescent="0.25">
      <c r="B195" s="46"/>
      <c r="C195" s="14"/>
      <c r="D195" s="15"/>
      <c r="E195" s="15"/>
      <c r="F195" s="15"/>
      <c r="G195" s="64"/>
      <c r="H195" s="17" t="str">
        <f t="shared" si="24"/>
        <v/>
      </c>
      <c r="I195" s="18"/>
      <c r="J195" s="62"/>
      <c r="K195" s="62"/>
      <c r="L195" s="62" t="str">
        <f t="shared" si="25"/>
        <v/>
      </c>
      <c r="M195" s="62" t="str">
        <f t="shared" si="26"/>
        <v/>
      </c>
    </row>
    <row r="196" spans="2:13" x14ac:dyDescent="0.25">
      <c r="B196" s="46"/>
      <c r="C196" s="14"/>
      <c r="D196" s="15"/>
      <c r="E196" s="15"/>
      <c r="F196" s="15"/>
      <c r="G196" s="64"/>
      <c r="H196" s="17" t="str">
        <f t="shared" si="24"/>
        <v/>
      </c>
      <c r="I196" s="18"/>
      <c r="J196" s="61"/>
      <c r="K196" s="695"/>
      <c r="L196" s="420" t="str">
        <f t="shared" si="25"/>
        <v/>
      </c>
      <c r="M196" s="401" t="str">
        <f t="shared" si="26"/>
        <v/>
      </c>
    </row>
    <row r="197" spans="2:13" ht="11.9" customHeight="1" x14ac:dyDescent="0.25">
      <c r="B197" s="46"/>
      <c r="C197" s="14"/>
      <c r="D197" s="15"/>
      <c r="E197" s="15"/>
      <c r="F197" s="15"/>
      <c r="G197" s="64"/>
      <c r="H197" s="17" t="str">
        <f t="shared" si="24"/>
        <v/>
      </c>
      <c r="I197" s="18"/>
      <c r="J197" s="61"/>
      <c r="K197" s="696"/>
      <c r="L197" s="420" t="str">
        <f t="shared" si="25"/>
        <v/>
      </c>
      <c r="M197" s="401" t="str">
        <f t="shared" si="26"/>
        <v/>
      </c>
    </row>
    <row r="198" spans="2:13" s="28" customFormat="1" ht="24.75" customHeight="1" x14ac:dyDescent="0.25">
      <c r="B198" s="144" t="str">
        <f>$B$12</f>
        <v>C13.1</v>
      </c>
      <c r="C198" s="30" t="s">
        <v>791</v>
      </c>
      <c r="D198" s="31"/>
      <c r="E198" s="31"/>
      <c r="F198" s="32"/>
      <c r="G198" s="31"/>
      <c r="H198" s="33">
        <f>SUM(H138:H197)</f>
        <v>0</v>
      </c>
      <c r="I198" s="34"/>
      <c r="J198" s="408"/>
      <c r="K198" s="406"/>
      <c r="L198" s="418">
        <f>SUM(L138:L197)</f>
        <v>19024.800000000003</v>
      </c>
      <c r="M198" s="407" t="str">
        <f t="shared" si="26"/>
        <v/>
      </c>
    </row>
  </sheetData>
  <mergeCells count="21">
    <mergeCell ref="F3:H3"/>
    <mergeCell ref="B6:G6"/>
    <mergeCell ref="H6:H9"/>
    <mergeCell ref="B65:D65"/>
    <mergeCell ref="F65:H67"/>
    <mergeCell ref="B66:D66"/>
    <mergeCell ref="B67:D67"/>
    <mergeCell ref="B7:G7"/>
    <mergeCell ref="B8:G8"/>
    <mergeCell ref="B133:G133"/>
    <mergeCell ref="H133:H136"/>
    <mergeCell ref="B68:G68"/>
    <mergeCell ref="H68:H71"/>
    <mergeCell ref="B130:D130"/>
    <mergeCell ref="F130:H132"/>
    <mergeCell ref="B131:D131"/>
    <mergeCell ref="B132:D132"/>
    <mergeCell ref="B69:G69"/>
    <mergeCell ref="B70:G70"/>
    <mergeCell ref="B134:G134"/>
    <mergeCell ref="B135:G135"/>
  </mergeCells>
  <conditionalFormatting sqref="G11:H64">
    <cfRule type="expression" dxfId="61" priority="1">
      <formula>AND(_Show_Price=FALSE,$D11&lt;&gt;"PC Sum",$D11&lt;&gt;"P C Sum",$D11&lt;&gt;"Prov Sum",$D11&lt;&gt;"P Sum")</formula>
    </cfRule>
  </conditionalFormatting>
  <conditionalFormatting sqref="G73:H129 G138:H198">
    <cfRule type="expression" dxfId="60" priority="4">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29">
    <tabColor rgb="FFFFFF00"/>
  </sheetPr>
  <dimension ref="A1:N74"/>
  <sheetViews>
    <sheetView view="pageBreakPreview" zoomScale="90" zoomScaleNormal="125" zoomScaleSheetLayoutView="90" zoomScalePageLayoutView="125" workbookViewId="0">
      <pane ySplit="2" topLeftCell="A6"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MAX(H2:H225)</f>
        <v>0</v>
      </c>
      <c r="I1" s="247">
        <f>MAX(I2:I225)</f>
        <v>0</v>
      </c>
      <c r="J1" s="248"/>
      <c r="K1" s="249"/>
      <c r="L1" s="247">
        <f>MAX(L2:L225)</f>
        <v>134134</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C13.2</v>
      </c>
      <c r="I6" s="6"/>
    </row>
    <row r="7" spans="1:14" ht="31.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33" customHeight="1" x14ac:dyDescent="0.25">
      <c r="B8" s="1152" t="s">
        <v>1774</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6"/>
      <c r="C11" s="65"/>
      <c r="D11" s="15"/>
      <c r="E11" s="15"/>
      <c r="F11" s="15"/>
      <c r="G11" s="411"/>
      <c r="H11" s="17" t="str">
        <f t="shared" ref="H11:H73" si="0">IF(D11="","",F11*G11)</f>
        <v/>
      </c>
      <c r="I11" s="18"/>
      <c r="J11" s="61"/>
      <c r="K11" s="399"/>
      <c r="L11" s="420" t="str">
        <f t="shared" ref="L11" si="1">IF(J11="","",F11*K11)</f>
        <v/>
      </c>
      <c r="M11" s="401" t="str">
        <f t="shared" ref="M11" si="2">IF(J11="","",IF(SUM(H11)=0,"",L11/H11))</f>
        <v/>
      </c>
    </row>
    <row r="12" spans="1:14" ht="26" x14ac:dyDescent="0.25">
      <c r="B12" s="146" t="s">
        <v>312</v>
      </c>
      <c r="C12" s="672" t="s">
        <v>311</v>
      </c>
      <c r="D12" s="15"/>
      <c r="E12" s="15"/>
      <c r="F12" s="15"/>
      <c r="G12" s="411"/>
      <c r="H12" s="17" t="str">
        <f t="shared" si="0"/>
        <v/>
      </c>
      <c r="I12" s="18"/>
      <c r="J12" s="61"/>
      <c r="K12" s="399"/>
      <c r="L12" s="420" t="str">
        <f t="shared" ref="L12:L73" si="3">IF(J12="","",F12*K12)</f>
        <v/>
      </c>
      <c r="M12" s="401" t="str">
        <f t="shared" ref="M12:M73" si="4">IF(J12="","",IF(SUM(H12)=0,"",L12/H12))</f>
        <v/>
      </c>
    </row>
    <row r="13" spans="1:14" x14ac:dyDescent="0.25">
      <c r="B13" s="58"/>
      <c r="C13" s="65"/>
      <c r="D13" s="15"/>
      <c r="E13" s="15"/>
      <c r="F13" s="15"/>
      <c r="G13" s="411"/>
      <c r="H13" s="17" t="str">
        <f t="shared" si="0"/>
        <v/>
      </c>
      <c r="I13" s="18"/>
      <c r="J13" s="61"/>
      <c r="K13" s="399"/>
      <c r="L13" s="420" t="str">
        <f t="shared" si="3"/>
        <v/>
      </c>
      <c r="M13" s="401" t="str">
        <f t="shared" si="4"/>
        <v/>
      </c>
    </row>
    <row r="14" spans="1:14" ht="13" x14ac:dyDescent="0.25">
      <c r="B14" s="146" t="s">
        <v>313</v>
      </c>
      <c r="C14" s="672" t="s">
        <v>1901</v>
      </c>
      <c r="D14" s="15"/>
      <c r="E14" s="15"/>
      <c r="F14" s="24"/>
      <c r="G14" s="411"/>
      <c r="H14" s="17" t="str">
        <f t="shared" si="0"/>
        <v/>
      </c>
      <c r="I14" s="57"/>
      <c r="J14" s="61"/>
      <c r="K14" s="400"/>
      <c r="L14" s="420" t="str">
        <f t="shared" si="3"/>
        <v/>
      </c>
      <c r="M14" s="401" t="str">
        <f t="shared" si="4"/>
        <v/>
      </c>
    </row>
    <row r="15" spans="1:14" x14ac:dyDescent="0.25">
      <c r="B15" s="58"/>
      <c r="C15" s="65"/>
      <c r="D15" s="15"/>
      <c r="E15" s="15"/>
      <c r="F15" s="24"/>
      <c r="G15" s="411"/>
      <c r="H15" s="17" t="str">
        <f t="shared" si="0"/>
        <v/>
      </c>
      <c r="I15" s="57"/>
      <c r="J15" s="61"/>
      <c r="K15" s="399"/>
      <c r="L15" s="420" t="str">
        <f t="shared" si="3"/>
        <v/>
      </c>
      <c r="M15" s="401" t="str">
        <f t="shared" si="4"/>
        <v/>
      </c>
    </row>
    <row r="16" spans="1:14" x14ac:dyDescent="0.25">
      <c r="B16" s="58" t="s">
        <v>39</v>
      </c>
      <c r="C16" s="65" t="s">
        <v>1733</v>
      </c>
      <c r="D16" s="15"/>
      <c r="E16" s="15"/>
      <c r="F16" s="24"/>
      <c r="G16" s="411"/>
      <c r="H16" s="17" t="str">
        <f t="shared" si="0"/>
        <v/>
      </c>
      <c r="I16" s="57"/>
      <c r="J16" s="61"/>
      <c r="K16" s="399"/>
      <c r="L16" s="420" t="str">
        <f t="shared" si="3"/>
        <v/>
      </c>
      <c r="M16" s="401" t="str">
        <f t="shared" si="4"/>
        <v/>
      </c>
    </row>
    <row r="17" spans="2:13" x14ac:dyDescent="0.25">
      <c r="B17" s="58"/>
      <c r="C17" s="65"/>
      <c r="D17" s="15"/>
      <c r="E17" s="15"/>
      <c r="F17" s="24"/>
      <c r="G17" s="411"/>
      <c r="H17" s="17" t="str">
        <f t="shared" si="0"/>
        <v/>
      </c>
      <c r="I17" s="57"/>
      <c r="J17" s="61"/>
      <c r="K17" s="399"/>
      <c r="L17" s="420" t="str">
        <f t="shared" si="3"/>
        <v/>
      </c>
      <c r="M17" s="401" t="str">
        <f t="shared" si="4"/>
        <v/>
      </c>
    </row>
    <row r="18" spans="2:13" ht="14.5" x14ac:dyDescent="0.25">
      <c r="B18" s="58" t="s">
        <v>990</v>
      </c>
      <c r="C18" s="65" t="s">
        <v>1755</v>
      </c>
      <c r="D18" s="15" t="s">
        <v>61</v>
      </c>
      <c r="E18" s="15" t="s">
        <v>996</v>
      </c>
      <c r="F18" s="24">
        <v>115</v>
      </c>
      <c r="G18" s="411"/>
      <c r="H18" s="17">
        <f t="shared" si="0"/>
        <v>0</v>
      </c>
      <c r="I18" s="57"/>
      <c r="J18" s="61" t="s">
        <v>996</v>
      </c>
      <c r="K18" s="399">
        <f>_Formwork</f>
        <v>134</v>
      </c>
      <c r="L18" s="420">
        <f t="shared" si="3"/>
        <v>15410</v>
      </c>
      <c r="M18" s="401" t="str">
        <f t="shared" si="4"/>
        <v/>
      </c>
    </row>
    <row r="19" spans="2:13" x14ac:dyDescent="0.25">
      <c r="B19" s="58"/>
      <c r="C19" s="65"/>
      <c r="D19" s="15"/>
      <c r="E19" s="15"/>
      <c r="F19" s="24"/>
      <c r="G19" s="411"/>
      <c r="H19" s="17" t="str">
        <f t="shared" si="0"/>
        <v/>
      </c>
      <c r="I19" s="57"/>
      <c r="J19" s="61"/>
      <c r="K19" s="402"/>
      <c r="L19" s="420" t="str">
        <f t="shared" si="3"/>
        <v/>
      </c>
      <c r="M19" s="401" t="str">
        <f t="shared" si="4"/>
        <v/>
      </c>
    </row>
    <row r="20" spans="2:13" ht="14.5" x14ac:dyDescent="0.25">
      <c r="B20" s="58" t="s">
        <v>991</v>
      </c>
      <c r="C20" s="65" t="s">
        <v>1756</v>
      </c>
      <c r="D20" s="15" t="s">
        <v>61</v>
      </c>
      <c r="E20" s="15" t="s">
        <v>996</v>
      </c>
      <c r="F20" s="24">
        <v>320</v>
      </c>
      <c r="G20" s="411"/>
      <c r="H20" s="17">
        <f t="shared" si="0"/>
        <v>0</v>
      </c>
      <c r="I20" s="57"/>
      <c r="J20" s="61" t="s">
        <v>996</v>
      </c>
      <c r="K20" s="399">
        <f>_Formwork</f>
        <v>134</v>
      </c>
      <c r="L20" s="420">
        <f t="shared" si="3"/>
        <v>42880</v>
      </c>
      <c r="M20" s="401" t="str">
        <f t="shared" si="4"/>
        <v/>
      </c>
    </row>
    <row r="21" spans="2:13" x14ac:dyDescent="0.25">
      <c r="B21" s="58"/>
      <c r="C21" s="65"/>
      <c r="D21" s="15"/>
      <c r="E21" s="15"/>
      <c r="F21" s="24"/>
      <c r="G21" s="411"/>
      <c r="H21" s="17" t="str">
        <f t="shared" si="0"/>
        <v/>
      </c>
      <c r="I21" s="57"/>
      <c r="J21" s="61"/>
      <c r="K21" s="402"/>
      <c r="L21" s="420" t="str">
        <f t="shared" si="3"/>
        <v/>
      </c>
      <c r="M21" s="401" t="str">
        <f t="shared" si="4"/>
        <v/>
      </c>
    </row>
    <row r="22" spans="2:13" ht="14.5" x14ac:dyDescent="0.25">
      <c r="B22" s="58" t="s">
        <v>1679</v>
      </c>
      <c r="C22" s="65" t="s">
        <v>1757</v>
      </c>
      <c r="D22" s="15" t="s">
        <v>61</v>
      </c>
      <c r="E22" s="15" t="s">
        <v>996</v>
      </c>
      <c r="F22" s="24">
        <v>20</v>
      </c>
      <c r="G22" s="411"/>
      <c r="H22" s="17">
        <f t="shared" si="0"/>
        <v>0</v>
      </c>
      <c r="I22" s="57"/>
      <c r="J22" s="61" t="s">
        <v>996</v>
      </c>
      <c r="K22" s="399">
        <f>_Formwork</f>
        <v>134</v>
      </c>
      <c r="L22" s="420">
        <f t="shared" si="3"/>
        <v>2680</v>
      </c>
      <c r="M22" s="401" t="str">
        <f t="shared" si="4"/>
        <v/>
      </c>
    </row>
    <row r="23" spans="2:13" x14ac:dyDescent="0.25">
      <c r="B23" s="58"/>
      <c r="C23" s="65"/>
      <c r="D23" s="15"/>
      <c r="E23" s="15"/>
      <c r="F23" s="24"/>
      <c r="G23" s="411"/>
      <c r="H23" s="17" t="str">
        <f t="shared" si="0"/>
        <v/>
      </c>
      <c r="I23" s="57"/>
      <c r="J23" s="61"/>
      <c r="K23" s="402"/>
      <c r="L23" s="420" t="str">
        <f t="shared" si="3"/>
        <v/>
      </c>
      <c r="M23" s="401" t="str">
        <f t="shared" si="4"/>
        <v/>
      </c>
    </row>
    <row r="24" spans="2:13" x14ac:dyDescent="0.25">
      <c r="B24" s="58" t="s">
        <v>41</v>
      </c>
      <c r="C24" s="65" t="s">
        <v>1742</v>
      </c>
      <c r="D24" s="15"/>
      <c r="E24" s="15"/>
      <c r="F24" s="24"/>
      <c r="G24" s="411"/>
      <c r="H24" s="17" t="str">
        <f t="shared" si="0"/>
        <v/>
      </c>
      <c r="I24" s="57"/>
      <c r="J24" s="61"/>
      <c r="K24" s="402"/>
      <c r="L24" s="420" t="str">
        <f t="shared" si="3"/>
        <v/>
      </c>
      <c r="M24" s="401" t="str">
        <f t="shared" si="4"/>
        <v/>
      </c>
    </row>
    <row r="25" spans="2:13" x14ac:dyDescent="0.25">
      <c r="B25" s="58"/>
      <c r="C25" s="65"/>
      <c r="D25" s="15"/>
      <c r="E25" s="15"/>
      <c r="F25" s="24"/>
      <c r="G25" s="411"/>
      <c r="H25" s="17" t="str">
        <f t="shared" si="0"/>
        <v/>
      </c>
      <c r="I25" s="57"/>
      <c r="J25" s="61"/>
      <c r="K25" s="399"/>
      <c r="L25" s="420" t="str">
        <f t="shared" si="3"/>
        <v/>
      </c>
      <c r="M25" s="401" t="str">
        <f t="shared" si="4"/>
        <v/>
      </c>
    </row>
    <row r="26" spans="2:13" ht="14.5" x14ac:dyDescent="0.25">
      <c r="B26" s="58" t="s">
        <v>990</v>
      </c>
      <c r="C26" s="65" t="s">
        <v>1758</v>
      </c>
      <c r="D26" s="15" t="s">
        <v>61</v>
      </c>
      <c r="E26" s="15" t="s">
        <v>996</v>
      </c>
      <c r="F26" s="24">
        <v>20</v>
      </c>
      <c r="G26" s="411"/>
      <c r="H26" s="17">
        <f t="shared" si="0"/>
        <v>0</v>
      </c>
      <c r="I26" s="57"/>
      <c r="J26" s="61" t="s">
        <v>996</v>
      </c>
      <c r="K26" s="399">
        <f>_Formwork</f>
        <v>134</v>
      </c>
      <c r="L26" s="420">
        <f t="shared" si="3"/>
        <v>2680</v>
      </c>
      <c r="M26" s="401" t="str">
        <f t="shared" si="4"/>
        <v/>
      </c>
    </row>
    <row r="27" spans="2:13" x14ac:dyDescent="0.25">
      <c r="B27" s="58"/>
      <c r="C27" s="65"/>
      <c r="D27" s="15"/>
      <c r="E27" s="15"/>
      <c r="F27" s="24"/>
      <c r="G27" s="411"/>
      <c r="H27" s="17" t="str">
        <f t="shared" si="0"/>
        <v/>
      </c>
      <c r="I27" s="57"/>
      <c r="J27" s="61"/>
      <c r="K27" s="399"/>
      <c r="L27" s="420" t="str">
        <f t="shared" si="3"/>
        <v/>
      </c>
      <c r="M27" s="401" t="str">
        <f t="shared" si="4"/>
        <v/>
      </c>
    </row>
    <row r="28" spans="2:13" ht="14.5" x14ac:dyDescent="0.25">
      <c r="B28" s="58" t="s">
        <v>991</v>
      </c>
      <c r="C28" s="65" t="s">
        <v>1756</v>
      </c>
      <c r="D28" s="15" t="s">
        <v>61</v>
      </c>
      <c r="E28" s="15" t="s">
        <v>996</v>
      </c>
      <c r="F28" s="24">
        <v>320</v>
      </c>
      <c r="G28" s="411"/>
      <c r="H28" s="17">
        <f t="shared" si="0"/>
        <v>0</v>
      </c>
      <c r="I28" s="57"/>
      <c r="J28" s="61" t="s">
        <v>996</v>
      </c>
      <c r="K28" s="399">
        <f>_Formwork</f>
        <v>134</v>
      </c>
      <c r="L28" s="420">
        <f t="shared" si="3"/>
        <v>42880</v>
      </c>
      <c r="M28" s="401" t="str">
        <f t="shared" si="4"/>
        <v/>
      </c>
    </row>
    <row r="29" spans="2:13" x14ac:dyDescent="0.25">
      <c r="B29" s="58"/>
      <c r="C29" s="65"/>
      <c r="D29" s="15"/>
      <c r="E29" s="15"/>
      <c r="F29" s="24"/>
      <c r="G29" s="411"/>
      <c r="H29" s="17" t="str">
        <f t="shared" si="0"/>
        <v/>
      </c>
      <c r="I29" s="57"/>
      <c r="J29" s="61"/>
      <c r="K29" s="399"/>
      <c r="L29" s="420" t="str">
        <f t="shared" si="3"/>
        <v/>
      </c>
      <c r="M29" s="401" t="str">
        <f t="shared" si="4"/>
        <v/>
      </c>
    </row>
    <row r="30" spans="2:13" ht="14.5" x14ac:dyDescent="0.25">
      <c r="B30" s="58" t="s">
        <v>1679</v>
      </c>
      <c r="C30" s="65" t="s">
        <v>1757</v>
      </c>
      <c r="D30" s="15" t="s">
        <v>61</v>
      </c>
      <c r="E30" s="15" t="s">
        <v>996</v>
      </c>
      <c r="F30" s="24">
        <v>80</v>
      </c>
      <c r="G30" s="411"/>
      <c r="H30" s="17">
        <f t="shared" si="0"/>
        <v>0</v>
      </c>
      <c r="I30" s="57"/>
      <c r="J30" s="61" t="s">
        <v>996</v>
      </c>
      <c r="K30" s="399">
        <f>_Formwork</f>
        <v>134</v>
      </c>
      <c r="L30" s="420">
        <f t="shared" si="3"/>
        <v>10720</v>
      </c>
      <c r="M30" s="401" t="str">
        <f t="shared" si="4"/>
        <v/>
      </c>
    </row>
    <row r="31" spans="2:13" x14ac:dyDescent="0.25">
      <c r="B31" s="58"/>
      <c r="C31" s="65"/>
      <c r="D31" s="15"/>
      <c r="E31" s="15"/>
      <c r="F31" s="24"/>
      <c r="G31" s="411"/>
      <c r="H31" s="17" t="str">
        <f t="shared" si="0"/>
        <v/>
      </c>
      <c r="I31" s="57"/>
      <c r="J31" s="61"/>
      <c r="K31" s="399"/>
      <c r="L31" s="420" t="str">
        <f t="shared" si="3"/>
        <v/>
      </c>
      <c r="M31" s="401" t="str">
        <f t="shared" si="4"/>
        <v/>
      </c>
    </row>
    <row r="32" spans="2:13" ht="13" x14ac:dyDescent="0.25">
      <c r="B32" s="146" t="s">
        <v>314</v>
      </c>
      <c r="C32" s="672" t="s">
        <v>1902</v>
      </c>
      <c r="D32" s="15"/>
      <c r="E32" s="15"/>
      <c r="F32" s="24"/>
      <c r="G32" s="411"/>
      <c r="H32" s="17" t="str">
        <f t="shared" si="0"/>
        <v/>
      </c>
      <c r="I32" s="57"/>
      <c r="J32" s="61"/>
      <c r="K32" s="399"/>
      <c r="L32" s="420" t="str">
        <f t="shared" si="3"/>
        <v/>
      </c>
      <c r="M32" s="401" t="str">
        <f t="shared" si="4"/>
        <v/>
      </c>
    </row>
    <row r="33" spans="2:13" x14ac:dyDescent="0.25">
      <c r="B33" s="58"/>
      <c r="C33" s="65"/>
      <c r="D33" s="15"/>
      <c r="E33" s="15"/>
      <c r="F33" s="24"/>
      <c r="G33" s="411"/>
      <c r="H33" s="17" t="str">
        <f t="shared" si="0"/>
        <v/>
      </c>
      <c r="I33" s="57"/>
      <c r="J33" s="61"/>
      <c r="K33" s="399"/>
      <c r="L33" s="420" t="str">
        <f t="shared" si="3"/>
        <v/>
      </c>
      <c r="M33" s="401" t="str">
        <f t="shared" si="4"/>
        <v/>
      </c>
    </row>
    <row r="34" spans="2:13" x14ac:dyDescent="0.25">
      <c r="B34" s="58" t="s">
        <v>39</v>
      </c>
      <c r="C34" s="65" t="s">
        <v>1742</v>
      </c>
      <c r="D34" s="15"/>
      <c r="E34" s="15"/>
      <c r="F34" s="24"/>
      <c r="G34" s="411"/>
      <c r="H34" s="17" t="str">
        <f t="shared" si="0"/>
        <v/>
      </c>
      <c r="I34" s="57"/>
      <c r="J34" s="61"/>
      <c r="K34" s="399"/>
      <c r="L34" s="420" t="str">
        <f t="shared" si="3"/>
        <v/>
      </c>
      <c r="M34" s="401" t="str">
        <f t="shared" si="4"/>
        <v/>
      </c>
    </row>
    <row r="35" spans="2:13" x14ac:dyDescent="0.25">
      <c r="B35" s="58"/>
      <c r="C35" s="65"/>
      <c r="D35" s="15"/>
      <c r="E35" s="15"/>
      <c r="F35" s="24"/>
      <c r="G35" s="411"/>
      <c r="H35" s="17" t="str">
        <f t="shared" si="0"/>
        <v/>
      </c>
      <c r="I35" s="57"/>
      <c r="J35" s="61"/>
      <c r="K35" s="399"/>
      <c r="L35" s="420" t="str">
        <f t="shared" si="3"/>
        <v/>
      </c>
      <c r="M35" s="401" t="str">
        <f t="shared" si="4"/>
        <v/>
      </c>
    </row>
    <row r="36" spans="2:13" ht="14.5" x14ac:dyDescent="0.25">
      <c r="B36" s="58" t="s">
        <v>990</v>
      </c>
      <c r="C36" s="65" t="s">
        <v>1759</v>
      </c>
      <c r="D36" s="15" t="s">
        <v>61</v>
      </c>
      <c r="E36" s="15" t="s">
        <v>996</v>
      </c>
      <c r="F36" s="24">
        <v>121</v>
      </c>
      <c r="G36" s="411"/>
      <c r="H36" s="17">
        <f t="shared" si="0"/>
        <v>0</v>
      </c>
      <c r="I36" s="57"/>
      <c r="J36" s="61" t="s">
        <v>996</v>
      </c>
      <c r="K36" s="399">
        <f>_Formwork</f>
        <v>134</v>
      </c>
      <c r="L36" s="420">
        <f t="shared" si="3"/>
        <v>16214</v>
      </c>
      <c r="M36" s="401" t="str">
        <f t="shared" si="4"/>
        <v/>
      </c>
    </row>
    <row r="37" spans="2:13" x14ac:dyDescent="0.25">
      <c r="B37" s="58"/>
      <c r="C37" s="65"/>
      <c r="D37" s="15"/>
      <c r="E37" s="15"/>
      <c r="F37" s="24"/>
      <c r="G37" s="411"/>
      <c r="H37" s="17" t="str">
        <f t="shared" si="0"/>
        <v/>
      </c>
      <c r="I37" s="57"/>
      <c r="J37" s="61"/>
      <c r="K37" s="399"/>
      <c r="L37" s="420" t="str">
        <f t="shared" si="3"/>
        <v/>
      </c>
      <c r="M37" s="401" t="str">
        <f t="shared" si="4"/>
        <v/>
      </c>
    </row>
    <row r="38" spans="2:13" ht="13" x14ac:dyDescent="0.25">
      <c r="B38" s="146" t="s">
        <v>315</v>
      </c>
      <c r="C38" s="672" t="s">
        <v>1903</v>
      </c>
      <c r="D38" s="15"/>
      <c r="E38" s="15"/>
      <c r="F38" s="24"/>
      <c r="G38" s="411"/>
      <c r="H38" s="17" t="str">
        <f t="shared" si="0"/>
        <v/>
      </c>
      <c r="I38" s="18"/>
      <c r="J38" s="61"/>
      <c r="K38" s="399"/>
      <c r="L38" s="420" t="str">
        <f t="shared" si="3"/>
        <v/>
      </c>
      <c r="M38" s="401" t="str">
        <f t="shared" si="4"/>
        <v/>
      </c>
    </row>
    <row r="39" spans="2:13" x14ac:dyDescent="0.25">
      <c r="B39" s="58"/>
      <c r="C39" s="65"/>
      <c r="D39" s="15"/>
      <c r="E39" s="15"/>
      <c r="F39" s="24"/>
      <c r="G39" s="411"/>
      <c r="H39" s="17" t="str">
        <f t="shared" si="0"/>
        <v/>
      </c>
      <c r="I39" s="18"/>
      <c r="J39" s="61"/>
      <c r="K39" s="399"/>
      <c r="L39" s="420" t="str">
        <f t="shared" si="3"/>
        <v/>
      </c>
      <c r="M39" s="401" t="str">
        <f t="shared" si="4"/>
        <v/>
      </c>
    </row>
    <row r="40" spans="2:13" x14ac:dyDescent="0.25">
      <c r="B40" s="58" t="s">
        <v>41</v>
      </c>
      <c r="C40" s="65" t="s">
        <v>1742</v>
      </c>
      <c r="D40" s="15"/>
      <c r="E40" s="15"/>
      <c r="F40" s="24"/>
      <c r="G40" s="411"/>
      <c r="H40" s="17" t="str">
        <f t="shared" si="0"/>
        <v/>
      </c>
      <c r="I40" s="18"/>
      <c r="J40" s="61"/>
      <c r="K40" s="399"/>
      <c r="L40" s="420" t="str">
        <f t="shared" si="3"/>
        <v/>
      </c>
      <c r="M40" s="401" t="str">
        <f t="shared" si="4"/>
        <v/>
      </c>
    </row>
    <row r="41" spans="2:13" x14ac:dyDescent="0.25">
      <c r="B41" s="58"/>
      <c r="C41" s="65"/>
      <c r="D41" s="15"/>
      <c r="E41" s="15"/>
      <c r="F41" s="24"/>
      <c r="G41" s="411"/>
      <c r="H41" s="17" t="str">
        <f t="shared" si="0"/>
        <v/>
      </c>
      <c r="I41" s="18"/>
      <c r="J41" s="61"/>
      <c r="K41" s="399"/>
      <c r="L41" s="420" t="str">
        <f t="shared" si="3"/>
        <v/>
      </c>
      <c r="M41" s="401" t="str">
        <f t="shared" si="4"/>
        <v/>
      </c>
    </row>
    <row r="42" spans="2:13" ht="14.5" x14ac:dyDescent="0.25">
      <c r="B42" s="58" t="s">
        <v>990</v>
      </c>
      <c r="C42" s="65" t="s">
        <v>1767</v>
      </c>
      <c r="D42" s="15" t="s">
        <v>61</v>
      </c>
      <c r="E42" s="15" t="s">
        <v>996</v>
      </c>
      <c r="F42" s="24">
        <v>5</v>
      </c>
      <c r="G42" s="411"/>
      <c r="H42" s="17">
        <f t="shared" si="0"/>
        <v>0</v>
      </c>
      <c r="I42" s="18"/>
      <c r="J42" s="61" t="s">
        <v>996</v>
      </c>
      <c r="K42" s="399">
        <f>_Formwork</f>
        <v>134</v>
      </c>
      <c r="L42" s="420">
        <f t="shared" si="3"/>
        <v>670</v>
      </c>
      <c r="M42" s="401" t="str">
        <f t="shared" si="4"/>
        <v/>
      </c>
    </row>
    <row r="43" spans="2:13" x14ac:dyDescent="0.25">
      <c r="B43" s="58"/>
      <c r="C43" s="65"/>
      <c r="D43" s="15"/>
      <c r="E43" s="15"/>
      <c r="F43" s="24"/>
      <c r="G43" s="411"/>
      <c r="H43" s="17" t="str">
        <f t="shared" si="0"/>
        <v/>
      </c>
      <c r="I43" s="18"/>
      <c r="J43" s="61"/>
      <c r="K43" s="399"/>
      <c r="L43" s="420" t="str">
        <f t="shared" si="3"/>
        <v/>
      </c>
      <c r="M43" s="401" t="str">
        <f t="shared" si="4"/>
        <v/>
      </c>
    </row>
    <row r="44" spans="2:13" x14ac:dyDescent="0.25">
      <c r="B44" s="58"/>
      <c r="C44" s="65"/>
      <c r="D44" s="15"/>
      <c r="E44" s="15"/>
      <c r="F44" s="24"/>
      <c r="G44" s="411"/>
      <c r="H44" s="17" t="str">
        <f t="shared" si="0"/>
        <v/>
      </c>
      <c r="I44" s="18"/>
      <c r="J44" s="61"/>
      <c r="K44" s="399"/>
      <c r="L44" s="420" t="str">
        <f t="shared" si="3"/>
        <v/>
      </c>
      <c r="M44" s="401" t="str">
        <f t="shared" si="4"/>
        <v/>
      </c>
    </row>
    <row r="45" spans="2:13" x14ac:dyDescent="0.25">
      <c r="B45" s="58"/>
      <c r="C45" s="65"/>
      <c r="D45" s="15"/>
      <c r="E45" s="15"/>
      <c r="F45" s="24"/>
      <c r="G45" s="411"/>
      <c r="H45" s="17" t="str">
        <f t="shared" si="0"/>
        <v/>
      </c>
      <c r="I45" s="18"/>
      <c r="J45" s="61"/>
      <c r="K45" s="399"/>
      <c r="L45" s="420" t="str">
        <f t="shared" si="3"/>
        <v/>
      </c>
      <c r="M45" s="401" t="str">
        <f t="shared" si="4"/>
        <v/>
      </c>
    </row>
    <row r="46" spans="2:13" x14ac:dyDescent="0.25">
      <c r="B46" s="58"/>
      <c r="C46" s="65"/>
      <c r="D46" s="15"/>
      <c r="E46" s="15"/>
      <c r="F46" s="24"/>
      <c r="G46" s="411"/>
      <c r="H46" s="17" t="str">
        <f t="shared" si="0"/>
        <v/>
      </c>
      <c r="I46" s="63"/>
      <c r="J46" s="61"/>
      <c r="K46" s="399"/>
      <c r="L46" s="420" t="str">
        <f t="shared" si="3"/>
        <v/>
      </c>
      <c r="M46" s="401" t="str">
        <f t="shared" si="4"/>
        <v/>
      </c>
    </row>
    <row r="47" spans="2:13" x14ac:dyDescent="0.25">
      <c r="B47" s="58"/>
      <c r="C47" s="784"/>
      <c r="D47" s="15"/>
      <c r="E47" s="15"/>
      <c r="F47" s="24"/>
      <c r="G47" s="411"/>
      <c r="H47" s="17" t="str">
        <f t="shared" si="0"/>
        <v/>
      </c>
      <c r="I47" s="63"/>
      <c r="J47" s="61"/>
      <c r="K47" s="402"/>
      <c r="L47" s="420" t="str">
        <f t="shared" si="3"/>
        <v/>
      </c>
      <c r="M47" s="401" t="str">
        <f t="shared" si="4"/>
        <v/>
      </c>
    </row>
    <row r="48" spans="2:13" x14ac:dyDescent="0.25">
      <c r="B48" s="58"/>
      <c r="C48" s="65"/>
      <c r="D48" s="15"/>
      <c r="E48" s="15"/>
      <c r="F48" s="24"/>
      <c r="G48" s="411"/>
      <c r="H48" s="17" t="str">
        <f t="shared" si="0"/>
        <v/>
      </c>
      <c r="I48" s="63"/>
      <c r="J48" s="61"/>
      <c r="K48" s="399"/>
      <c r="L48" s="420" t="str">
        <f t="shared" si="3"/>
        <v/>
      </c>
      <c r="M48" s="401" t="str">
        <f t="shared" si="4"/>
        <v/>
      </c>
    </row>
    <row r="49" spans="2:13" x14ac:dyDescent="0.25">
      <c r="B49" s="58"/>
      <c r="C49" s="65"/>
      <c r="D49" s="15"/>
      <c r="E49" s="15"/>
      <c r="F49" s="24"/>
      <c r="G49" s="411"/>
      <c r="H49" s="17" t="str">
        <f t="shared" si="0"/>
        <v/>
      </c>
      <c r="I49" s="63"/>
      <c r="J49" s="61"/>
      <c r="K49" s="402"/>
      <c r="L49" s="420" t="str">
        <f t="shared" si="3"/>
        <v/>
      </c>
      <c r="M49" s="401" t="str">
        <f t="shared" si="4"/>
        <v/>
      </c>
    </row>
    <row r="50" spans="2:13" x14ac:dyDescent="0.25">
      <c r="B50" s="58"/>
      <c r="C50" s="65"/>
      <c r="D50" s="15"/>
      <c r="E50" s="15"/>
      <c r="F50" s="24"/>
      <c r="G50" s="411"/>
      <c r="H50" s="17" t="str">
        <f t="shared" si="0"/>
        <v/>
      </c>
      <c r="I50" s="63"/>
      <c r="J50" s="62"/>
      <c r="K50" s="62"/>
      <c r="L50" s="420" t="str">
        <f t="shared" si="3"/>
        <v/>
      </c>
      <c r="M50" s="401" t="str">
        <f t="shared" si="4"/>
        <v/>
      </c>
    </row>
    <row r="51" spans="2:13" x14ac:dyDescent="0.25">
      <c r="B51" s="58"/>
      <c r="C51" s="65"/>
      <c r="D51" s="15"/>
      <c r="E51" s="15"/>
      <c r="F51" s="24"/>
      <c r="G51" s="411"/>
      <c r="H51" s="17" t="str">
        <f t="shared" si="0"/>
        <v/>
      </c>
      <c r="I51" s="63"/>
      <c r="J51" s="62"/>
      <c r="K51" s="62"/>
      <c r="L51" s="420" t="str">
        <f t="shared" si="3"/>
        <v/>
      </c>
      <c r="M51" s="401" t="str">
        <f t="shared" si="4"/>
        <v/>
      </c>
    </row>
    <row r="52" spans="2:13" x14ac:dyDescent="0.25">
      <c r="B52" s="58"/>
      <c r="C52" s="65"/>
      <c r="D52" s="15"/>
      <c r="E52" s="15"/>
      <c r="F52" s="24"/>
      <c r="G52" s="411"/>
      <c r="H52" s="17" t="str">
        <f t="shared" si="0"/>
        <v/>
      </c>
      <c r="I52" s="57"/>
      <c r="J52" s="62"/>
      <c r="K52" s="62"/>
      <c r="L52" s="420" t="str">
        <f t="shared" si="3"/>
        <v/>
      </c>
      <c r="M52" s="401" t="str">
        <f t="shared" si="4"/>
        <v/>
      </c>
    </row>
    <row r="53" spans="2:13" x14ac:dyDescent="0.25">
      <c r="B53" s="58"/>
      <c r="C53" s="65"/>
      <c r="D53" s="15"/>
      <c r="E53" s="15"/>
      <c r="F53" s="24"/>
      <c r="G53" s="411"/>
      <c r="H53" s="17" t="str">
        <f t="shared" si="0"/>
        <v/>
      </c>
      <c r="I53" s="18"/>
      <c r="J53" s="62"/>
      <c r="K53" s="62"/>
      <c r="L53" s="420" t="str">
        <f t="shared" si="3"/>
        <v/>
      </c>
      <c r="M53" s="401" t="str">
        <f t="shared" si="4"/>
        <v/>
      </c>
    </row>
    <row r="54" spans="2:13" s="36" customFormat="1" x14ac:dyDescent="0.25">
      <c r="B54" s="58"/>
      <c r="C54" s="65"/>
      <c r="D54" s="15"/>
      <c r="E54" s="15"/>
      <c r="F54" s="24"/>
      <c r="G54" s="411"/>
      <c r="H54" s="17" t="str">
        <f t="shared" si="0"/>
        <v/>
      </c>
      <c r="I54" s="18"/>
      <c r="J54" s="62"/>
      <c r="K54" s="62"/>
      <c r="L54" s="420" t="str">
        <f t="shared" si="3"/>
        <v/>
      </c>
      <c r="M54" s="401" t="str">
        <f t="shared" si="4"/>
        <v/>
      </c>
    </row>
    <row r="55" spans="2:13" x14ac:dyDescent="0.25">
      <c r="B55" s="58"/>
      <c r="C55" s="65"/>
      <c r="D55" s="15"/>
      <c r="E55" s="15"/>
      <c r="F55" s="24"/>
      <c r="G55" s="411"/>
      <c r="H55" s="17" t="str">
        <f t="shared" si="0"/>
        <v/>
      </c>
      <c r="I55" s="57"/>
      <c r="J55" s="62"/>
      <c r="K55" s="62"/>
      <c r="L55" s="420" t="str">
        <f t="shared" si="3"/>
        <v/>
      </c>
      <c r="M55" s="401" t="str">
        <f t="shared" si="4"/>
        <v/>
      </c>
    </row>
    <row r="56" spans="2:13" x14ac:dyDescent="0.25">
      <c r="B56" s="58"/>
      <c r="C56" s="65"/>
      <c r="D56" s="15"/>
      <c r="E56" s="15"/>
      <c r="F56" s="24"/>
      <c r="G56" s="411"/>
      <c r="H56" s="17" t="str">
        <f t="shared" si="0"/>
        <v/>
      </c>
      <c r="I56" s="57"/>
      <c r="J56" s="62"/>
      <c r="K56" s="62"/>
      <c r="L56" s="420" t="str">
        <f t="shared" si="3"/>
        <v/>
      </c>
      <c r="M56" s="401" t="str">
        <f t="shared" si="4"/>
        <v/>
      </c>
    </row>
    <row r="57" spans="2:13" x14ac:dyDescent="0.25">
      <c r="B57" s="58"/>
      <c r="C57" s="65"/>
      <c r="D57" s="15"/>
      <c r="E57" s="15"/>
      <c r="F57" s="24"/>
      <c r="G57" s="411"/>
      <c r="H57" s="17" t="str">
        <f t="shared" si="0"/>
        <v/>
      </c>
      <c r="I57" s="18"/>
      <c r="J57" s="62"/>
      <c r="K57" s="62"/>
      <c r="L57" s="420" t="str">
        <f t="shared" si="3"/>
        <v/>
      </c>
      <c r="M57" s="401" t="str">
        <f t="shared" si="4"/>
        <v/>
      </c>
    </row>
    <row r="58" spans="2:13" x14ac:dyDescent="0.25">
      <c r="B58" s="58"/>
      <c r="C58" s="65"/>
      <c r="D58" s="15"/>
      <c r="E58" s="15"/>
      <c r="F58" s="24"/>
      <c r="G58" s="411"/>
      <c r="H58" s="17"/>
      <c r="I58" s="18"/>
      <c r="J58" s="62"/>
      <c r="K58" s="62"/>
      <c r="L58" s="420"/>
      <c r="M58" s="401"/>
    </row>
    <row r="59" spans="2:13" x14ac:dyDescent="0.25">
      <c r="B59" s="58"/>
      <c r="C59" s="65"/>
      <c r="D59" s="15"/>
      <c r="E59" s="15"/>
      <c r="F59" s="24"/>
      <c r="G59" s="411"/>
      <c r="H59" s="17"/>
      <c r="I59" s="18"/>
      <c r="J59" s="62"/>
      <c r="K59" s="62"/>
      <c r="L59" s="420"/>
      <c r="M59" s="401"/>
    </row>
    <row r="60" spans="2:13" x14ac:dyDescent="0.25">
      <c r="B60" s="58"/>
      <c r="C60" s="65"/>
      <c r="D60" s="15"/>
      <c r="E60" s="15"/>
      <c r="F60" s="24"/>
      <c r="G60" s="411"/>
      <c r="H60" s="17"/>
      <c r="I60" s="18"/>
      <c r="J60" s="62"/>
      <c r="K60" s="62"/>
      <c r="L60" s="420"/>
      <c r="M60" s="401"/>
    </row>
    <row r="61" spans="2:13" x14ac:dyDescent="0.25">
      <c r="B61" s="58"/>
      <c r="C61" s="65"/>
      <c r="D61" s="15"/>
      <c r="E61" s="15"/>
      <c r="F61" s="24"/>
      <c r="G61" s="411"/>
      <c r="H61" s="17"/>
      <c r="I61" s="18"/>
      <c r="J61" s="62"/>
      <c r="K61" s="62"/>
      <c r="L61" s="420"/>
      <c r="M61" s="401"/>
    </row>
    <row r="62" spans="2:13" x14ac:dyDescent="0.25">
      <c r="B62" s="58"/>
      <c r="C62" s="65"/>
      <c r="D62" s="15"/>
      <c r="E62" s="15"/>
      <c r="F62" s="24"/>
      <c r="G62" s="411"/>
      <c r="H62" s="17"/>
      <c r="I62" s="18"/>
      <c r="J62" s="62"/>
      <c r="K62" s="62"/>
      <c r="L62" s="420"/>
      <c r="M62" s="401"/>
    </row>
    <row r="63" spans="2:13" x14ac:dyDescent="0.25">
      <c r="B63" s="58"/>
      <c r="C63" s="65"/>
      <c r="D63" s="15"/>
      <c r="E63" s="15"/>
      <c r="F63" s="24"/>
      <c r="G63" s="411"/>
      <c r="H63" s="17"/>
      <c r="I63" s="18"/>
      <c r="J63" s="62"/>
      <c r="K63" s="62"/>
      <c r="L63" s="420"/>
      <c r="M63" s="401"/>
    </row>
    <row r="64" spans="2:13" x14ac:dyDescent="0.25">
      <c r="B64" s="785"/>
      <c r="C64" s="65"/>
      <c r="D64" s="15"/>
      <c r="E64" s="15"/>
      <c r="F64" s="15"/>
      <c r="G64" s="411"/>
      <c r="H64" s="17" t="str">
        <f t="shared" si="0"/>
        <v/>
      </c>
      <c r="I64" s="18"/>
      <c r="J64" s="62"/>
      <c r="K64" s="62"/>
      <c r="L64" s="420" t="str">
        <f t="shared" si="3"/>
        <v/>
      </c>
      <c r="M64" s="401" t="str">
        <f t="shared" si="4"/>
        <v/>
      </c>
    </row>
    <row r="65" spans="2:13" x14ac:dyDescent="0.25">
      <c r="B65" s="56"/>
      <c r="C65" s="65"/>
      <c r="D65" s="15"/>
      <c r="E65" s="15"/>
      <c r="F65" s="15"/>
      <c r="G65" s="411"/>
      <c r="H65" s="17" t="str">
        <f t="shared" si="0"/>
        <v/>
      </c>
      <c r="I65" s="18"/>
      <c r="J65" s="61"/>
      <c r="K65" s="62"/>
      <c r="L65" s="420" t="str">
        <f t="shared" si="3"/>
        <v/>
      </c>
      <c r="M65" s="401" t="str">
        <f t="shared" si="4"/>
        <v/>
      </c>
    </row>
    <row r="66" spans="2:13" x14ac:dyDescent="0.25">
      <c r="B66" s="56"/>
      <c r="C66" s="65"/>
      <c r="D66" s="15"/>
      <c r="E66" s="15"/>
      <c r="F66" s="15"/>
      <c r="G66" s="411"/>
      <c r="H66" s="17" t="str">
        <f t="shared" si="0"/>
        <v/>
      </c>
      <c r="I66" s="18"/>
      <c r="J66" s="62"/>
      <c r="K66" s="62"/>
      <c r="L66" s="420" t="str">
        <f t="shared" si="3"/>
        <v/>
      </c>
      <c r="M66" s="401" t="str">
        <f t="shared" si="4"/>
        <v/>
      </c>
    </row>
    <row r="67" spans="2:13" x14ac:dyDescent="0.25">
      <c r="B67" s="56"/>
      <c r="C67" s="65"/>
      <c r="D67" s="15"/>
      <c r="E67" s="15"/>
      <c r="F67" s="15"/>
      <c r="G67" s="411"/>
      <c r="H67" s="17" t="str">
        <f t="shared" si="0"/>
        <v/>
      </c>
      <c r="I67" s="18"/>
      <c r="J67" s="62"/>
      <c r="K67" s="62"/>
      <c r="L67" s="420" t="str">
        <f t="shared" si="3"/>
        <v/>
      </c>
      <c r="M67" s="401" t="str">
        <f t="shared" si="4"/>
        <v/>
      </c>
    </row>
    <row r="68" spans="2:13" x14ac:dyDescent="0.25">
      <c r="B68" s="56"/>
      <c r="C68" s="65"/>
      <c r="D68" s="15"/>
      <c r="E68" s="15"/>
      <c r="F68" s="15"/>
      <c r="G68" s="411"/>
      <c r="H68" s="17" t="str">
        <f t="shared" si="0"/>
        <v/>
      </c>
      <c r="I68" s="18"/>
      <c r="J68" s="62"/>
      <c r="K68" s="62"/>
      <c r="L68" s="420" t="str">
        <f t="shared" si="3"/>
        <v/>
      </c>
      <c r="M68" s="401" t="str">
        <f t="shared" si="4"/>
        <v/>
      </c>
    </row>
    <row r="69" spans="2:13" x14ac:dyDescent="0.25">
      <c r="B69" s="56"/>
      <c r="C69" s="65"/>
      <c r="D69" s="61"/>
      <c r="E69" s="61"/>
      <c r="F69" s="61"/>
      <c r="G69" s="411"/>
      <c r="H69" s="17" t="str">
        <f t="shared" si="0"/>
        <v/>
      </c>
      <c r="I69" s="63"/>
      <c r="J69" s="62"/>
      <c r="K69" s="62"/>
      <c r="L69" s="420" t="str">
        <f t="shared" si="3"/>
        <v/>
      </c>
      <c r="M69" s="401" t="str">
        <f t="shared" si="4"/>
        <v/>
      </c>
    </row>
    <row r="70" spans="2:13" x14ac:dyDescent="0.25">
      <c r="B70" s="56"/>
      <c r="C70" s="65"/>
      <c r="D70" s="15"/>
      <c r="E70" s="15"/>
      <c r="F70" s="15"/>
      <c r="G70" s="411"/>
      <c r="H70" s="17" t="str">
        <f t="shared" si="0"/>
        <v/>
      </c>
      <c r="I70" s="18"/>
      <c r="J70" s="62"/>
      <c r="K70" s="62"/>
      <c r="L70" s="420" t="str">
        <f t="shared" si="3"/>
        <v/>
      </c>
      <c r="M70" s="401" t="str">
        <f t="shared" si="4"/>
        <v/>
      </c>
    </row>
    <row r="71" spans="2:13" x14ac:dyDescent="0.25">
      <c r="B71" s="56"/>
      <c r="C71" s="65"/>
      <c r="D71" s="61"/>
      <c r="E71" s="61"/>
      <c r="F71" s="61"/>
      <c r="G71" s="411"/>
      <c r="H71" s="17" t="str">
        <f t="shared" si="0"/>
        <v/>
      </c>
      <c r="I71" s="69"/>
      <c r="J71" s="62"/>
      <c r="K71" s="62"/>
      <c r="L71" s="420" t="str">
        <f t="shared" si="3"/>
        <v/>
      </c>
      <c r="M71" s="401" t="str">
        <f t="shared" si="4"/>
        <v/>
      </c>
    </row>
    <row r="72" spans="2:13" x14ac:dyDescent="0.25">
      <c r="B72" s="56"/>
      <c r="C72" s="65"/>
      <c r="D72" s="15"/>
      <c r="E72" s="15"/>
      <c r="F72" s="15"/>
      <c r="G72" s="411"/>
      <c r="H72" s="17" t="str">
        <f t="shared" si="0"/>
        <v/>
      </c>
      <c r="I72" s="18"/>
      <c r="J72" s="61"/>
      <c r="K72" s="695"/>
      <c r="L72" s="420" t="str">
        <f t="shared" si="3"/>
        <v/>
      </c>
      <c r="M72" s="401" t="str">
        <f t="shared" si="4"/>
        <v/>
      </c>
    </row>
    <row r="73" spans="2:13" x14ac:dyDescent="0.25">
      <c r="B73" s="56"/>
      <c r="C73" s="65"/>
      <c r="D73" s="15"/>
      <c r="E73" s="15"/>
      <c r="F73" s="15"/>
      <c r="G73" s="411"/>
      <c r="H73" s="17" t="str">
        <f t="shared" si="0"/>
        <v/>
      </c>
      <c r="I73" s="18"/>
      <c r="J73" s="61"/>
      <c r="K73" s="696"/>
      <c r="L73" s="420" t="str">
        <f t="shared" si="3"/>
        <v/>
      </c>
      <c r="M73" s="401" t="str">
        <f t="shared" si="4"/>
        <v/>
      </c>
    </row>
    <row r="74" spans="2:13" s="28" customFormat="1" ht="24.75" customHeight="1" x14ac:dyDescent="0.25">
      <c r="B74" s="144" t="str">
        <f>$B$12</f>
        <v>C13.2</v>
      </c>
      <c r="C74" s="30" t="s">
        <v>791</v>
      </c>
      <c r="D74" s="31"/>
      <c r="E74" s="31"/>
      <c r="F74" s="32"/>
      <c r="G74" s="31"/>
      <c r="H74" s="33">
        <f>SUM(H11:H73)</f>
        <v>0</v>
      </c>
      <c r="I74" s="34"/>
      <c r="J74" s="408"/>
      <c r="K74" s="406"/>
      <c r="L74" s="418">
        <f>SUM(L11:L73)</f>
        <v>134134</v>
      </c>
      <c r="M74" s="407" t="str">
        <f t="shared" ref="M74" si="5">IF(J74="","",IF(SUM(H74)=0,"",L74/H74))</f>
        <v/>
      </c>
    </row>
  </sheetData>
  <mergeCells count="5">
    <mergeCell ref="F3:H3"/>
    <mergeCell ref="B6:G6"/>
    <mergeCell ref="H6:H9"/>
    <mergeCell ref="B7:G7"/>
    <mergeCell ref="B8:G8"/>
  </mergeCells>
  <conditionalFormatting sqref="G11:H74">
    <cfRule type="expression" dxfId="59"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30">
    <tabColor rgb="FFFFFF00"/>
  </sheetPr>
  <dimension ref="A1:N72"/>
  <sheetViews>
    <sheetView view="pageBreakPreview" zoomScale="90" zoomScaleNormal="125" zoomScaleSheetLayoutView="90" zoomScalePageLayoutView="125" workbookViewId="0">
      <pane ySplit="2" topLeftCell="A3"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MAX(H2:H208)</f>
        <v>0</v>
      </c>
      <c r="I1" s="247">
        <f>MAX(I2:I208)</f>
        <v>0</v>
      </c>
      <c r="J1" s="248"/>
      <c r="K1" s="249"/>
      <c r="L1" s="247">
        <f>MAX(L2:L208)</f>
        <v>2250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C13.3</v>
      </c>
      <c r="I6" s="6"/>
    </row>
    <row r="7" spans="1:14" ht="28.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4.75" customHeight="1" x14ac:dyDescent="0.25">
      <c r="B8" s="1152" t="s">
        <v>1774</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A11" s="5"/>
      <c r="B11" s="58"/>
      <c r="C11" s="65"/>
      <c r="D11" s="15"/>
      <c r="E11" s="15"/>
      <c r="F11" s="15"/>
      <c r="G11" s="411"/>
      <c r="H11" s="17" t="str">
        <f t="shared" ref="H11:H69" si="0">IF(D11="","",F11*G11)</f>
        <v/>
      </c>
      <c r="I11" s="18"/>
      <c r="J11" s="61"/>
      <c r="K11" s="399"/>
      <c r="L11" s="420" t="str">
        <f t="shared" ref="L11" si="1">IF(J11="","",F11*K11)</f>
        <v/>
      </c>
      <c r="M11" s="401" t="str">
        <f t="shared" ref="M11" si="2">IF(J11="","",IF(SUM(H11)=0,"",L11/H11))</f>
        <v/>
      </c>
    </row>
    <row r="12" spans="1:14" ht="13" x14ac:dyDescent="0.25">
      <c r="A12" s="5"/>
      <c r="B12" s="146" t="s">
        <v>316</v>
      </c>
      <c r="C12" s="672" t="s">
        <v>317</v>
      </c>
      <c r="D12" s="15"/>
      <c r="E12" s="15"/>
      <c r="F12" s="15"/>
      <c r="G12" s="411"/>
      <c r="H12" s="17" t="str">
        <f t="shared" si="0"/>
        <v/>
      </c>
      <c r="I12" s="18"/>
      <c r="J12" s="61"/>
      <c r="K12" s="399"/>
      <c r="L12" s="420" t="str">
        <f t="shared" ref="L12:L69" si="3">IF(J12="","",F12*K12)</f>
        <v/>
      </c>
      <c r="M12" s="401" t="str">
        <f t="shared" ref="M12:M69" si="4">IF(J12="","",IF(SUM(H12)=0,"",L12/H12))</f>
        <v/>
      </c>
    </row>
    <row r="13" spans="1:14" x14ac:dyDescent="0.25">
      <c r="A13" s="5"/>
      <c r="B13" s="58"/>
      <c r="C13" s="65"/>
      <c r="D13" s="15"/>
      <c r="E13" s="15"/>
      <c r="F13" s="15"/>
      <c r="G13" s="411"/>
      <c r="H13" s="17" t="str">
        <f t="shared" si="0"/>
        <v/>
      </c>
      <c r="I13" s="18"/>
      <c r="J13" s="61"/>
      <c r="K13" s="399"/>
      <c r="L13" s="420" t="str">
        <f t="shared" si="3"/>
        <v/>
      </c>
      <c r="M13" s="401" t="str">
        <f t="shared" si="4"/>
        <v/>
      </c>
    </row>
    <row r="14" spans="1:14" ht="13" x14ac:dyDescent="0.25">
      <c r="A14" s="5"/>
      <c r="B14" s="146" t="s">
        <v>318</v>
      </c>
      <c r="C14" s="672" t="s">
        <v>322</v>
      </c>
      <c r="D14" s="15"/>
      <c r="E14" s="15"/>
      <c r="F14" s="15"/>
      <c r="G14" s="411"/>
      <c r="H14" s="17" t="str">
        <f t="shared" si="0"/>
        <v/>
      </c>
      <c r="I14" s="18"/>
      <c r="J14" s="61"/>
      <c r="K14" s="399"/>
      <c r="L14" s="420" t="str">
        <f t="shared" si="3"/>
        <v/>
      </c>
      <c r="M14" s="401" t="str">
        <f t="shared" si="4"/>
        <v/>
      </c>
    </row>
    <row r="15" spans="1:14" x14ac:dyDescent="0.25">
      <c r="A15" s="5"/>
      <c r="B15" s="58"/>
      <c r="C15" s="65"/>
      <c r="D15" s="15"/>
      <c r="E15" s="15"/>
      <c r="F15" s="15"/>
      <c r="G15" s="411"/>
      <c r="H15" s="17" t="str">
        <f t="shared" si="0"/>
        <v/>
      </c>
      <c r="I15" s="18"/>
      <c r="J15" s="61"/>
      <c r="K15" s="399"/>
      <c r="L15" s="420" t="str">
        <f t="shared" si="3"/>
        <v/>
      </c>
      <c r="M15" s="401" t="str">
        <f t="shared" si="4"/>
        <v/>
      </c>
    </row>
    <row r="16" spans="1:14" x14ac:dyDescent="0.25">
      <c r="A16" s="5"/>
      <c r="B16" s="58" t="s">
        <v>319</v>
      </c>
      <c r="C16" s="65" t="s">
        <v>1760</v>
      </c>
      <c r="D16" s="15"/>
      <c r="E16" s="15"/>
      <c r="F16" s="24"/>
      <c r="G16" s="411"/>
      <c r="H16" s="17" t="str">
        <f t="shared" si="0"/>
        <v/>
      </c>
      <c r="I16" s="57"/>
      <c r="J16" s="61"/>
      <c r="K16" s="399"/>
      <c r="L16" s="420" t="str">
        <f t="shared" si="3"/>
        <v/>
      </c>
      <c r="M16" s="401" t="str">
        <f t="shared" si="4"/>
        <v/>
      </c>
    </row>
    <row r="17" spans="1:13" x14ac:dyDescent="0.25">
      <c r="A17" s="5"/>
      <c r="B17" s="58"/>
      <c r="C17" s="65"/>
      <c r="D17" s="15"/>
      <c r="E17" s="15"/>
      <c r="F17" s="24"/>
      <c r="G17" s="411"/>
      <c r="H17" s="17" t="str">
        <f t="shared" si="0"/>
        <v/>
      </c>
      <c r="I17" s="57"/>
      <c r="J17" s="61"/>
      <c r="K17" s="399"/>
      <c r="L17" s="420" t="str">
        <f t="shared" si="3"/>
        <v/>
      </c>
      <c r="M17" s="401" t="str">
        <f t="shared" si="4"/>
        <v/>
      </c>
    </row>
    <row r="18" spans="1:13" x14ac:dyDescent="0.25">
      <c r="A18" s="5"/>
      <c r="B18" s="58" t="s">
        <v>39</v>
      </c>
      <c r="C18" s="65" t="s">
        <v>1751</v>
      </c>
      <c r="D18" s="15" t="s">
        <v>7</v>
      </c>
      <c r="E18" s="15" t="s">
        <v>996</v>
      </c>
      <c r="F18" s="731">
        <v>3</v>
      </c>
      <c r="G18" s="411"/>
      <c r="H18" s="17">
        <f t="shared" si="0"/>
        <v>0</v>
      </c>
      <c r="I18" s="57"/>
      <c r="J18" s="61" t="s">
        <v>996</v>
      </c>
      <c r="K18" s="399">
        <f>IF(D18="","",ROUND(12%*G18,1))</f>
        <v>0</v>
      </c>
      <c r="L18" s="420">
        <f t="shared" si="3"/>
        <v>0</v>
      </c>
      <c r="M18" s="401" t="str">
        <f t="shared" si="4"/>
        <v/>
      </c>
    </row>
    <row r="19" spans="1:13" x14ac:dyDescent="0.25">
      <c r="A19" s="5"/>
      <c r="B19" s="58"/>
      <c r="C19" s="65"/>
      <c r="D19" s="15"/>
      <c r="E19" s="15"/>
      <c r="F19" s="24"/>
      <c r="G19" s="411"/>
      <c r="H19" s="17" t="str">
        <f t="shared" si="0"/>
        <v/>
      </c>
      <c r="I19" s="57"/>
      <c r="J19" s="61"/>
      <c r="K19" s="399" t="str">
        <f t="shared" ref="K19" si="5">IF(D19="","",ROUND(Labour_perc_structures*H19,1))</f>
        <v/>
      </c>
      <c r="L19" s="420" t="str">
        <f t="shared" si="3"/>
        <v/>
      </c>
      <c r="M19" s="401" t="str">
        <f t="shared" si="4"/>
        <v/>
      </c>
    </row>
    <row r="20" spans="1:13" x14ac:dyDescent="0.25">
      <c r="A20" s="5"/>
      <c r="B20" s="58" t="s">
        <v>41</v>
      </c>
      <c r="C20" s="65" t="s">
        <v>1752</v>
      </c>
      <c r="D20" s="15" t="s">
        <v>7</v>
      </c>
      <c r="E20" s="15" t="s">
        <v>996</v>
      </c>
      <c r="F20" s="731">
        <v>20</v>
      </c>
      <c r="G20" s="411"/>
      <c r="H20" s="17">
        <f t="shared" si="0"/>
        <v>0</v>
      </c>
      <c r="I20" s="57"/>
      <c r="J20" s="61" t="s">
        <v>996</v>
      </c>
      <c r="K20" s="399">
        <f>IF(D20="","",ROUND(12%*G20,1))</f>
        <v>0</v>
      </c>
      <c r="L20" s="420">
        <f t="shared" si="3"/>
        <v>0</v>
      </c>
      <c r="M20" s="401" t="str">
        <f t="shared" si="4"/>
        <v/>
      </c>
    </row>
    <row r="21" spans="1:13" x14ac:dyDescent="0.25">
      <c r="A21" s="5"/>
      <c r="B21" s="58"/>
      <c r="C21" s="65"/>
      <c r="D21" s="15"/>
      <c r="E21" s="15"/>
      <c r="F21" s="24"/>
      <c r="G21" s="411"/>
      <c r="H21" s="17" t="str">
        <f t="shared" si="0"/>
        <v/>
      </c>
      <c r="I21" s="57"/>
      <c r="J21" s="61"/>
      <c r="K21" s="399"/>
      <c r="L21" s="420" t="str">
        <f t="shared" si="3"/>
        <v/>
      </c>
      <c r="M21" s="401" t="str">
        <f t="shared" si="4"/>
        <v/>
      </c>
    </row>
    <row r="22" spans="1:13" x14ac:dyDescent="0.25">
      <c r="A22" s="5"/>
      <c r="B22" s="58" t="s">
        <v>320</v>
      </c>
      <c r="C22" s="65" t="s">
        <v>1757</v>
      </c>
      <c r="D22" s="15"/>
      <c r="E22" s="15"/>
      <c r="F22" s="24"/>
      <c r="G22" s="411"/>
      <c r="H22" s="17" t="str">
        <f t="shared" si="0"/>
        <v/>
      </c>
      <c r="I22" s="63"/>
      <c r="J22" s="61"/>
      <c r="K22" s="399"/>
      <c r="L22" s="420" t="str">
        <f t="shared" si="3"/>
        <v/>
      </c>
      <c r="M22" s="401" t="str">
        <f t="shared" si="4"/>
        <v/>
      </c>
    </row>
    <row r="23" spans="1:13" x14ac:dyDescent="0.25">
      <c r="A23" s="5"/>
      <c r="B23" s="58"/>
      <c r="C23" s="65"/>
      <c r="D23" s="15"/>
      <c r="E23" s="15"/>
      <c r="F23" s="24"/>
      <c r="G23" s="411"/>
      <c r="H23" s="17" t="str">
        <f t="shared" si="0"/>
        <v/>
      </c>
      <c r="I23" s="63"/>
      <c r="J23" s="61"/>
      <c r="K23" s="399"/>
      <c r="L23" s="420" t="str">
        <f t="shared" si="3"/>
        <v/>
      </c>
      <c r="M23" s="401" t="str">
        <f t="shared" si="4"/>
        <v/>
      </c>
    </row>
    <row r="24" spans="1:13" x14ac:dyDescent="0.25">
      <c r="A24" s="5"/>
      <c r="B24" s="58" t="s">
        <v>39</v>
      </c>
      <c r="C24" s="65" t="s">
        <v>1751</v>
      </c>
      <c r="D24" s="15" t="s">
        <v>7</v>
      </c>
      <c r="E24" s="15" t="s">
        <v>996</v>
      </c>
      <c r="F24" s="731">
        <v>0.5</v>
      </c>
      <c r="G24" s="411"/>
      <c r="H24" s="17">
        <f t="shared" si="0"/>
        <v>0</v>
      </c>
      <c r="I24" s="63"/>
      <c r="J24" s="61" t="s">
        <v>996</v>
      </c>
      <c r="K24" s="399">
        <f>IF(D24="","",ROUND(12%*G24,1))</f>
        <v>0</v>
      </c>
      <c r="L24" s="420">
        <f t="shared" si="3"/>
        <v>0</v>
      </c>
      <c r="M24" s="401" t="str">
        <f t="shared" si="4"/>
        <v/>
      </c>
    </row>
    <row r="25" spans="1:13" x14ac:dyDescent="0.25">
      <c r="A25" s="5"/>
      <c r="B25" s="58"/>
      <c r="C25" s="65"/>
      <c r="D25" s="15"/>
      <c r="E25" s="15"/>
      <c r="F25" s="24"/>
      <c r="G25" s="411"/>
      <c r="H25" s="17" t="str">
        <f t="shared" si="0"/>
        <v/>
      </c>
      <c r="I25" s="63"/>
      <c r="J25" s="61"/>
      <c r="K25" s="399"/>
      <c r="L25" s="420" t="str">
        <f t="shared" si="3"/>
        <v/>
      </c>
      <c r="M25" s="401" t="str">
        <f t="shared" si="4"/>
        <v/>
      </c>
    </row>
    <row r="26" spans="1:13" x14ac:dyDescent="0.25">
      <c r="A26" s="5"/>
      <c r="B26" s="58" t="s">
        <v>41</v>
      </c>
      <c r="C26" s="65" t="s">
        <v>1752</v>
      </c>
      <c r="D26" s="15" t="s">
        <v>7</v>
      </c>
      <c r="E26" s="15" t="s">
        <v>996</v>
      </c>
      <c r="F26" s="731">
        <v>6</v>
      </c>
      <c r="G26" s="411"/>
      <c r="H26" s="17">
        <f t="shared" si="0"/>
        <v>0</v>
      </c>
      <c r="I26" s="63"/>
      <c r="J26" s="61" t="s">
        <v>996</v>
      </c>
      <c r="K26" s="399">
        <f>IF(D26="","",ROUND(12%*G26,1))</f>
        <v>0</v>
      </c>
      <c r="L26" s="420">
        <f t="shared" si="3"/>
        <v>0</v>
      </c>
      <c r="M26" s="401" t="str">
        <f t="shared" si="4"/>
        <v/>
      </c>
    </row>
    <row r="27" spans="1:13" x14ac:dyDescent="0.25">
      <c r="A27" s="5"/>
      <c r="B27" s="58"/>
      <c r="C27" s="65"/>
      <c r="D27" s="15"/>
      <c r="E27" s="15"/>
      <c r="F27" s="24"/>
      <c r="G27" s="411"/>
      <c r="H27" s="17" t="str">
        <f t="shared" si="0"/>
        <v/>
      </c>
      <c r="I27" s="63"/>
      <c r="J27" s="61"/>
      <c r="K27" s="399"/>
      <c r="L27" s="420" t="str">
        <f t="shared" si="3"/>
        <v/>
      </c>
      <c r="M27" s="401" t="str">
        <f t="shared" si="4"/>
        <v/>
      </c>
    </row>
    <row r="28" spans="1:13" x14ac:dyDescent="0.25">
      <c r="A28" s="5"/>
      <c r="B28" s="58" t="s">
        <v>1745</v>
      </c>
      <c r="C28" s="65" t="s">
        <v>1755</v>
      </c>
      <c r="D28" s="15"/>
      <c r="E28" s="15"/>
      <c r="F28" s="24"/>
      <c r="G28" s="411"/>
      <c r="H28" s="17" t="str">
        <f t="shared" si="0"/>
        <v/>
      </c>
      <c r="I28" s="63"/>
      <c r="J28" s="61"/>
      <c r="K28" s="399"/>
      <c r="L28" s="420" t="str">
        <f t="shared" si="3"/>
        <v/>
      </c>
      <c r="M28" s="401" t="str">
        <f t="shared" si="4"/>
        <v/>
      </c>
    </row>
    <row r="29" spans="1:13" x14ac:dyDescent="0.25">
      <c r="A29" s="5"/>
      <c r="B29" s="58"/>
      <c r="C29" s="65"/>
      <c r="D29" s="15"/>
      <c r="E29" s="15"/>
      <c r="F29" s="24"/>
      <c r="G29" s="411"/>
      <c r="H29" s="17" t="str">
        <f t="shared" si="0"/>
        <v/>
      </c>
      <c r="I29" s="63"/>
      <c r="J29" s="61"/>
      <c r="K29" s="399"/>
      <c r="L29" s="420" t="str">
        <f t="shared" si="3"/>
        <v/>
      </c>
      <c r="M29" s="401" t="str">
        <f t="shared" si="4"/>
        <v/>
      </c>
    </row>
    <row r="30" spans="1:13" x14ac:dyDescent="0.25">
      <c r="A30" s="5"/>
      <c r="B30" s="58" t="s">
        <v>39</v>
      </c>
      <c r="C30" s="65" t="s">
        <v>1751</v>
      </c>
      <c r="D30" s="15" t="s">
        <v>7</v>
      </c>
      <c r="E30" s="15" t="s">
        <v>996</v>
      </c>
      <c r="F30" s="731">
        <v>0.25</v>
      </c>
      <c r="G30" s="411"/>
      <c r="H30" s="17">
        <f t="shared" si="0"/>
        <v>0</v>
      </c>
      <c r="I30" s="63"/>
      <c r="J30" s="61" t="s">
        <v>996</v>
      </c>
      <c r="K30" s="399">
        <f>IF(D30="","",ROUND(12%*G30,1))</f>
        <v>0</v>
      </c>
      <c r="L30" s="420">
        <f t="shared" si="3"/>
        <v>0</v>
      </c>
      <c r="M30" s="401" t="str">
        <f t="shared" si="4"/>
        <v/>
      </c>
    </row>
    <row r="31" spans="1:13" x14ac:dyDescent="0.25">
      <c r="A31" s="5"/>
      <c r="B31" s="58"/>
      <c r="C31" s="65"/>
      <c r="D31" s="15"/>
      <c r="E31" s="15"/>
      <c r="F31" s="24"/>
      <c r="G31" s="411"/>
      <c r="H31" s="17" t="str">
        <f t="shared" si="0"/>
        <v/>
      </c>
      <c r="I31" s="63"/>
      <c r="J31" s="61"/>
      <c r="K31" s="399"/>
      <c r="L31" s="420" t="str">
        <f t="shared" si="3"/>
        <v/>
      </c>
      <c r="M31" s="401" t="str">
        <f t="shared" si="4"/>
        <v/>
      </c>
    </row>
    <row r="32" spans="1:13" x14ac:dyDescent="0.25">
      <c r="A32" s="5"/>
      <c r="B32" s="58" t="s">
        <v>41</v>
      </c>
      <c r="C32" s="65" t="s">
        <v>1752</v>
      </c>
      <c r="D32" s="15" t="s">
        <v>7</v>
      </c>
      <c r="E32" s="15" t="s">
        <v>996</v>
      </c>
      <c r="F32" s="731">
        <v>4</v>
      </c>
      <c r="G32" s="411"/>
      <c r="H32" s="17">
        <f t="shared" si="0"/>
        <v>0</v>
      </c>
      <c r="I32" s="63"/>
      <c r="J32" s="61" t="s">
        <v>996</v>
      </c>
      <c r="K32" s="399">
        <f>IF(D32="","",ROUND(12%*G32,1))</f>
        <v>0</v>
      </c>
      <c r="L32" s="420">
        <f t="shared" si="3"/>
        <v>0</v>
      </c>
      <c r="M32" s="401" t="str">
        <f t="shared" si="4"/>
        <v/>
      </c>
    </row>
    <row r="33" spans="1:13" x14ac:dyDescent="0.25">
      <c r="A33" s="5"/>
      <c r="B33" s="58"/>
      <c r="C33" s="65"/>
      <c r="D33" s="15"/>
      <c r="E33" s="15"/>
      <c r="F33" s="24"/>
      <c r="G33" s="411"/>
      <c r="H33" s="17" t="str">
        <f t="shared" si="0"/>
        <v/>
      </c>
      <c r="I33" s="63"/>
      <c r="J33" s="61"/>
      <c r="K33" s="399"/>
      <c r="L33" s="420" t="str">
        <f t="shared" si="3"/>
        <v/>
      </c>
      <c r="M33" s="401" t="str">
        <f t="shared" si="4"/>
        <v/>
      </c>
    </row>
    <row r="34" spans="1:13" x14ac:dyDescent="0.25">
      <c r="A34" s="5"/>
      <c r="B34" s="58" t="s">
        <v>1746</v>
      </c>
      <c r="C34" s="65" t="s">
        <v>1761</v>
      </c>
      <c r="D34" s="15"/>
      <c r="E34" s="15"/>
      <c r="F34" s="24"/>
      <c r="G34" s="411"/>
      <c r="H34" s="17" t="str">
        <f t="shared" si="0"/>
        <v/>
      </c>
      <c r="I34" s="63"/>
      <c r="J34" s="61"/>
      <c r="K34" s="399"/>
      <c r="L34" s="420" t="str">
        <f t="shared" si="3"/>
        <v/>
      </c>
      <c r="M34" s="401" t="str">
        <f t="shared" si="4"/>
        <v/>
      </c>
    </row>
    <row r="35" spans="1:13" x14ac:dyDescent="0.25">
      <c r="A35" s="5"/>
      <c r="B35" s="58"/>
      <c r="C35" s="65"/>
      <c r="D35" s="15"/>
      <c r="E35" s="15"/>
      <c r="F35" s="24"/>
      <c r="G35" s="411"/>
      <c r="H35" s="17" t="str">
        <f t="shared" si="0"/>
        <v/>
      </c>
      <c r="I35" s="63"/>
      <c r="J35" s="61"/>
      <c r="K35" s="606"/>
      <c r="L35" s="420" t="str">
        <f t="shared" si="3"/>
        <v/>
      </c>
      <c r="M35" s="401" t="str">
        <f t="shared" si="4"/>
        <v/>
      </c>
    </row>
    <row r="36" spans="1:13" x14ac:dyDescent="0.25">
      <c r="A36" s="5"/>
      <c r="B36" s="58" t="s">
        <v>39</v>
      </c>
      <c r="C36" s="65" t="s">
        <v>1751</v>
      </c>
      <c r="D36" s="15" t="s">
        <v>7</v>
      </c>
      <c r="E36" s="15" t="s">
        <v>996</v>
      </c>
      <c r="F36" s="731">
        <v>0.5</v>
      </c>
      <c r="G36" s="411"/>
      <c r="H36" s="17">
        <f t="shared" si="0"/>
        <v>0</v>
      </c>
      <c r="I36" s="63"/>
      <c r="J36" s="61" t="s">
        <v>996</v>
      </c>
      <c r="K36" s="399">
        <f>IF(D36="","",ROUND(12%*G36,1))</f>
        <v>0</v>
      </c>
      <c r="L36" s="420">
        <f t="shared" si="3"/>
        <v>0</v>
      </c>
      <c r="M36" s="401" t="str">
        <f t="shared" si="4"/>
        <v/>
      </c>
    </row>
    <row r="37" spans="1:13" x14ac:dyDescent="0.25">
      <c r="A37" s="5"/>
      <c r="B37" s="58"/>
      <c r="C37" s="65"/>
      <c r="D37" s="15"/>
      <c r="E37" s="15"/>
      <c r="F37" s="24"/>
      <c r="G37" s="411"/>
      <c r="H37" s="17" t="str">
        <f t="shared" si="0"/>
        <v/>
      </c>
      <c r="I37" s="63"/>
      <c r="J37" s="61"/>
      <c r="K37" s="399"/>
      <c r="L37" s="420" t="str">
        <f t="shared" si="3"/>
        <v/>
      </c>
      <c r="M37" s="401" t="str">
        <f t="shared" si="4"/>
        <v/>
      </c>
    </row>
    <row r="38" spans="1:13" x14ac:dyDescent="0.25">
      <c r="A38" s="5"/>
      <c r="B38" s="58" t="s">
        <v>41</v>
      </c>
      <c r="C38" s="65" t="s">
        <v>1752</v>
      </c>
      <c r="D38" s="15" t="s">
        <v>7</v>
      </c>
      <c r="E38" s="15" t="s">
        <v>996</v>
      </c>
      <c r="F38" s="731">
        <v>4</v>
      </c>
      <c r="G38" s="411"/>
      <c r="H38" s="17">
        <f t="shared" si="0"/>
        <v>0</v>
      </c>
      <c r="I38" s="63"/>
      <c r="J38" s="61" t="s">
        <v>996</v>
      </c>
      <c r="K38" s="399">
        <f>IF(D38="","",ROUND(12%*G38,1))</f>
        <v>0</v>
      </c>
      <c r="L38" s="420">
        <f t="shared" si="3"/>
        <v>0</v>
      </c>
      <c r="M38" s="401" t="str">
        <f t="shared" si="4"/>
        <v/>
      </c>
    </row>
    <row r="39" spans="1:13" x14ac:dyDescent="0.25">
      <c r="A39" s="5"/>
      <c r="B39" s="58"/>
      <c r="C39" s="65"/>
      <c r="D39" s="15"/>
      <c r="E39" s="15"/>
      <c r="F39" s="24"/>
      <c r="G39" s="411"/>
      <c r="H39" s="17" t="str">
        <f t="shared" si="0"/>
        <v/>
      </c>
      <c r="I39" s="63"/>
      <c r="J39" s="61"/>
      <c r="K39" s="399"/>
      <c r="L39" s="420" t="str">
        <f t="shared" si="3"/>
        <v/>
      </c>
      <c r="M39" s="401" t="str">
        <f t="shared" si="4"/>
        <v/>
      </c>
    </row>
    <row r="40" spans="1:13" x14ac:dyDescent="0.25">
      <c r="A40" s="5"/>
      <c r="B40" s="58" t="s">
        <v>52</v>
      </c>
      <c r="C40" s="65" t="s">
        <v>1753</v>
      </c>
      <c r="D40" s="15" t="s">
        <v>24</v>
      </c>
      <c r="E40" s="15" t="s">
        <v>996</v>
      </c>
      <c r="F40" s="24">
        <v>500</v>
      </c>
      <c r="G40" s="411"/>
      <c r="H40" s="17">
        <f t="shared" si="0"/>
        <v>0</v>
      </c>
      <c r="I40" s="63"/>
      <c r="J40" s="61" t="s">
        <v>996</v>
      </c>
      <c r="K40" s="606">
        <f>_Mesh</f>
        <v>4.5</v>
      </c>
      <c r="L40" s="420">
        <f t="shared" si="3"/>
        <v>2250</v>
      </c>
      <c r="M40" s="401" t="str">
        <f t="shared" si="4"/>
        <v/>
      </c>
    </row>
    <row r="41" spans="1:13" x14ac:dyDescent="0.25">
      <c r="A41" s="5"/>
      <c r="B41" s="58"/>
      <c r="C41" s="65"/>
      <c r="D41" s="15"/>
      <c r="E41" s="15"/>
      <c r="F41" s="24"/>
      <c r="G41" s="411"/>
      <c r="H41" s="17" t="str">
        <f t="shared" si="0"/>
        <v/>
      </c>
      <c r="I41" s="63"/>
      <c r="J41" s="61"/>
      <c r="K41" s="606"/>
      <c r="L41" s="420" t="str">
        <f t="shared" si="3"/>
        <v/>
      </c>
      <c r="M41" s="401" t="str">
        <f t="shared" si="4"/>
        <v/>
      </c>
    </row>
    <row r="42" spans="1:13" ht="25" x14ac:dyDescent="0.25">
      <c r="A42" s="5"/>
      <c r="B42" s="58" t="s">
        <v>1748</v>
      </c>
      <c r="C42" s="668" t="s">
        <v>1769</v>
      </c>
      <c r="D42" s="15"/>
      <c r="E42" s="15"/>
      <c r="F42" s="731"/>
      <c r="G42" s="411"/>
      <c r="H42" s="17" t="str">
        <f t="shared" si="0"/>
        <v/>
      </c>
      <c r="I42" s="63"/>
      <c r="J42" s="61"/>
      <c r="K42" s="399"/>
      <c r="L42" s="420" t="str">
        <f t="shared" si="3"/>
        <v/>
      </c>
      <c r="M42" s="401" t="str">
        <f t="shared" si="4"/>
        <v/>
      </c>
    </row>
    <row r="43" spans="1:13" x14ac:dyDescent="0.25">
      <c r="A43" s="5"/>
      <c r="B43" s="58"/>
      <c r="C43" s="65"/>
      <c r="D43" s="15"/>
      <c r="E43" s="15"/>
      <c r="F43" s="24"/>
      <c r="G43" s="411"/>
      <c r="H43" s="17" t="str">
        <f t="shared" si="0"/>
        <v/>
      </c>
      <c r="I43" s="63"/>
      <c r="J43" s="61"/>
      <c r="K43" s="399"/>
      <c r="L43" s="420" t="str">
        <f t="shared" si="3"/>
        <v/>
      </c>
      <c r="M43" s="401" t="str">
        <f t="shared" si="4"/>
        <v/>
      </c>
    </row>
    <row r="44" spans="1:13" x14ac:dyDescent="0.25">
      <c r="A44" s="5"/>
      <c r="B44" s="58" t="s">
        <v>41</v>
      </c>
      <c r="C44" s="65" t="s">
        <v>1752</v>
      </c>
      <c r="D44" s="15" t="s">
        <v>7</v>
      </c>
      <c r="E44" s="15" t="s">
        <v>996</v>
      </c>
      <c r="F44" s="731">
        <v>0.22</v>
      </c>
      <c r="G44" s="411"/>
      <c r="H44" s="17">
        <f t="shared" ref="H44" si="6">IF(D44="","",F44*G44)</f>
        <v>0</v>
      </c>
      <c r="I44" s="63"/>
      <c r="J44" s="61" t="s">
        <v>996</v>
      </c>
      <c r="K44" s="399">
        <f>IF(D44="","",ROUND(12%*G44,1))</f>
        <v>0</v>
      </c>
      <c r="L44" s="420">
        <f t="shared" ref="L44" si="7">IF(J44="","",F44*K44)</f>
        <v>0</v>
      </c>
      <c r="M44" s="401" t="str">
        <f t="shared" ref="M44" si="8">IF(J44="","",IF(SUM(H44)=0,"",L44/H44))</f>
        <v/>
      </c>
    </row>
    <row r="45" spans="1:13" x14ac:dyDescent="0.25">
      <c r="A45" s="5"/>
      <c r="B45" s="58"/>
      <c r="C45" s="65"/>
      <c r="D45" s="15"/>
      <c r="E45" s="15"/>
      <c r="F45" s="24"/>
      <c r="G45" s="411"/>
      <c r="H45" s="17" t="str">
        <f t="shared" si="0"/>
        <v/>
      </c>
      <c r="I45" s="63"/>
      <c r="J45" s="61"/>
      <c r="K45" s="399"/>
      <c r="L45" s="420" t="str">
        <f t="shared" si="3"/>
        <v/>
      </c>
      <c r="M45" s="401" t="str">
        <f t="shared" si="4"/>
        <v/>
      </c>
    </row>
    <row r="46" spans="1:13" ht="25" x14ac:dyDescent="0.25">
      <c r="A46" s="5"/>
      <c r="B46" s="58" t="s">
        <v>1749</v>
      </c>
      <c r="C46" s="668" t="s">
        <v>1770</v>
      </c>
      <c r="D46" s="15"/>
      <c r="E46" s="15"/>
      <c r="F46" s="731"/>
      <c r="G46" s="411"/>
      <c r="H46" s="17" t="str">
        <f t="shared" ref="H46:H48" si="9">IF(D46="","",F46*G46)</f>
        <v/>
      </c>
      <c r="I46" s="63"/>
      <c r="J46" s="61"/>
      <c r="K46" s="399"/>
      <c r="L46" s="420" t="str">
        <f t="shared" ref="L46:L48" si="10">IF(J46="","",F46*K46)</f>
        <v/>
      </c>
      <c r="M46" s="401" t="str">
        <f t="shared" ref="M46:M48" si="11">IF(J46="","",IF(SUM(H46)=0,"",L46/H46))</f>
        <v/>
      </c>
    </row>
    <row r="47" spans="1:13" x14ac:dyDescent="0.25">
      <c r="A47" s="5"/>
      <c r="B47" s="58"/>
      <c r="C47" s="65"/>
      <c r="D47" s="15"/>
      <c r="E47" s="15"/>
      <c r="F47" s="24"/>
      <c r="G47" s="411"/>
      <c r="H47" s="17" t="str">
        <f t="shared" si="9"/>
        <v/>
      </c>
      <c r="I47" s="63"/>
      <c r="J47" s="61"/>
      <c r="K47" s="399"/>
      <c r="L47" s="420" t="str">
        <f t="shared" si="10"/>
        <v/>
      </c>
      <c r="M47" s="401" t="str">
        <f t="shared" si="11"/>
        <v/>
      </c>
    </row>
    <row r="48" spans="1:13" x14ac:dyDescent="0.25">
      <c r="A48" s="5"/>
      <c r="B48" s="58" t="s">
        <v>41</v>
      </c>
      <c r="C48" s="65" t="s">
        <v>1752</v>
      </c>
      <c r="D48" s="15" t="s">
        <v>7</v>
      </c>
      <c r="E48" s="15" t="s">
        <v>996</v>
      </c>
      <c r="F48" s="731">
        <v>0.12</v>
      </c>
      <c r="G48" s="411"/>
      <c r="H48" s="17">
        <f t="shared" si="9"/>
        <v>0</v>
      </c>
      <c r="I48" s="63"/>
      <c r="J48" s="61" t="s">
        <v>996</v>
      </c>
      <c r="K48" s="399">
        <f>IF(D48="","",ROUND(12%*G48,1))</f>
        <v>0</v>
      </c>
      <c r="L48" s="420">
        <f t="shared" si="10"/>
        <v>0</v>
      </c>
      <c r="M48" s="401" t="str">
        <f t="shared" si="11"/>
        <v/>
      </c>
    </row>
    <row r="49" spans="1:13" x14ac:dyDescent="0.25">
      <c r="A49" s="5"/>
      <c r="B49" s="58"/>
      <c r="C49" s="65"/>
      <c r="D49" s="15"/>
      <c r="E49" s="15"/>
      <c r="F49" s="24"/>
      <c r="G49" s="411"/>
      <c r="H49" s="17" t="str">
        <f t="shared" si="0"/>
        <v/>
      </c>
      <c r="I49" s="63"/>
      <c r="J49" s="61"/>
      <c r="K49" s="399"/>
      <c r="L49" s="420" t="str">
        <f t="shared" si="3"/>
        <v/>
      </c>
      <c r="M49" s="401" t="str">
        <f t="shared" si="4"/>
        <v/>
      </c>
    </row>
    <row r="50" spans="1:13" ht="52" x14ac:dyDescent="0.25">
      <c r="A50" s="5"/>
      <c r="B50" s="146" t="s">
        <v>321</v>
      </c>
      <c r="C50" s="672" t="s">
        <v>2149</v>
      </c>
      <c r="D50" s="15" t="s">
        <v>7</v>
      </c>
      <c r="E50" s="15"/>
      <c r="F50" s="731">
        <f>$F$44+$F$48</f>
        <v>0.33999999999999997</v>
      </c>
      <c r="G50" s="411"/>
      <c r="H50" s="17">
        <f t="shared" si="0"/>
        <v>0</v>
      </c>
      <c r="I50" s="57"/>
      <c r="J50" s="62"/>
      <c r="K50" s="399"/>
      <c r="L50" s="420" t="str">
        <f t="shared" si="3"/>
        <v/>
      </c>
      <c r="M50" s="401" t="str">
        <f t="shared" si="4"/>
        <v/>
      </c>
    </row>
    <row r="51" spans="1:13" x14ac:dyDescent="0.25">
      <c r="A51" s="5"/>
      <c r="B51" s="58"/>
      <c r="C51" s="65"/>
      <c r="D51" s="15"/>
      <c r="E51" s="15"/>
      <c r="F51" s="24"/>
      <c r="G51" s="411"/>
      <c r="H51" s="17" t="str">
        <f t="shared" si="0"/>
        <v/>
      </c>
      <c r="I51" s="18"/>
      <c r="J51" s="62"/>
      <c r="K51" s="399"/>
      <c r="L51" s="420" t="str">
        <f t="shared" si="3"/>
        <v/>
      </c>
      <c r="M51" s="401" t="str">
        <f t="shared" si="4"/>
        <v/>
      </c>
    </row>
    <row r="52" spans="1:13" s="36" customFormat="1" x14ac:dyDescent="0.25">
      <c r="A52" s="63"/>
      <c r="B52" s="58"/>
      <c r="C52" s="65"/>
      <c r="D52" s="15"/>
      <c r="E52" s="15"/>
      <c r="F52" s="24"/>
      <c r="G52" s="411"/>
      <c r="H52" s="17" t="str">
        <f t="shared" si="0"/>
        <v/>
      </c>
      <c r="I52" s="18"/>
      <c r="J52" s="62"/>
      <c r="K52" s="399"/>
      <c r="L52" s="420" t="str">
        <f t="shared" si="3"/>
        <v/>
      </c>
      <c r="M52" s="401" t="str">
        <f t="shared" si="4"/>
        <v/>
      </c>
    </row>
    <row r="53" spans="1:13" x14ac:dyDescent="0.25">
      <c r="A53" s="5"/>
      <c r="B53" s="58"/>
      <c r="C53" s="65"/>
      <c r="D53" s="15"/>
      <c r="E53" s="15"/>
      <c r="F53" s="24"/>
      <c r="G53" s="411"/>
      <c r="H53" s="17" t="str">
        <f t="shared" si="0"/>
        <v/>
      </c>
      <c r="I53" s="57"/>
      <c r="J53" s="62"/>
      <c r="K53" s="399"/>
      <c r="L53" s="420" t="str">
        <f t="shared" si="3"/>
        <v/>
      </c>
      <c r="M53" s="401" t="str">
        <f t="shared" si="4"/>
        <v/>
      </c>
    </row>
    <row r="54" spans="1:13" x14ac:dyDescent="0.25">
      <c r="A54" s="5"/>
      <c r="B54" s="58"/>
      <c r="C54" s="615"/>
      <c r="D54" s="587"/>
      <c r="E54" s="587"/>
      <c r="F54" s="24"/>
      <c r="G54" s="411"/>
      <c r="H54" s="17" t="str">
        <f t="shared" si="0"/>
        <v/>
      </c>
      <c r="I54" s="57"/>
      <c r="J54" s="62"/>
      <c r="K54" s="399"/>
      <c r="L54" s="420" t="str">
        <f t="shared" si="3"/>
        <v/>
      </c>
      <c r="M54" s="401" t="str">
        <f t="shared" si="4"/>
        <v/>
      </c>
    </row>
    <row r="55" spans="1:13" x14ac:dyDescent="0.25">
      <c r="A55" s="5"/>
      <c r="B55" s="58"/>
      <c r="C55" s="386"/>
      <c r="D55" s="587"/>
      <c r="E55" s="587"/>
      <c r="F55" s="24"/>
      <c r="G55" s="411"/>
      <c r="H55" s="17" t="str">
        <f t="shared" si="0"/>
        <v/>
      </c>
      <c r="I55" s="18"/>
      <c r="J55" s="62"/>
      <c r="K55" s="399"/>
      <c r="L55" s="420" t="str">
        <f t="shared" si="3"/>
        <v/>
      </c>
      <c r="M55" s="401" t="str">
        <f t="shared" si="4"/>
        <v/>
      </c>
    </row>
    <row r="56" spans="1:13" x14ac:dyDescent="0.25">
      <c r="A56" s="5"/>
      <c r="B56" s="58"/>
      <c r="C56" s="386"/>
      <c r="D56" s="587"/>
      <c r="E56" s="587"/>
      <c r="F56" s="24"/>
      <c r="G56" s="411"/>
      <c r="H56" s="17" t="str">
        <f t="shared" si="0"/>
        <v/>
      </c>
      <c r="I56" s="18"/>
      <c r="J56" s="62"/>
      <c r="K56" s="399"/>
      <c r="L56" s="420" t="str">
        <f t="shared" si="3"/>
        <v/>
      </c>
      <c r="M56" s="401" t="str">
        <f t="shared" si="4"/>
        <v/>
      </c>
    </row>
    <row r="57" spans="1:13" x14ac:dyDescent="0.25">
      <c r="A57" s="5"/>
      <c r="B57" s="58"/>
      <c r="C57" s="386"/>
      <c r="D57" s="587"/>
      <c r="E57" s="587"/>
      <c r="F57" s="24"/>
      <c r="G57" s="411"/>
      <c r="H57" s="17" t="str">
        <f t="shared" si="0"/>
        <v/>
      </c>
      <c r="I57" s="18"/>
      <c r="J57" s="62"/>
      <c r="K57" s="399"/>
      <c r="L57" s="420" t="str">
        <f t="shared" si="3"/>
        <v/>
      </c>
      <c r="M57" s="401" t="str">
        <f t="shared" si="4"/>
        <v/>
      </c>
    </row>
    <row r="58" spans="1:13" x14ac:dyDescent="0.25">
      <c r="A58" s="5"/>
      <c r="B58" s="58"/>
      <c r="C58" s="386"/>
      <c r="D58" s="587"/>
      <c r="E58" s="587"/>
      <c r="F58" s="15"/>
      <c r="G58" s="411"/>
      <c r="H58" s="17" t="str">
        <f t="shared" si="0"/>
        <v/>
      </c>
      <c r="I58" s="18"/>
      <c r="J58" s="62"/>
      <c r="K58" s="399"/>
      <c r="L58" s="420" t="str">
        <f t="shared" si="3"/>
        <v/>
      </c>
      <c r="M58" s="401" t="str">
        <f t="shared" si="4"/>
        <v/>
      </c>
    </row>
    <row r="59" spans="1:13" x14ac:dyDescent="0.25">
      <c r="A59" s="5"/>
      <c r="B59" s="58"/>
      <c r="C59" s="386"/>
      <c r="D59" s="587"/>
      <c r="E59" s="587"/>
      <c r="F59" s="732"/>
      <c r="G59" s="411"/>
      <c r="H59" s="17" t="str">
        <f t="shared" si="0"/>
        <v/>
      </c>
      <c r="I59" s="18"/>
      <c r="J59" s="62"/>
      <c r="K59" s="399"/>
      <c r="L59" s="420" t="str">
        <f t="shared" si="3"/>
        <v/>
      </c>
      <c r="M59" s="401" t="str">
        <f t="shared" si="4"/>
        <v/>
      </c>
    </row>
    <row r="60" spans="1:13" x14ac:dyDescent="0.25">
      <c r="A60" s="5"/>
      <c r="B60" s="58"/>
      <c r="C60" s="65"/>
      <c r="D60" s="15"/>
      <c r="E60" s="15"/>
      <c r="F60" s="15"/>
      <c r="G60" s="411"/>
      <c r="H60" s="17" t="str">
        <f t="shared" si="0"/>
        <v/>
      </c>
      <c r="I60" s="18"/>
      <c r="J60" s="62"/>
      <c r="K60" s="62"/>
      <c r="L60" s="420" t="str">
        <f t="shared" si="3"/>
        <v/>
      </c>
      <c r="M60" s="401" t="str">
        <f t="shared" si="4"/>
        <v/>
      </c>
    </row>
    <row r="61" spans="1:13" x14ac:dyDescent="0.25">
      <c r="A61" s="5"/>
      <c r="B61" s="58"/>
      <c r="C61" s="65"/>
      <c r="D61" s="15"/>
      <c r="E61" s="15"/>
      <c r="F61" s="15"/>
      <c r="G61" s="411"/>
      <c r="H61" s="17" t="str">
        <f t="shared" si="0"/>
        <v/>
      </c>
      <c r="I61" s="18"/>
      <c r="J61" s="61"/>
      <c r="K61" s="62"/>
      <c r="L61" s="420" t="str">
        <f t="shared" si="3"/>
        <v/>
      </c>
      <c r="M61" s="401" t="str">
        <f t="shared" si="4"/>
        <v/>
      </c>
    </row>
    <row r="62" spans="1:13" x14ac:dyDescent="0.25">
      <c r="A62" s="5"/>
      <c r="B62" s="58"/>
      <c r="C62" s="65"/>
      <c r="D62" s="15"/>
      <c r="E62" s="15"/>
      <c r="F62" s="15"/>
      <c r="G62" s="411"/>
      <c r="H62" s="17" t="str">
        <f t="shared" si="0"/>
        <v/>
      </c>
      <c r="I62" s="18"/>
      <c r="J62" s="62"/>
      <c r="K62" s="62"/>
      <c r="L62" s="420" t="str">
        <f t="shared" si="3"/>
        <v/>
      </c>
      <c r="M62" s="401" t="str">
        <f t="shared" si="4"/>
        <v/>
      </c>
    </row>
    <row r="63" spans="1:13" x14ac:dyDescent="0.25">
      <c r="A63" s="5"/>
      <c r="B63" s="58"/>
      <c r="C63" s="65"/>
      <c r="D63" s="15"/>
      <c r="E63" s="15"/>
      <c r="F63" s="15"/>
      <c r="G63" s="411"/>
      <c r="H63" s="17" t="str">
        <f t="shared" si="0"/>
        <v/>
      </c>
      <c r="I63" s="18"/>
      <c r="J63" s="62"/>
      <c r="K63" s="62"/>
      <c r="L63" s="420" t="str">
        <f t="shared" si="3"/>
        <v/>
      </c>
      <c r="M63" s="401" t="str">
        <f t="shared" si="4"/>
        <v/>
      </c>
    </row>
    <row r="64" spans="1:13" x14ac:dyDescent="0.25">
      <c r="A64" s="5"/>
      <c r="B64" s="58"/>
      <c r="C64" s="65"/>
      <c r="D64" s="15"/>
      <c r="E64" s="15"/>
      <c r="F64" s="15"/>
      <c r="G64" s="411"/>
      <c r="H64" s="17" t="str">
        <f t="shared" si="0"/>
        <v/>
      </c>
      <c r="I64" s="18"/>
      <c r="J64" s="62"/>
      <c r="K64" s="62"/>
      <c r="L64" s="420" t="str">
        <f t="shared" si="3"/>
        <v/>
      </c>
      <c r="M64" s="401" t="str">
        <f t="shared" si="4"/>
        <v/>
      </c>
    </row>
    <row r="65" spans="1:13" x14ac:dyDescent="0.25">
      <c r="A65" s="5"/>
      <c r="B65" s="58"/>
      <c r="C65" s="65"/>
      <c r="D65" s="15"/>
      <c r="E65" s="15"/>
      <c r="F65" s="15"/>
      <c r="G65" s="411"/>
      <c r="H65" s="17" t="str">
        <f t="shared" si="0"/>
        <v/>
      </c>
      <c r="I65" s="18"/>
      <c r="J65" s="62"/>
      <c r="K65" s="62"/>
      <c r="L65" s="420" t="str">
        <f t="shared" si="3"/>
        <v/>
      </c>
      <c r="M65" s="401" t="str">
        <f t="shared" si="4"/>
        <v/>
      </c>
    </row>
    <row r="66" spans="1:13" x14ac:dyDescent="0.25">
      <c r="A66" s="5"/>
      <c r="B66" s="58"/>
      <c r="C66" s="65"/>
      <c r="D66" s="15"/>
      <c r="E66" s="15"/>
      <c r="F66" s="15"/>
      <c r="G66" s="411"/>
      <c r="H66" s="17" t="str">
        <f t="shared" si="0"/>
        <v/>
      </c>
      <c r="I66" s="18"/>
      <c r="J66" s="62"/>
      <c r="K66" s="62"/>
      <c r="L66" s="420" t="str">
        <f t="shared" si="3"/>
        <v/>
      </c>
      <c r="M66" s="401" t="str">
        <f t="shared" si="4"/>
        <v/>
      </c>
    </row>
    <row r="67" spans="1:13" x14ac:dyDescent="0.25">
      <c r="A67" s="5"/>
      <c r="B67" s="58"/>
      <c r="C67" s="65"/>
      <c r="D67" s="15"/>
      <c r="E67" s="15"/>
      <c r="F67" s="15"/>
      <c r="G67" s="411"/>
      <c r="H67" s="17" t="str">
        <f t="shared" si="0"/>
        <v/>
      </c>
      <c r="I67" s="18"/>
      <c r="J67" s="62"/>
      <c r="K67" s="62"/>
      <c r="L67" s="420" t="str">
        <f t="shared" si="3"/>
        <v/>
      </c>
      <c r="M67" s="401" t="str">
        <f t="shared" si="4"/>
        <v/>
      </c>
    </row>
    <row r="68" spans="1:13" x14ac:dyDescent="0.25">
      <c r="A68" s="5"/>
      <c r="B68" s="58"/>
      <c r="C68" s="65"/>
      <c r="D68" s="15"/>
      <c r="E68" s="15"/>
      <c r="F68" s="15"/>
      <c r="G68" s="411"/>
      <c r="H68" s="17" t="str">
        <f t="shared" si="0"/>
        <v/>
      </c>
      <c r="I68" s="18"/>
      <c r="J68" s="62"/>
      <c r="K68" s="62"/>
      <c r="L68" s="420" t="str">
        <f t="shared" si="3"/>
        <v/>
      </c>
      <c r="M68" s="401" t="str">
        <f t="shared" si="4"/>
        <v/>
      </c>
    </row>
    <row r="69" spans="1:13" x14ac:dyDescent="0.25">
      <c r="A69" s="5"/>
      <c r="B69" s="58"/>
      <c r="C69" s="65"/>
      <c r="D69" s="15"/>
      <c r="E69" s="15"/>
      <c r="F69" s="15"/>
      <c r="G69" s="411"/>
      <c r="H69" s="17" t="str">
        <f t="shared" si="0"/>
        <v/>
      </c>
      <c r="I69" s="18"/>
      <c r="J69" s="62"/>
      <c r="K69" s="62"/>
      <c r="L69" s="420" t="str">
        <f t="shared" si="3"/>
        <v/>
      </c>
      <c r="M69" s="401" t="str">
        <f t="shared" si="4"/>
        <v/>
      </c>
    </row>
    <row r="70" spans="1:13" x14ac:dyDescent="0.25">
      <c r="A70" s="5"/>
      <c r="B70" s="58"/>
      <c r="C70" s="65"/>
      <c r="D70" s="15"/>
      <c r="E70" s="15"/>
      <c r="F70" s="15"/>
      <c r="G70" s="411"/>
      <c r="H70" s="17" t="str">
        <f t="shared" ref="H70:H71" si="12">IF(D70="","",F70*G70)</f>
        <v/>
      </c>
      <c r="I70" s="18"/>
      <c r="J70" s="61"/>
      <c r="K70" s="399"/>
      <c r="L70" s="420" t="str">
        <f t="shared" ref="L70:L71" si="13">IF(J70="","",F70*K70)</f>
        <v/>
      </c>
      <c r="M70" s="401" t="str">
        <f t="shared" ref="M70:M72" si="14">IF(J70="","",IF(SUM(H70)=0,"",L70/H70))</f>
        <v/>
      </c>
    </row>
    <row r="71" spans="1:13" x14ac:dyDescent="0.25">
      <c r="A71" s="5"/>
      <c r="B71" s="58"/>
      <c r="C71" s="65"/>
      <c r="D71" s="15"/>
      <c r="E71" s="15"/>
      <c r="F71" s="15"/>
      <c r="G71" s="411"/>
      <c r="H71" s="17" t="str">
        <f t="shared" si="12"/>
        <v/>
      </c>
      <c r="I71" s="18"/>
      <c r="J71" s="61"/>
      <c r="K71" s="399"/>
      <c r="L71" s="420" t="str">
        <f t="shared" si="13"/>
        <v/>
      </c>
      <c r="M71" s="401" t="str">
        <f t="shared" si="14"/>
        <v/>
      </c>
    </row>
    <row r="72" spans="1:13" s="28" customFormat="1" ht="24.75" customHeight="1" x14ac:dyDescent="0.25">
      <c r="B72" s="144" t="str">
        <f>$B$12</f>
        <v>C13.3</v>
      </c>
      <c r="C72" s="30" t="s">
        <v>791</v>
      </c>
      <c r="D72" s="31"/>
      <c r="E72" s="31"/>
      <c r="F72" s="32"/>
      <c r="G72" s="31"/>
      <c r="H72" s="33">
        <f>SUM(H11:H71)</f>
        <v>0</v>
      </c>
      <c r="I72" s="34"/>
      <c r="J72" s="408"/>
      <c r="K72" s="601"/>
      <c r="L72" s="406">
        <f>SUM(L10:L71)</f>
        <v>2250</v>
      </c>
      <c r="M72" s="607" t="str">
        <f t="shared" si="14"/>
        <v/>
      </c>
    </row>
  </sheetData>
  <mergeCells count="5">
    <mergeCell ref="F3:H3"/>
    <mergeCell ref="B6:G6"/>
    <mergeCell ref="H6:H9"/>
    <mergeCell ref="B7:G7"/>
    <mergeCell ref="B8:G8"/>
  </mergeCells>
  <conditionalFormatting sqref="G11:H72">
    <cfRule type="expression" dxfId="58"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31">
    <tabColor rgb="FFFFFF00"/>
  </sheetPr>
  <dimension ref="A1:N191"/>
  <sheetViews>
    <sheetView view="pageBreakPreview" zoomScale="90" zoomScaleNormal="125" zoomScaleSheetLayoutView="90" zoomScalePageLayoutView="125" workbookViewId="0">
      <pane ySplit="2" topLeftCell="A3"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MAX(H2:H216)</f>
        <v>0</v>
      </c>
      <c r="I1" s="247">
        <f>MAX(I2:I216)</f>
        <v>0</v>
      </c>
      <c r="J1" s="248"/>
      <c r="K1" s="249"/>
      <c r="L1" s="247">
        <f>MAX(L2:L216)</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C13.4</v>
      </c>
      <c r="I6" s="6"/>
    </row>
    <row r="7" spans="1:14" ht="33"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1.75" customHeight="1" x14ac:dyDescent="0.25">
      <c r="B8" s="1152" t="s">
        <v>1774</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70" si="0">IF(D11="","",F11*G11)</f>
        <v/>
      </c>
      <c r="I11" s="18"/>
      <c r="J11" s="702"/>
      <c r="K11" s="399" t="str">
        <f t="shared" ref="K11:K33" si="1">IF(D11="","",ROUND(Labour_perc_structures*H11,1))</f>
        <v/>
      </c>
      <c r="L11" s="420" t="str">
        <f t="shared" ref="L11" si="2">IF(J11="","",F11*K11)</f>
        <v/>
      </c>
      <c r="M11" s="400" t="str">
        <f t="shared" ref="M11" si="3">IF(J11="","",IF(SUM(H11)=0,"",L11/H11))</f>
        <v/>
      </c>
    </row>
    <row r="12" spans="1:14" ht="13" x14ac:dyDescent="0.25">
      <c r="B12" s="146" t="s">
        <v>323</v>
      </c>
      <c r="C12" s="672" t="s">
        <v>324</v>
      </c>
      <c r="D12" s="15"/>
      <c r="E12" s="15"/>
      <c r="F12" s="15"/>
      <c r="G12" s="411"/>
      <c r="H12" s="17" t="str">
        <f t="shared" si="0"/>
        <v/>
      </c>
      <c r="I12" s="18"/>
      <c r="J12" s="61"/>
      <c r="K12" s="399" t="str">
        <f t="shared" si="1"/>
        <v/>
      </c>
      <c r="L12" s="420" t="str">
        <f t="shared" ref="L12:L70" si="4">IF(J12="","",F12*K12)</f>
        <v/>
      </c>
      <c r="M12" s="400" t="str">
        <f t="shared" ref="M12:M70" si="5">IF(J12="","",IF(SUM(H12)=0,"",L12/H12))</f>
        <v/>
      </c>
    </row>
    <row r="13" spans="1:14" x14ac:dyDescent="0.25">
      <c r="B13" s="58"/>
      <c r="C13" s="65"/>
      <c r="D13" s="15"/>
      <c r="E13" s="15"/>
      <c r="F13" s="15"/>
      <c r="G13" s="411"/>
      <c r="H13" s="17" t="str">
        <f t="shared" si="0"/>
        <v/>
      </c>
      <c r="I13" s="18"/>
      <c r="J13" s="61"/>
      <c r="K13" s="399" t="str">
        <f t="shared" si="1"/>
        <v/>
      </c>
      <c r="L13" s="420" t="str">
        <f t="shared" si="4"/>
        <v/>
      </c>
      <c r="M13" s="400" t="str">
        <f t="shared" si="5"/>
        <v/>
      </c>
    </row>
    <row r="14" spans="1:14" ht="13" x14ac:dyDescent="0.25">
      <c r="B14" s="146" t="s">
        <v>328</v>
      </c>
      <c r="C14" s="672" t="s">
        <v>1848</v>
      </c>
      <c r="D14" s="15"/>
      <c r="E14" s="15"/>
      <c r="F14" s="15"/>
      <c r="G14" s="411"/>
      <c r="H14" s="17" t="str">
        <f t="shared" si="0"/>
        <v/>
      </c>
      <c r="I14" s="18"/>
      <c r="J14" s="61"/>
      <c r="K14" s="399" t="str">
        <f t="shared" si="1"/>
        <v/>
      </c>
      <c r="L14" s="420" t="str">
        <f t="shared" si="4"/>
        <v/>
      </c>
      <c r="M14" s="400" t="str">
        <f t="shared" si="5"/>
        <v/>
      </c>
    </row>
    <row r="15" spans="1:14" x14ac:dyDescent="0.25">
      <c r="B15" s="58"/>
      <c r="C15" s="65"/>
      <c r="D15" s="15"/>
      <c r="E15" s="15"/>
      <c r="F15" s="15"/>
      <c r="G15" s="411"/>
      <c r="H15" s="17" t="str">
        <f t="shared" si="0"/>
        <v/>
      </c>
      <c r="I15" s="18"/>
      <c r="J15" s="61"/>
      <c r="K15" s="399" t="str">
        <f t="shared" si="1"/>
        <v/>
      </c>
      <c r="L15" s="420" t="str">
        <f t="shared" si="4"/>
        <v/>
      </c>
      <c r="M15" s="400" t="str">
        <f t="shared" si="5"/>
        <v/>
      </c>
    </row>
    <row r="16" spans="1:14" x14ac:dyDescent="0.25">
      <c r="B16" s="58" t="s">
        <v>329</v>
      </c>
      <c r="C16" s="65" t="s">
        <v>325</v>
      </c>
      <c r="D16" s="15"/>
      <c r="E16" s="15"/>
      <c r="F16" s="24"/>
      <c r="G16" s="411"/>
      <c r="H16" s="17" t="str">
        <f t="shared" si="0"/>
        <v/>
      </c>
      <c r="I16" s="57"/>
      <c r="J16" s="61"/>
      <c r="K16" s="399" t="str">
        <f t="shared" si="1"/>
        <v/>
      </c>
      <c r="L16" s="420" t="str">
        <f t="shared" si="4"/>
        <v/>
      </c>
      <c r="M16" s="400" t="str">
        <f t="shared" si="5"/>
        <v/>
      </c>
    </row>
    <row r="17" spans="2:13" x14ac:dyDescent="0.25">
      <c r="B17" s="58"/>
      <c r="C17" s="65"/>
      <c r="D17" s="15"/>
      <c r="E17" s="15"/>
      <c r="F17" s="24"/>
      <c r="G17" s="411"/>
      <c r="H17" s="17" t="str">
        <f t="shared" si="0"/>
        <v/>
      </c>
      <c r="I17" s="57"/>
      <c r="J17" s="61"/>
      <c r="K17" s="399" t="str">
        <f t="shared" si="1"/>
        <v/>
      </c>
      <c r="L17" s="420" t="str">
        <f t="shared" si="4"/>
        <v/>
      </c>
      <c r="M17" s="400" t="str">
        <f t="shared" si="5"/>
        <v/>
      </c>
    </row>
    <row r="18" spans="2:13" ht="14.5" x14ac:dyDescent="0.25">
      <c r="B18" s="58" t="s">
        <v>39</v>
      </c>
      <c r="C18" s="668" t="s">
        <v>2037</v>
      </c>
      <c r="D18" s="15" t="s">
        <v>23</v>
      </c>
      <c r="E18" s="15"/>
      <c r="F18" s="693">
        <v>500</v>
      </c>
      <c r="G18" s="411"/>
      <c r="H18" s="17">
        <f t="shared" si="0"/>
        <v>0</v>
      </c>
      <c r="I18" s="18"/>
      <c r="J18" s="61" t="s">
        <v>996</v>
      </c>
      <c r="K18" s="399">
        <f>IF(J18="","",ROUND(Labour_perc_structures*G18,1))</f>
        <v>0</v>
      </c>
      <c r="L18" s="420">
        <f t="shared" si="4"/>
        <v>0</v>
      </c>
      <c r="M18" s="401" t="str">
        <f t="shared" si="5"/>
        <v/>
      </c>
    </row>
    <row r="19" spans="2:13" x14ac:dyDescent="0.25">
      <c r="B19" s="58"/>
      <c r="C19" s="668"/>
      <c r="D19" s="15"/>
      <c r="E19" s="15"/>
      <c r="F19" s="693"/>
      <c r="G19" s="411"/>
      <c r="H19" s="17" t="str">
        <f t="shared" si="0"/>
        <v/>
      </c>
      <c r="I19" s="18"/>
      <c r="J19" s="61"/>
      <c r="K19" s="399" t="str">
        <f t="shared" si="1"/>
        <v/>
      </c>
      <c r="L19" s="420" t="str">
        <f t="shared" si="4"/>
        <v/>
      </c>
      <c r="M19" s="401" t="str">
        <f t="shared" si="5"/>
        <v/>
      </c>
    </row>
    <row r="20" spans="2:13" ht="25" x14ac:dyDescent="0.25">
      <c r="B20" s="58" t="s">
        <v>41</v>
      </c>
      <c r="C20" s="668" t="s">
        <v>2038</v>
      </c>
      <c r="D20" s="15" t="s">
        <v>23</v>
      </c>
      <c r="E20" s="15"/>
      <c r="F20" s="693">
        <v>15</v>
      </c>
      <c r="G20" s="411"/>
      <c r="H20" s="17">
        <f t="shared" si="0"/>
        <v>0</v>
      </c>
      <c r="I20" s="18"/>
      <c r="J20" s="61" t="s">
        <v>996</v>
      </c>
      <c r="K20" s="399">
        <f>IF(J20="","",ROUND(Labour_perc_structures*G20,1))</f>
        <v>0</v>
      </c>
      <c r="L20" s="420">
        <f t="shared" si="4"/>
        <v>0</v>
      </c>
      <c r="M20" s="401" t="str">
        <f t="shared" si="5"/>
        <v/>
      </c>
    </row>
    <row r="21" spans="2:13" x14ac:dyDescent="0.25">
      <c r="B21" s="58"/>
      <c r="C21" s="668"/>
      <c r="D21" s="15"/>
      <c r="E21" s="15"/>
      <c r="F21" s="693"/>
      <c r="G21" s="411"/>
      <c r="H21" s="17" t="str">
        <f t="shared" si="0"/>
        <v/>
      </c>
      <c r="I21" s="18"/>
      <c r="J21" s="61"/>
      <c r="K21" s="399" t="str">
        <f t="shared" si="1"/>
        <v/>
      </c>
      <c r="L21" s="420" t="str">
        <f t="shared" si="4"/>
        <v/>
      </c>
      <c r="M21" s="401" t="str">
        <f t="shared" si="5"/>
        <v/>
      </c>
    </row>
    <row r="22" spans="2:13" ht="25" x14ac:dyDescent="0.25">
      <c r="B22" s="58" t="s">
        <v>52</v>
      </c>
      <c r="C22" s="668" t="s">
        <v>2039</v>
      </c>
      <c r="D22" s="15" t="s">
        <v>23</v>
      </c>
      <c r="E22" s="15"/>
      <c r="F22" s="693">
        <v>35</v>
      </c>
      <c r="G22" s="411"/>
      <c r="H22" s="17">
        <f t="shared" si="0"/>
        <v>0</v>
      </c>
      <c r="I22" s="18"/>
      <c r="J22" s="61" t="s">
        <v>996</v>
      </c>
      <c r="K22" s="399">
        <f>IF(J22="","",ROUND(Labour_perc_structures*G22,1))</f>
        <v>0</v>
      </c>
      <c r="L22" s="420">
        <f t="shared" si="4"/>
        <v>0</v>
      </c>
      <c r="M22" s="401" t="str">
        <f t="shared" si="5"/>
        <v/>
      </c>
    </row>
    <row r="23" spans="2:13" x14ac:dyDescent="0.25">
      <c r="B23" s="58"/>
      <c r="C23" s="668"/>
      <c r="D23" s="15"/>
      <c r="E23" s="15"/>
      <c r="F23" s="693"/>
      <c r="G23" s="411"/>
      <c r="H23" s="17" t="str">
        <f t="shared" si="0"/>
        <v/>
      </c>
      <c r="I23" s="18"/>
      <c r="J23" s="61"/>
      <c r="K23" s="399" t="str">
        <f t="shared" si="1"/>
        <v/>
      </c>
      <c r="L23" s="420" t="str">
        <f t="shared" si="4"/>
        <v/>
      </c>
      <c r="M23" s="401" t="str">
        <f t="shared" si="5"/>
        <v/>
      </c>
    </row>
    <row r="24" spans="2:13" ht="14.5" x14ac:dyDescent="0.25">
      <c r="B24" s="58" t="s">
        <v>43</v>
      </c>
      <c r="C24" s="668" t="s">
        <v>2040</v>
      </c>
      <c r="D24" s="15" t="s">
        <v>23</v>
      </c>
      <c r="E24" s="15"/>
      <c r="F24" s="693">
        <v>15</v>
      </c>
      <c r="G24" s="411"/>
      <c r="H24" s="17">
        <f t="shared" si="0"/>
        <v>0</v>
      </c>
      <c r="I24" s="18"/>
      <c r="J24" s="61" t="s">
        <v>996</v>
      </c>
      <c r="K24" s="399">
        <f>IF(J24="","",ROUND(Labour_perc_structures*G24,1))</f>
        <v>0</v>
      </c>
      <c r="L24" s="420">
        <f t="shared" si="4"/>
        <v>0</v>
      </c>
      <c r="M24" s="401" t="str">
        <f t="shared" si="5"/>
        <v/>
      </c>
    </row>
    <row r="25" spans="2:13" x14ac:dyDescent="0.25">
      <c r="B25" s="58"/>
      <c r="C25" s="667"/>
      <c r="D25" s="15"/>
      <c r="E25" s="15"/>
      <c r="F25" s="693"/>
      <c r="G25" s="411"/>
      <c r="H25" s="17" t="str">
        <f t="shared" si="0"/>
        <v/>
      </c>
      <c r="I25" s="18"/>
      <c r="J25" s="61"/>
      <c r="K25" s="399" t="str">
        <f t="shared" si="1"/>
        <v/>
      </c>
      <c r="L25" s="420" t="str">
        <f t="shared" si="4"/>
        <v/>
      </c>
      <c r="M25" s="401" t="str">
        <f t="shared" si="5"/>
        <v/>
      </c>
    </row>
    <row r="26" spans="2:13" ht="39" x14ac:dyDescent="0.25">
      <c r="B26" s="146" t="s">
        <v>332</v>
      </c>
      <c r="C26" s="672" t="s">
        <v>327</v>
      </c>
      <c r="D26" s="15"/>
      <c r="E26" s="15"/>
      <c r="F26" s="15"/>
      <c r="G26" s="411"/>
      <c r="H26" s="17" t="str">
        <f t="shared" si="0"/>
        <v/>
      </c>
      <c r="I26" s="18"/>
      <c r="J26" s="61"/>
      <c r="K26" s="399"/>
      <c r="L26" s="420" t="str">
        <f t="shared" si="4"/>
        <v/>
      </c>
      <c r="M26" s="401" t="str">
        <f t="shared" si="5"/>
        <v/>
      </c>
    </row>
    <row r="27" spans="2:13" x14ac:dyDescent="0.25">
      <c r="B27" s="58"/>
      <c r="C27" s="65"/>
      <c r="D27" s="15"/>
      <c r="E27" s="15"/>
      <c r="F27" s="15"/>
      <c r="G27" s="411"/>
      <c r="H27" s="17" t="str">
        <f t="shared" si="0"/>
        <v/>
      </c>
      <c r="I27" s="18"/>
      <c r="J27" s="61"/>
      <c r="K27" s="399"/>
      <c r="L27" s="420" t="str">
        <f t="shared" si="4"/>
        <v/>
      </c>
      <c r="M27" s="401" t="str">
        <f t="shared" si="5"/>
        <v/>
      </c>
    </row>
    <row r="28" spans="2:13" ht="14.5" x14ac:dyDescent="0.25">
      <c r="B28" s="58" t="s">
        <v>333</v>
      </c>
      <c r="C28" s="65" t="s">
        <v>1724</v>
      </c>
      <c r="D28" s="15" t="s">
        <v>23</v>
      </c>
      <c r="E28" s="15"/>
      <c r="F28" s="15">
        <v>480</v>
      </c>
      <c r="G28" s="411"/>
      <c r="H28" s="17">
        <f t="shared" si="0"/>
        <v>0</v>
      </c>
      <c r="I28" s="18"/>
      <c r="J28" s="61" t="s">
        <v>1721</v>
      </c>
      <c r="K28" s="402">
        <f>IF(D28="","",ROUND(Labour_perc_structures*G28,1))</f>
        <v>0</v>
      </c>
      <c r="L28" s="420">
        <f t="shared" si="4"/>
        <v>0</v>
      </c>
      <c r="M28" s="401" t="str">
        <f t="shared" si="5"/>
        <v/>
      </c>
    </row>
    <row r="29" spans="2:13" x14ac:dyDescent="0.25">
      <c r="B29" s="58"/>
      <c r="C29" s="667"/>
      <c r="D29" s="15"/>
      <c r="E29" s="15"/>
      <c r="F29" s="693"/>
      <c r="G29" s="411"/>
      <c r="H29" s="17" t="str">
        <f t="shared" si="0"/>
        <v/>
      </c>
      <c r="I29" s="18"/>
      <c r="J29" s="61"/>
      <c r="K29" s="399" t="str">
        <f t="shared" si="1"/>
        <v/>
      </c>
      <c r="L29" s="420" t="str">
        <f t="shared" si="4"/>
        <v/>
      </c>
      <c r="M29" s="401" t="str">
        <f t="shared" si="5"/>
        <v/>
      </c>
    </row>
    <row r="30" spans="2:13" ht="26" x14ac:dyDescent="0.25">
      <c r="B30" s="146" t="s">
        <v>2036</v>
      </c>
      <c r="C30" s="672" t="s">
        <v>188</v>
      </c>
      <c r="D30" s="15"/>
      <c r="E30" s="15"/>
      <c r="F30" s="24"/>
      <c r="G30" s="411"/>
      <c r="H30" s="17" t="str">
        <f t="shared" si="0"/>
        <v/>
      </c>
      <c r="I30" s="18"/>
      <c r="J30" s="61"/>
      <c r="K30" s="399"/>
      <c r="L30" s="420" t="str">
        <f t="shared" si="4"/>
        <v/>
      </c>
      <c r="M30" s="401" t="str">
        <f t="shared" si="5"/>
        <v/>
      </c>
    </row>
    <row r="31" spans="2:13" x14ac:dyDescent="0.25">
      <c r="B31" s="58"/>
      <c r="C31" s="65"/>
      <c r="D31" s="15"/>
      <c r="E31" s="15"/>
      <c r="F31" s="693"/>
      <c r="G31" s="411"/>
      <c r="H31" s="17" t="str">
        <f t="shared" si="0"/>
        <v/>
      </c>
      <c r="I31" s="18"/>
      <c r="J31" s="61"/>
      <c r="K31" s="399" t="str">
        <f t="shared" si="1"/>
        <v/>
      </c>
      <c r="L31" s="420" t="str">
        <f t="shared" si="4"/>
        <v/>
      </c>
      <c r="M31" s="401" t="str">
        <f t="shared" si="5"/>
        <v/>
      </c>
    </row>
    <row r="32" spans="2:13" ht="14.5" x14ac:dyDescent="0.25">
      <c r="B32" s="58" t="s">
        <v>52</v>
      </c>
      <c r="C32" s="786" t="s">
        <v>190</v>
      </c>
      <c r="D32" s="15" t="s">
        <v>194</v>
      </c>
      <c r="E32" s="15"/>
      <c r="F32" s="24">
        <v>14600</v>
      </c>
      <c r="G32" s="411"/>
      <c r="H32" s="17">
        <f t="shared" si="0"/>
        <v>0</v>
      </c>
      <c r="I32" s="18"/>
      <c r="J32" s="61" t="s">
        <v>1721</v>
      </c>
      <c r="K32" s="399">
        <f>IF(D32="","",ROUND(Labour_perc_structures*G32,1))</f>
        <v>0</v>
      </c>
      <c r="L32" s="420">
        <f t="shared" si="4"/>
        <v>0</v>
      </c>
      <c r="M32" s="401" t="str">
        <f t="shared" si="5"/>
        <v/>
      </c>
    </row>
    <row r="33" spans="2:13" x14ac:dyDescent="0.25">
      <c r="B33" s="58"/>
      <c r="C33" s="667"/>
      <c r="D33" s="15"/>
      <c r="E33" s="15"/>
      <c r="F33" s="693"/>
      <c r="G33" s="411"/>
      <c r="H33" s="17" t="str">
        <f t="shared" si="0"/>
        <v/>
      </c>
      <c r="I33" s="18"/>
      <c r="J33" s="61"/>
      <c r="K33" s="399" t="str">
        <f t="shared" si="1"/>
        <v/>
      </c>
      <c r="L33" s="420" t="str">
        <f t="shared" si="4"/>
        <v/>
      </c>
      <c r="M33" s="401" t="str">
        <f t="shared" si="5"/>
        <v/>
      </c>
    </row>
    <row r="34" spans="2:13" x14ac:dyDescent="0.25">
      <c r="B34" s="58"/>
      <c r="C34" s="668"/>
      <c r="D34" s="15"/>
      <c r="E34" s="15"/>
      <c r="F34" s="694"/>
      <c r="G34" s="411"/>
      <c r="H34" s="17" t="str">
        <f t="shared" si="0"/>
        <v/>
      </c>
      <c r="I34" s="18"/>
      <c r="J34" s="61"/>
      <c r="K34" s="399" t="str">
        <f>IF(J34="","",ROUND(Labour_perc_structures*G34,1))</f>
        <v/>
      </c>
      <c r="L34" s="420" t="str">
        <f t="shared" si="4"/>
        <v/>
      </c>
      <c r="M34" s="401" t="str">
        <f t="shared" si="5"/>
        <v/>
      </c>
    </row>
    <row r="35" spans="2:13" x14ac:dyDescent="0.25">
      <c r="B35" s="58"/>
      <c r="C35" s="65"/>
      <c r="D35" s="15"/>
      <c r="E35" s="15"/>
      <c r="F35" s="24"/>
      <c r="G35" s="411"/>
      <c r="H35" s="17" t="str">
        <f t="shared" si="0"/>
        <v/>
      </c>
      <c r="I35" s="18"/>
      <c r="J35" s="61"/>
      <c r="K35" s="402"/>
      <c r="L35" s="420" t="str">
        <f t="shared" si="4"/>
        <v/>
      </c>
      <c r="M35" s="401" t="str">
        <f t="shared" si="5"/>
        <v/>
      </c>
    </row>
    <row r="36" spans="2:13" x14ac:dyDescent="0.25">
      <c r="B36" s="58"/>
      <c r="C36" s="65"/>
      <c r="D36" s="15"/>
      <c r="E36" s="15"/>
      <c r="F36" s="24"/>
      <c r="G36" s="411"/>
      <c r="H36" s="17" t="str">
        <f t="shared" si="0"/>
        <v/>
      </c>
      <c r="I36" s="63"/>
      <c r="J36" s="61"/>
      <c r="K36" s="399"/>
      <c r="L36" s="420" t="str">
        <f t="shared" si="4"/>
        <v/>
      </c>
      <c r="M36" s="401" t="str">
        <f t="shared" si="5"/>
        <v/>
      </c>
    </row>
    <row r="37" spans="2:13" x14ac:dyDescent="0.25">
      <c r="B37" s="58"/>
      <c r="C37" s="784"/>
      <c r="D37" s="15"/>
      <c r="E37" s="15"/>
      <c r="F37" s="24"/>
      <c r="G37" s="411"/>
      <c r="H37" s="17" t="str">
        <f t="shared" si="0"/>
        <v/>
      </c>
      <c r="I37" s="63"/>
      <c r="J37" s="61"/>
      <c r="K37" s="399"/>
      <c r="L37" s="420" t="str">
        <f t="shared" si="4"/>
        <v/>
      </c>
      <c r="M37" s="401" t="str">
        <f t="shared" si="5"/>
        <v/>
      </c>
    </row>
    <row r="38" spans="2:13" x14ac:dyDescent="0.25">
      <c r="B38" s="58"/>
      <c r="C38" s="65"/>
      <c r="D38" s="15"/>
      <c r="E38" s="15"/>
      <c r="F38" s="24"/>
      <c r="G38" s="411"/>
      <c r="H38" s="17" t="str">
        <f t="shared" si="0"/>
        <v/>
      </c>
      <c r="I38" s="63"/>
      <c r="J38" s="61"/>
      <c r="K38" s="399"/>
      <c r="L38" s="420" t="str">
        <f t="shared" si="4"/>
        <v/>
      </c>
      <c r="M38" s="401" t="str">
        <f t="shared" si="5"/>
        <v/>
      </c>
    </row>
    <row r="39" spans="2:13" x14ac:dyDescent="0.25">
      <c r="B39" s="58"/>
      <c r="C39" s="65"/>
      <c r="D39" s="15"/>
      <c r="E39" s="15"/>
      <c r="F39" s="24"/>
      <c r="G39" s="411"/>
      <c r="H39" s="17" t="str">
        <f t="shared" si="0"/>
        <v/>
      </c>
      <c r="I39" s="63"/>
      <c r="J39" s="61"/>
      <c r="K39" s="399"/>
      <c r="L39" s="420" t="str">
        <f t="shared" si="4"/>
        <v/>
      </c>
      <c r="M39" s="401" t="str">
        <f t="shared" si="5"/>
        <v/>
      </c>
    </row>
    <row r="40" spans="2:13" x14ac:dyDescent="0.25">
      <c r="B40" s="58"/>
      <c r="C40" s="65"/>
      <c r="D40" s="15"/>
      <c r="E40" s="15"/>
      <c r="F40" s="24"/>
      <c r="G40" s="411"/>
      <c r="H40" s="17" t="str">
        <f t="shared" si="0"/>
        <v/>
      </c>
      <c r="I40" s="63"/>
      <c r="J40" s="61"/>
      <c r="K40" s="399"/>
      <c r="L40" s="420" t="str">
        <f t="shared" si="4"/>
        <v/>
      </c>
      <c r="M40" s="401" t="str">
        <f t="shared" si="5"/>
        <v/>
      </c>
    </row>
    <row r="41" spans="2:13" x14ac:dyDescent="0.25">
      <c r="B41" s="58"/>
      <c r="C41" s="65"/>
      <c r="D41" s="15"/>
      <c r="E41" s="15"/>
      <c r="F41" s="24"/>
      <c r="G41" s="411"/>
      <c r="H41" s="17" t="str">
        <f t="shared" si="0"/>
        <v/>
      </c>
      <c r="I41" s="63"/>
      <c r="J41" s="61"/>
      <c r="K41" s="399"/>
      <c r="L41" s="420" t="str">
        <f t="shared" si="4"/>
        <v/>
      </c>
      <c r="M41" s="401" t="str">
        <f t="shared" si="5"/>
        <v/>
      </c>
    </row>
    <row r="42" spans="2:13" x14ac:dyDescent="0.25">
      <c r="B42" s="58"/>
      <c r="C42" s="65"/>
      <c r="D42" s="15"/>
      <c r="E42" s="15"/>
      <c r="F42" s="24"/>
      <c r="G42" s="411"/>
      <c r="H42" s="17" t="str">
        <f t="shared" si="0"/>
        <v/>
      </c>
      <c r="I42" s="57"/>
      <c r="J42" s="61"/>
      <c r="K42" s="399"/>
      <c r="L42" s="420" t="str">
        <f t="shared" si="4"/>
        <v/>
      </c>
      <c r="M42" s="401" t="str">
        <f t="shared" si="5"/>
        <v/>
      </c>
    </row>
    <row r="43" spans="2:13" x14ac:dyDescent="0.25">
      <c r="B43" s="58"/>
      <c r="C43" s="65"/>
      <c r="D43" s="15"/>
      <c r="E43" s="15"/>
      <c r="F43" s="24"/>
      <c r="G43" s="411"/>
      <c r="H43" s="17" t="str">
        <f t="shared" si="0"/>
        <v/>
      </c>
      <c r="I43" s="18"/>
      <c r="J43" s="61"/>
      <c r="K43" s="399"/>
      <c r="L43" s="420" t="str">
        <f t="shared" si="4"/>
        <v/>
      </c>
      <c r="M43" s="401" t="str">
        <f t="shared" si="5"/>
        <v/>
      </c>
    </row>
    <row r="44" spans="2:13" s="36" customFormat="1" x14ac:dyDescent="0.25">
      <c r="B44" s="58"/>
      <c r="C44" s="65"/>
      <c r="D44" s="15"/>
      <c r="E44" s="15"/>
      <c r="F44" s="24"/>
      <c r="G44" s="411"/>
      <c r="H44" s="17" t="str">
        <f t="shared" si="0"/>
        <v/>
      </c>
      <c r="I44" s="18"/>
      <c r="J44" s="61"/>
      <c r="K44" s="399"/>
      <c r="L44" s="420" t="str">
        <f t="shared" si="4"/>
        <v/>
      </c>
      <c r="M44" s="401" t="str">
        <f t="shared" si="5"/>
        <v/>
      </c>
    </row>
    <row r="45" spans="2:13" x14ac:dyDescent="0.25">
      <c r="B45" s="58"/>
      <c r="C45" s="65"/>
      <c r="D45" s="15"/>
      <c r="E45" s="15"/>
      <c r="F45" s="24"/>
      <c r="G45" s="411"/>
      <c r="H45" s="17" t="str">
        <f t="shared" si="0"/>
        <v/>
      </c>
      <c r="I45" s="57"/>
      <c r="J45" s="61"/>
      <c r="K45" s="399"/>
      <c r="L45" s="420" t="str">
        <f t="shared" si="4"/>
        <v/>
      </c>
      <c r="M45" s="401" t="str">
        <f t="shared" si="5"/>
        <v/>
      </c>
    </row>
    <row r="46" spans="2:13" x14ac:dyDescent="0.25">
      <c r="B46" s="58"/>
      <c r="C46" s="65"/>
      <c r="D46" s="15"/>
      <c r="E46" s="15"/>
      <c r="F46" s="24"/>
      <c r="G46" s="411"/>
      <c r="H46" s="17" t="str">
        <f t="shared" si="0"/>
        <v/>
      </c>
      <c r="I46" s="57"/>
      <c r="J46" s="61"/>
      <c r="K46" s="399"/>
      <c r="L46" s="420" t="str">
        <f t="shared" si="4"/>
        <v/>
      </c>
      <c r="M46" s="401" t="str">
        <f t="shared" si="5"/>
        <v/>
      </c>
    </row>
    <row r="47" spans="2:13" x14ac:dyDescent="0.25">
      <c r="B47" s="58"/>
      <c r="C47" s="65"/>
      <c r="D47" s="15"/>
      <c r="E47" s="15"/>
      <c r="F47" s="24"/>
      <c r="G47" s="411"/>
      <c r="H47" s="17" t="str">
        <f t="shared" si="0"/>
        <v/>
      </c>
      <c r="I47" s="18"/>
      <c r="J47" s="61"/>
      <c r="K47" s="399"/>
      <c r="L47" s="420" t="str">
        <f t="shared" si="4"/>
        <v/>
      </c>
      <c r="M47" s="401" t="str">
        <f t="shared" si="5"/>
        <v/>
      </c>
    </row>
    <row r="48" spans="2:13" x14ac:dyDescent="0.25">
      <c r="B48" s="58"/>
      <c r="C48" s="65"/>
      <c r="D48" s="15"/>
      <c r="E48" s="15"/>
      <c r="F48" s="24"/>
      <c r="G48" s="411"/>
      <c r="H48" s="17" t="str">
        <f t="shared" si="0"/>
        <v/>
      </c>
      <c r="I48" s="18"/>
      <c r="J48" s="61"/>
      <c r="K48" s="399"/>
      <c r="L48" s="420" t="str">
        <f t="shared" si="4"/>
        <v/>
      </c>
      <c r="M48" s="401" t="str">
        <f t="shared" si="5"/>
        <v/>
      </c>
    </row>
    <row r="49" spans="2:13" x14ac:dyDescent="0.25">
      <c r="B49" s="58"/>
      <c r="C49" s="65"/>
      <c r="D49" s="15"/>
      <c r="E49" s="15"/>
      <c r="F49" s="24"/>
      <c r="G49" s="411"/>
      <c r="H49" s="17" t="str">
        <f t="shared" si="0"/>
        <v/>
      </c>
      <c r="I49" s="18"/>
      <c r="J49" s="61"/>
      <c r="K49" s="399"/>
      <c r="L49" s="420" t="str">
        <f t="shared" si="4"/>
        <v/>
      </c>
      <c r="M49" s="401" t="str">
        <f t="shared" si="5"/>
        <v/>
      </c>
    </row>
    <row r="50" spans="2:13" x14ac:dyDescent="0.25">
      <c r="B50" s="58"/>
      <c r="C50" s="65"/>
      <c r="D50" s="15"/>
      <c r="E50" s="15"/>
      <c r="F50" s="24"/>
      <c r="G50" s="411"/>
      <c r="H50" s="17" t="str">
        <f t="shared" si="0"/>
        <v/>
      </c>
      <c r="I50" s="18"/>
      <c r="J50" s="61"/>
      <c r="K50" s="399"/>
      <c r="L50" s="420" t="str">
        <f t="shared" si="4"/>
        <v/>
      </c>
      <c r="M50" s="401" t="str">
        <f t="shared" si="5"/>
        <v/>
      </c>
    </row>
    <row r="51" spans="2:13" x14ac:dyDescent="0.25">
      <c r="B51" s="58"/>
      <c r="C51" s="65"/>
      <c r="D51" s="15"/>
      <c r="E51" s="15"/>
      <c r="F51" s="15"/>
      <c r="G51" s="411"/>
      <c r="H51" s="17" t="str">
        <f t="shared" si="0"/>
        <v/>
      </c>
      <c r="I51" s="18"/>
      <c r="J51" s="61"/>
      <c r="K51" s="62"/>
      <c r="L51" s="420" t="str">
        <f t="shared" si="4"/>
        <v/>
      </c>
      <c r="M51" s="401" t="str">
        <f t="shared" si="5"/>
        <v/>
      </c>
    </row>
    <row r="52" spans="2:13" x14ac:dyDescent="0.25">
      <c r="B52" s="58"/>
      <c r="C52" s="65"/>
      <c r="D52" s="15"/>
      <c r="E52" s="15"/>
      <c r="F52" s="15"/>
      <c r="G52" s="411"/>
      <c r="H52" s="17" t="str">
        <f t="shared" si="0"/>
        <v/>
      </c>
      <c r="I52" s="18"/>
      <c r="J52" s="61"/>
      <c r="K52" s="62"/>
      <c r="L52" s="420" t="str">
        <f t="shared" si="4"/>
        <v/>
      </c>
      <c r="M52" s="401" t="str">
        <f t="shared" si="5"/>
        <v/>
      </c>
    </row>
    <row r="53" spans="2:13" x14ac:dyDescent="0.25">
      <c r="B53" s="58"/>
      <c r="C53" s="65"/>
      <c r="D53" s="15"/>
      <c r="E53" s="15"/>
      <c r="F53" s="15"/>
      <c r="G53" s="411"/>
      <c r="H53" s="17" t="str">
        <f t="shared" si="0"/>
        <v/>
      </c>
      <c r="I53" s="18"/>
      <c r="J53" s="61"/>
      <c r="K53" s="62"/>
      <c r="L53" s="420" t="str">
        <f t="shared" si="4"/>
        <v/>
      </c>
      <c r="M53" s="401" t="str">
        <f t="shared" si="5"/>
        <v/>
      </c>
    </row>
    <row r="54" spans="2:13" x14ac:dyDescent="0.25">
      <c r="B54" s="58"/>
      <c r="C54" s="65"/>
      <c r="D54" s="15"/>
      <c r="E54" s="15"/>
      <c r="F54" s="15"/>
      <c r="G54" s="411"/>
      <c r="H54" s="17" t="str">
        <f t="shared" si="0"/>
        <v/>
      </c>
      <c r="I54" s="18"/>
      <c r="J54" s="61"/>
      <c r="K54" s="62"/>
      <c r="L54" s="420" t="str">
        <f t="shared" si="4"/>
        <v/>
      </c>
      <c r="M54" s="401" t="str">
        <f t="shared" si="5"/>
        <v/>
      </c>
    </row>
    <row r="55" spans="2:13" x14ac:dyDescent="0.25">
      <c r="B55" s="58"/>
      <c r="C55" s="65"/>
      <c r="D55" s="15"/>
      <c r="E55" s="15"/>
      <c r="F55" s="15"/>
      <c r="G55" s="411"/>
      <c r="H55" s="17" t="str">
        <f t="shared" si="0"/>
        <v/>
      </c>
      <c r="I55" s="18"/>
      <c r="J55" s="61"/>
      <c r="K55" s="62"/>
      <c r="L55" s="420" t="str">
        <f t="shared" si="4"/>
        <v/>
      </c>
      <c r="M55" s="401" t="str">
        <f t="shared" si="5"/>
        <v/>
      </c>
    </row>
    <row r="56" spans="2:13" x14ac:dyDescent="0.25">
      <c r="B56" s="58"/>
      <c r="C56" s="65"/>
      <c r="D56" s="15"/>
      <c r="E56" s="15"/>
      <c r="F56" s="15"/>
      <c r="G56" s="411"/>
      <c r="H56" s="17" t="str">
        <f t="shared" si="0"/>
        <v/>
      </c>
      <c r="I56" s="18"/>
      <c r="J56" s="61"/>
      <c r="K56" s="62"/>
      <c r="L56" s="420" t="str">
        <f t="shared" si="4"/>
        <v/>
      </c>
      <c r="M56" s="401" t="str">
        <f t="shared" si="5"/>
        <v/>
      </c>
    </row>
    <row r="57" spans="2:13" x14ac:dyDescent="0.25">
      <c r="B57" s="58"/>
      <c r="C57" s="65"/>
      <c r="D57" s="15"/>
      <c r="E57" s="15"/>
      <c r="F57" s="15"/>
      <c r="G57" s="411"/>
      <c r="H57" s="17" t="str">
        <f t="shared" si="0"/>
        <v/>
      </c>
      <c r="I57" s="18"/>
      <c r="J57" s="61"/>
      <c r="K57" s="62"/>
      <c r="L57" s="420" t="str">
        <f t="shared" si="4"/>
        <v/>
      </c>
      <c r="M57" s="401" t="str">
        <f t="shared" si="5"/>
        <v/>
      </c>
    </row>
    <row r="58" spans="2:13" x14ac:dyDescent="0.25">
      <c r="B58" s="58"/>
      <c r="C58" s="65"/>
      <c r="D58" s="15"/>
      <c r="E58" s="15"/>
      <c r="F58" s="15"/>
      <c r="G58" s="411"/>
      <c r="H58" s="17" t="str">
        <f t="shared" si="0"/>
        <v/>
      </c>
      <c r="I58" s="18"/>
      <c r="J58" s="61"/>
      <c r="K58" s="62"/>
      <c r="L58" s="420" t="str">
        <f t="shared" si="4"/>
        <v/>
      </c>
      <c r="M58" s="401" t="str">
        <f t="shared" si="5"/>
        <v/>
      </c>
    </row>
    <row r="59" spans="2:13" x14ac:dyDescent="0.25">
      <c r="B59" s="58"/>
      <c r="C59" s="65"/>
      <c r="D59" s="15"/>
      <c r="E59" s="15"/>
      <c r="F59" s="15"/>
      <c r="G59" s="411"/>
      <c r="H59" s="17" t="str">
        <f t="shared" si="0"/>
        <v/>
      </c>
      <c r="I59" s="18"/>
      <c r="J59" s="61"/>
      <c r="K59" s="62"/>
      <c r="L59" s="420" t="str">
        <f t="shared" si="4"/>
        <v/>
      </c>
      <c r="M59" s="401" t="str">
        <f t="shared" si="5"/>
        <v/>
      </c>
    </row>
    <row r="60" spans="2:13" x14ac:dyDescent="0.25">
      <c r="B60" s="58"/>
      <c r="C60" s="65"/>
      <c r="D60" s="15"/>
      <c r="E60" s="15"/>
      <c r="F60" s="15"/>
      <c r="G60" s="411"/>
      <c r="H60" s="17" t="str">
        <f t="shared" si="0"/>
        <v/>
      </c>
      <c r="I60" s="18"/>
      <c r="J60" s="61"/>
      <c r="K60" s="62"/>
      <c r="L60" s="420" t="str">
        <f t="shared" si="4"/>
        <v/>
      </c>
      <c r="M60" s="401" t="str">
        <f t="shared" si="5"/>
        <v/>
      </c>
    </row>
    <row r="61" spans="2:13" x14ac:dyDescent="0.25">
      <c r="B61" s="58"/>
      <c r="C61" s="65"/>
      <c r="D61" s="15"/>
      <c r="E61" s="15"/>
      <c r="F61" s="15"/>
      <c r="G61" s="411"/>
      <c r="H61" s="17" t="str">
        <f t="shared" si="0"/>
        <v/>
      </c>
      <c r="I61" s="18"/>
      <c r="J61" s="61"/>
      <c r="K61" s="62"/>
      <c r="L61" s="420" t="str">
        <f t="shared" si="4"/>
        <v/>
      </c>
      <c r="M61" s="401" t="str">
        <f t="shared" si="5"/>
        <v/>
      </c>
    </row>
    <row r="62" spans="2:13" x14ac:dyDescent="0.25">
      <c r="B62" s="58"/>
      <c r="C62" s="65"/>
      <c r="D62" s="15"/>
      <c r="E62" s="15"/>
      <c r="F62" s="15"/>
      <c r="G62" s="411"/>
      <c r="H62" s="17" t="str">
        <f t="shared" si="0"/>
        <v/>
      </c>
      <c r="I62" s="18"/>
      <c r="J62" s="61"/>
      <c r="K62" s="62"/>
      <c r="L62" s="420" t="str">
        <f t="shared" si="4"/>
        <v/>
      </c>
      <c r="M62" s="401" t="str">
        <f t="shared" si="5"/>
        <v/>
      </c>
    </row>
    <row r="63" spans="2:13" x14ac:dyDescent="0.25">
      <c r="B63" s="58"/>
      <c r="C63" s="65"/>
      <c r="D63" s="15"/>
      <c r="E63" s="15"/>
      <c r="F63" s="15"/>
      <c r="G63" s="411"/>
      <c r="H63" s="17" t="str">
        <f t="shared" si="0"/>
        <v/>
      </c>
      <c r="I63" s="18"/>
      <c r="J63" s="61"/>
      <c r="K63" s="62"/>
      <c r="L63" s="420" t="str">
        <f t="shared" si="4"/>
        <v/>
      </c>
      <c r="M63" s="401" t="str">
        <f t="shared" si="5"/>
        <v/>
      </c>
    </row>
    <row r="64" spans="2:13" x14ac:dyDescent="0.25">
      <c r="B64" s="58"/>
      <c r="C64" s="65"/>
      <c r="D64" s="15"/>
      <c r="E64" s="15"/>
      <c r="F64" s="15"/>
      <c r="G64" s="411"/>
      <c r="H64" s="17" t="str">
        <f t="shared" si="0"/>
        <v/>
      </c>
      <c r="I64" s="18"/>
      <c r="J64" s="61"/>
      <c r="K64" s="62"/>
      <c r="L64" s="420" t="str">
        <f t="shared" si="4"/>
        <v/>
      </c>
      <c r="M64" s="401" t="str">
        <f t="shared" si="5"/>
        <v/>
      </c>
    </row>
    <row r="65" spans="2:13" x14ac:dyDescent="0.25">
      <c r="B65" s="58"/>
      <c r="C65" s="65"/>
      <c r="D65" s="15"/>
      <c r="E65" s="15"/>
      <c r="F65" s="15"/>
      <c r="G65" s="411"/>
      <c r="H65" s="17" t="str">
        <f t="shared" si="0"/>
        <v/>
      </c>
      <c r="I65" s="18"/>
      <c r="J65" s="61"/>
      <c r="K65" s="62"/>
      <c r="L65" s="420" t="str">
        <f t="shared" si="4"/>
        <v/>
      </c>
      <c r="M65" s="401" t="str">
        <f t="shared" si="5"/>
        <v/>
      </c>
    </row>
    <row r="66" spans="2:13" x14ac:dyDescent="0.25">
      <c r="B66" s="58"/>
      <c r="C66" s="65"/>
      <c r="D66" s="15"/>
      <c r="E66" s="15"/>
      <c r="F66" s="15"/>
      <c r="G66" s="411"/>
      <c r="H66" s="17" t="str">
        <f t="shared" si="0"/>
        <v/>
      </c>
      <c r="I66" s="18"/>
      <c r="J66" s="61"/>
      <c r="K66" s="62"/>
      <c r="L66" s="420" t="str">
        <f t="shared" si="4"/>
        <v/>
      </c>
      <c r="M66" s="401" t="str">
        <f t="shared" si="5"/>
        <v/>
      </c>
    </row>
    <row r="67" spans="2:13" x14ac:dyDescent="0.25">
      <c r="B67" s="58"/>
      <c r="C67" s="65"/>
      <c r="D67" s="15"/>
      <c r="E67" s="15"/>
      <c r="F67" s="15"/>
      <c r="G67" s="411"/>
      <c r="H67" s="17" t="str">
        <f t="shared" si="0"/>
        <v/>
      </c>
      <c r="I67" s="18"/>
      <c r="J67" s="61"/>
      <c r="K67" s="62"/>
      <c r="L67" s="420" t="str">
        <f t="shared" si="4"/>
        <v/>
      </c>
      <c r="M67" s="401" t="str">
        <f t="shared" si="5"/>
        <v/>
      </c>
    </row>
    <row r="68" spans="2:13" x14ac:dyDescent="0.25">
      <c r="B68" s="58"/>
      <c r="C68" s="65"/>
      <c r="D68" s="15"/>
      <c r="E68" s="15"/>
      <c r="F68" s="15"/>
      <c r="G68" s="411"/>
      <c r="H68" s="17" t="str">
        <f t="shared" si="0"/>
        <v/>
      </c>
      <c r="I68" s="18"/>
      <c r="J68" s="61"/>
      <c r="K68" s="62"/>
      <c r="L68" s="420" t="str">
        <f t="shared" si="4"/>
        <v/>
      </c>
      <c r="M68" s="401" t="str">
        <f t="shared" si="5"/>
        <v/>
      </c>
    </row>
    <row r="69" spans="2:13" x14ac:dyDescent="0.25">
      <c r="B69" s="58"/>
      <c r="C69" s="65"/>
      <c r="D69" s="15"/>
      <c r="E69" s="15"/>
      <c r="F69" s="15"/>
      <c r="G69" s="411"/>
      <c r="H69" s="17" t="str">
        <f t="shared" si="0"/>
        <v/>
      </c>
      <c r="I69" s="18"/>
      <c r="J69" s="61"/>
      <c r="K69" s="399"/>
      <c r="L69" s="420" t="str">
        <f t="shared" si="4"/>
        <v/>
      </c>
      <c r="M69" s="401" t="str">
        <f t="shared" si="5"/>
        <v/>
      </c>
    </row>
    <row r="70" spans="2:13" x14ac:dyDescent="0.25">
      <c r="B70" s="58"/>
      <c r="C70" s="65"/>
      <c r="D70" s="15"/>
      <c r="E70" s="15"/>
      <c r="F70" s="15"/>
      <c r="G70" s="411"/>
      <c r="H70" s="17" t="str">
        <f t="shared" si="0"/>
        <v/>
      </c>
      <c r="I70" s="18"/>
      <c r="J70" s="592"/>
      <c r="K70" s="399" t="str">
        <f>IF(D54="","",ROUND(Labour_perc_structures*H54,1))</f>
        <v/>
      </c>
      <c r="L70" s="420" t="str">
        <f t="shared" si="4"/>
        <v/>
      </c>
      <c r="M70" s="401" t="str">
        <f t="shared" si="5"/>
        <v/>
      </c>
    </row>
    <row r="71" spans="2:13" s="28" customFormat="1" ht="19.5" customHeight="1" x14ac:dyDescent="0.25">
      <c r="B71" s="135" t="str">
        <f>$B$12</f>
        <v>C13.4</v>
      </c>
      <c r="C71" s="30" t="s">
        <v>12</v>
      </c>
      <c r="D71" s="31"/>
      <c r="E71" s="31"/>
      <c r="F71" s="32"/>
      <c r="G71" s="31"/>
      <c r="H71" s="33">
        <f>SUM(H11:H70)</f>
        <v>0</v>
      </c>
      <c r="I71" s="34"/>
      <c r="J71" s="734"/>
      <c r="K71" s="601"/>
      <c r="L71" s="418">
        <f>SUM(L10:L70)</f>
        <v>0</v>
      </c>
      <c r="M71" s="410" t="str">
        <f t="shared" ref="M71" si="6">IF(J71="","",IF(SUM(H71)=0,"",L71/H71))</f>
        <v/>
      </c>
    </row>
    <row r="72" spans="2:13" ht="13" x14ac:dyDescent="0.25">
      <c r="B72" s="1108" t="str">
        <f>Client1</f>
        <v>Province of KwaZulu-Natal</v>
      </c>
      <c r="C72" s="1108"/>
      <c r="D72" s="1108"/>
      <c r="E72" s="87"/>
      <c r="F72" s="1109" t="str">
        <f>"Contract No. "&amp;ContractNo</f>
        <v>Contract No. ZNB 00399/00000/HOD/INF/21/T</v>
      </c>
      <c r="G72" s="1109"/>
      <c r="H72" s="1109"/>
    </row>
    <row r="73" spans="2:13" ht="13" x14ac:dyDescent="0.25">
      <c r="B73" s="1108" t="str">
        <f>Client2</f>
        <v>Department of Transport</v>
      </c>
      <c r="C73" s="1108"/>
      <c r="D73" s="1108"/>
      <c r="E73" s="87"/>
      <c r="F73" s="1109"/>
      <c r="G73" s="1109"/>
      <c r="H73" s="1109"/>
    </row>
    <row r="74" spans="2:13" x14ac:dyDescent="0.25">
      <c r="B74" s="1111"/>
      <c r="C74" s="1111"/>
      <c r="D74" s="1111"/>
      <c r="E74" s="78"/>
      <c r="F74" s="1110"/>
      <c r="G74" s="1110"/>
      <c r="H74" s="1110"/>
    </row>
    <row r="75" spans="2:13" ht="13" x14ac:dyDescent="0.25">
      <c r="B75" s="1112" t="s">
        <v>1773</v>
      </c>
      <c r="C75" s="1113"/>
      <c r="D75" s="1113"/>
      <c r="E75" s="1113"/>
      <c r="F75" s="1113"/>
      <c r="G75" s="1113"/>
      <c r="H75" s="1125" t="str">
        <f>$H$6</f>
        <v>CHAPTER C13.4</v>
      </c>
      <c r="I75" s="6"/>
    </row>
    <row r="76" spans="2:13" ht="33.75" customHeight="1" x14ac:dyDescent="0.25">
      <c r="B76" s="1117" t="str">
        <f>ContractDescription</f>
        <v>THE CONSTRUCTION OF EARTHWORKS, LAYERWORKS, SURFACING, CULVERTS AND CWAKA RIVER BRIDGE FROM KM 11.600 TO KM 14.000 ON MAIN ROAD P494 IN THE KING CETSHWAYO DISTRICT UNDER EMPANGENI REGION</v>
      </c>
      <c r="C76" s="1148"/>
      <c r="D76" s="1148"/>
      <c r="E76" s="1148"/>
      <c r="F76" s="1148"/>
      <c r="G76" s="1148"/>
      <c r="H76" s="1126"/>
      <c r="I76" s="8"/>
    </row>
    <row r="77" spans="2:13" ht="22.5" customHeight="1" x14ac:dyDescent="0.25">
      <c r="B77" s="1149" t="s">
        <v>1774</v>
      </c>
      <c r="C77" s="1150"/>
      <c r="D77" s="1150"/>
      <c r="E77" s="1150"/>
      <c r="F77" s="1150"/>
      <c r="G77" s="1150"/>
      <c r="H77" s="1126"/>
      <c r="I77" s="8"/>
    </row>
    <row r="78" spans="2:13" ht="13" x14ac:dyDescent="0.25">
      <c r="B78" s="611"/>
      <c r="C78" s="612"/>
      <c r="D78" s="612"/>
      <c r="E78" s="612"/>
      <c r="F78" s="612"/>
      <c r="G78" s="612"/>
      <c r="H78" s="1127"/>
      <c r="I78" s="8"/>
    </row>
    <row r="79" spans="2:13" s="9" customFormat="1" ht="25" customHeight="1" x14ac:dyDescent="0.25">
      <c r="B79" s="74" t="s">
        <v>0</v>
      </c>
      <c r="C79" s="11" t="s">
        <v>1</v>
      </c>
      <c r="D79" s="11" t="s">
        <v>2</v>
      </c>
      <c r="E79" s="11"/>
      <c r="F79" s="11" t="s">
        <v>3</v>
      </c>
      <c r="G79" s="11" t="s">
        <v>4</v>
      </c>
      <c r="H79" s="11" t="s">
        <v>5</v>
      </c>
      <c r="I79" s="12"/>
      <c r="J79" s="408" t="s">
        <v>996</v>
      </c>
      <c r="K79" s="253" t="s">
        <v>997</v>
      </c>
      <c r="L79" s="253" t="s">
        <v>998</v>
      </c>
      <c r="M79" s="253" t="s">
        <v>999</v>
      </c>
    </row>
    <row r="80" spans="2:13" s="28" customFormat="1" ht="19.5" customHeight="1" x14ac:dyDescent="0.25">
      <c r="B80" s="80"/>
      <c r="C80" s="30" t="s">
        <v>27</v>
      </c>
      <c r="D80" s="31"/>
      <c r="E80" s="31"/>
      <c r="F80" s="32"/>
      <c r="G80" s="31"/>
      <c r="H80" s="33">
        <f>H71</f>
        <v>0</v>
      </c>
      <c r="I80" s="34"/>
      <c r="J80" s="602"/>
      <c r="K80" s="409" t="str">
        <f t="shared" ref="K80:K83" si="7">IF(D80="","",ROUND(Labour_perc_structures*H80,1))</f>
        <v/>
      </c>
      <c r="L80" s="419">
        <f>L71</f>
        <v>0</v>
      </c>
      <c r="M80" s="603" t="str">
        <f t="shared" ref="M80" si="8">IF(F80="","",G80*L80)</f>
        <v/>
      </c>
    </row>
    <row r="81" spans="2:13" x14ac:dyDescent="0.25">
      <c r="B81" s="46"/>
      <c r="C81" s="14"/>
      <c r="D81" s="15"/>
      <c r="E81" s="15"/>
      <c r="F81" s="15"/>
      <c r="G81" s="64"/>
      <c r="H81" s="17" t="str">
        <f t="shared" ref="H81:H129" si="9">IF(D81="","",F81*G81)</f>
        <v/>
      </c>
      <c r="I81" s="18"/>
      <c r="J81" s="62"/>
      <c r="K81" s="399" t="str">
        <f t="shared" si="7"/>
        <v/>
      </c>
      <c r="L81" s="420" t="str">
        <f t="shared" ref="L81:L129" si="10">IF(J81="","",F81*K81)</f>
        <v/>
      </c>
      <c r="M81" s="400" t="str">
        <f t="shared" ref="M81:M130" si="11">IF(J81="","",IF(SUM(H81)=0,"",L81/H81))</f>
        <v/>
      </c>
    </row>
    <row r="82" spans="2:13" x14ac:dyDescent="0.25">
      <c r="B82" s="46"/>
      <c r="C82" s="14"/>
      <c r="D82" s="15"/>
      <c r="E82" s="15"/>
      <c r="F82" s="15"/>
      <c r="G82" s="64"/>
      <c r="H82" s="17" t="str">
        <f t="shared" si="9"/>
        <v/>
      </c>
      <c r="I82" s="18"/>
      <c r="J82" s="62"/>
      <c r="K82" s="399" t="str">
        <f t="shared" si="7"/>
        <v/>
      </c>
      <c r="L82" s="420" t="str">
        <f t="shared" si="10"/>
        <v/>
      </c>
      <c r="M82" s="400" t="str">
        <f t="shared" si="11"/>
        <v/>
      </c>
    </row>
    <row r="83" spans="2:13" x14ac:dyDescent="0.25">
      <c r="B83" s="46"/>
      <c r="C83" s="14"/>
      <c r="D83" s="15"/>
      <c r="E83" s="15"/>
      <c r="F83" s="15"/>
      <c r="G83" s="64"/>
      <c r="H83" s="17" t="str">
        <f t="shared" si="9"/>
        <v/>
      </c>
      <c r="I83" s="18"/>
      <c r="J83" s="62"/>
      <c r="K83" s="399" t="str">
        <f t="shared" si="7"/>
        <v/>
      </c>
      <c r="L83" s="420" t="str">
        <f t="shared" si="10"/>
        <v/>
      </c>
      <c r="M83" s="400" t="str">
        <f t="shared" si="11"/>
        <v/>
      </c>
    </row>
    <row r="84" spans="2:13" x14ac:dyDescent="0.25">
      <c r="B84" s="46"/>
      <c r="C84" s="14"/>
      <c r="D84" s="15"/>
      <c r="E84" s="15"/>
      <c r="F84" s="15"/>
      <c r="G84" s="64"/>
      <c r="H84" s="17" t="str">
        <f t="shared" si="9"/>
        <v/>
      </c>
      <c r="I84" s="18"/>
      <c r="J84" s="62"/>
      <c r="K84" s="399"/>
      <c r="L84" s="420" t="str">
        <f t="shared" si="10"/>
        <v/>
      </c>
      <c r="M84" s="400" t="str">
        <f t="shared" si="11"/>
        <v/>
      </c>
    </row>
    <row r="85" spans="2:13" x14ac:dyDescent="0.25">
      <c r="B85" s="46"/>
      <c r="C85" s="14"/>
      <c r="D85" s="61"/>
      <c r="E85" s="61"/>
      <c r="F85" s="61"/>
      <c r="G85" s="64"/>
      <c r="H85" s="17" t="str">
        <f t="shared" si="9"/>
        <v/>
      </c>
      <c r="I85" s="63"/>
      <c r="J85" s="62"/>
      <c r="K85" s="399"/>
      <c r="L85" s="420" t="str">
        <f t="shared" si="10"/>
        <v/>
      </c>
      <c r="M85" s="400" t="str">
        <f t="shared" si="11"/>
        <v/>
      </c>
    </row>
    <row r="86" spans="2:13" x14ac:dyDescent="0.25">
      <c r="B86" s="46"/>
      <c r="C86" s="14"/>
      <c r="D86" s="15"/>
      <c r="E86" s="15"/>
      <c r="F86" s="15"/>
      <c r="G86" s="64"/>
      <c r="H86" s="17" t="str">
        <f t="shared" si="9"/>
        <v/>
      </c>
      <c r="I86" s="18"/>
      <c r="J86" s="62"/>
      <c r="K86" s="399"/>
      <c r="L86" s="420" t="str">
        <f t="shared" si="10"/>
        <v/>
      </c>
      <c r="M86" s="400" t="str">
        <f t="shared" si="11"/>
        <v/>
      </c>
    </row>
    <row r="87" spans="2:13" x14ac:dyDescent="0.25">
      <c r="B87" s="46"/>
      <c r="C87" s="14"/>
      <c r="D87" s="61"/>
      <c r="E87" s="61"/>
      <c r="F87" s="61"/>
      <c r="G87" s="64"/>
      <c r="H87" s="17" t="str">
        <f t="shared" si="9"/>
        <v/>
      </c>
      <c r="I87" s="69"/>
      <c r="J87" s="62"/>
      <c r="K87" s="399"/>
      <c r="L87" s="420" t="str">
        <f t="shared" si="10"/>
        <v/>
      </c>
      <c r="M87" s="400" t="str">
        <f t="shared" si="11"/>
        <v/>
      </c>
    </row>
    <row r="88" spans="2:13" x14ac:dyDescent="0.25">
      <c r="B88" s="46"/>
      <c r="C88" s="14"/>
      <c r="D88" s="61"/>
      <c r="E88" s="61"/>
      <c r="F88" s="61"/>
      <c r="G88" s="64"/>
      <c r="H88" s="17" t="str">
        <f t="shared" si="9"/>
        <v/>
      </c>
      <c r="I88" s="63"/>
      <c r="J88" s="62"/>
      <c r="K88" s="399"/>
      <c r="L88" s="420" t="str">
        <f t="shared" si="10"/>
        <v/>
      </c>
      <c r="M88" s="400" t="str">
        <f t="shared" si="11"/>
        <v/>
      </c>
    </row>
    <row r="89" spans="2:13" x14ac:dyDescent="0.25">
      <c r="B89" s="46"/>
      <c r="C89" s="14"/>
      <c r="D89" s="15"/>
      <c r="E89" s="15"/>
      <c r="F89" s="15"/>
      <c r="G89" s="64"/>
      <c r="H89" s="17" t="str">
        <f t="shared" si="9"/>
        <v/>
      </c>
      <c r="I89" s="18"/>
      <c r="J89" s="62"/>
      <c r="K89" s="399"/>
      <c r="L89" s="420" t="str">
        <f t="shared" si="10"/>
        <v/>
      </c>
      <c r="M89" s="400" t="str">
        <f t="shared" si="11"/>
        <v/>
      </c>
    </row>
    <row r="90" spans="2:13" x14ac:dyDescent="0.25">
      <c r="B90" s="46"/>
      <c r="C90" s="14"/>
      <c r="D90" s="15"/>
      <c r="E90" s="15"/>
      <c r="F90" s="15"/>
      <c r="G90" s="64"/>
      <c r="H90" s="17" t="str">
        <f t="shared" si="9"/>
        <v/>
      </c>
      <c r="I90" s="18"/>
      <c r="J90" s="62"/>
      <c r="K90" s="399"/>
      <c r="L90" s="420" t="str">
        <f t="shared" si="10"/>
        <v/>
      </c>
      <c r="M90" s="400" t="str">
        <f t="shared" si="11"/>
        <v/>
      </c>
    </row>
    <row r="91" spans="2:13" x14ac:dyDescent="0.25">
      <c r="B91" s="46"/>
      <c r="C91" s="14"/>
      <c r="D91" s="15"/>
      <c r="E91" s="15"/>
      <c r="F91" s="15"/>
      <c r="G91" s="64"/>
      <c r="H91" s="17" t="str">
        <f t="shared" si="9"/>
        <v/>
      </c>
      <c r="I91" s="18"/>
      <c r="J91" s="62"/>
      <c r="K91" s="399"/>
      <c r="L91" s="420" t="str">
        <f t="shared" si="10"/>
        <v/>
      </c>
      <c r="M91" s="400" t="str">
        <f t="shared" si="11"/>
        <v/>
      </c>
    </row>
    <row r="92" spans="2:13" x14ac:dyDescent="0.25">
      <c r="B92" s="46"/>
      <c r="C92" s="14"/>
      <c r="D92" s="15"/>
      <c r="E92" s="15"/>
      <c r="F92" s="15"/>
      <c r="G92" s="64"/>
      <c r="H92" s="17" t="str">
        <f t="shared" si="9"/>
        <v/>
      </c>
      <c r="I92" s="18"/>
      <c r="J92" s="62"/>
      <c r="K92" s="399"/>
      <c r="L92" s="420" t="str">
        <f t="shared" si="10"/>
        <v/>
      </c>
      <c r="M92" s="400" t="str">
        <f t="shared" si="11"/>
        <v/>
      </c>
    </row>
    <row r="93" spans="2:13" x14ac:dyDescent="0.25">
      <c r="B93" s="46"/>
      <c r="C93" s="14"/>
      <c r="D93" s="15"/>
      <c r="E93" s="15"/>
      <c r="F93" s="15"/>
      <c r="G93" s="64"/>
      <c r="H93" s="17" t="str">
        <f t="shared" si="9"/>
        <v/>
      </c>
      <c r="I93" s="18"/>
      <c r="J93" s="62"/>
      <c r="K93" s="399"/>
      <c r="L93" s="420" t="str">
        <f t="shared" si="10"/>
        <v/>
      </c>
      <c r="M93" s="400" t="str">
        <f t="shared" si="11"/>
        <v/>
      </c>
    </row>
    <row r="94" spans="2:13" x14ac:dyDescent="0.25">
      <c r="B94" s="46"/>
      <c r="C94" s="14"/>
      <c r="D94" s="15"/>
      <c r="E94" s="15"/>
      <c r="F94" s="15"/>
      <c r="G94" s="64"/>
      <c r="H94" s="17" t="str">
        <f t="shared" si="9"/>
        <v/>
      </c>
      <c r="I94" s="18"/>
      <c r="J94" s="62"/>
      <c r="K94" s="399"/>
      <c r="L94" s="420" t="str">
        <f t="shared" si="10"/>
        <v/>
      </c>
      <c r="M94" s="400" t="str">
        <f t="shared" si="11"/>
        <v/>
      </c>
    </row>
    <row r="95" spans="2:13" x14ac:dyDescent="0.25">
      <c r="B95" s="46"/>
      <c r="C95" s="14"/>
      <c r="D95" s="15"/>
      <c r="E95" s="15"/>
      <c r="F95" s="15"/>
      <c r="G95" s="64"/>
      <c r="H95" s="17" t="str">
        <f t="shared" si="9"/>
        <v/>
      </c>
      <c r="I95" s="18"/>
      <c r="J95" s="62"/>
      <c r="K95" s="399"/>
      <c r="L95" s="420" t="str">
        <f t="shared" si="10"/>
        <v/>
      </c>
      <c r="M95" s="400" t="str">
        <f t="shared" si="11"/>
        <v/>
      </c>
    </row>
    <row r="96" spans="2:13" x14ac:dyDescent="0.25">
      <c r="B96" s="46"/>
      <c r="C96" s="14"/>
      <c r="D96" s="15"/>
      <c r="E96" s="15"/>
      <c r="F96" s="15"/>
      <c r="G96" s="64"/>
      <c r="H96" s="17" t="str">
        <f t="shared" si="9"/>
        <v/>
      </c>
      <c r="I96" s="18"/>
      <c r="J96" s="62"/>
      <c r="K96" s="399"/>
      <c r="L96" s="420" t="str">
        <f t="shared" si="10"/>
        <v/>
      </c>
      <c r="M96" s="400" t="str">
        <f t="shared" si="11"/>
        <v/>
      </c>
    </row>
    <row r="97" spans="2:13" x14ac:dyDescent="0.25">
      <c r="B97" s="46"/>
      <c r="C97" s="14"/>
      <c r="D97" s="15"/>
      <c r="E97" s="15"/>
      <c r="F97" s="15"/>
      <c r="G97" s="64"/>
      <c r="H97" s="17" t="str">
        <f t="shared" si="9"/>
        <v/>
      </c>
      <c r="I97" s="18"/>
      <c r="J97" s="62"/>
      <c r="K97" s="399"/>
      <c r="L97" s="420" t="str">
        <f t="shared" si="10"/>
        <v/>
      </c>
      <c r="M97" s="400" t="str">
        <f t="shared" si="11"/>
        <v/>
      </c>
    </row>
    <row r="98" spans="2:13" ht="27.75" customHeight="1" x14ac:dyDescent="0.25">
      <c r="B98" s="46"/>
      <c r="C98" s="14"/>
      <c r="D98" s="15"/>
      <c r="E98" s="15"/>
      <c r="F98" s="15"/>
      <c r="G98" s="64"/>
      <c r="H98" s="17" t="str">
        <f t="shared" si="9"/>
        <v/>
      </c>
      <c r="I98" s="18"/>
      <c r="J98" s="62"/>
      <c r="K98" s="399"/>
      <c r="L98" s="420" t="str">
        <f t="shared" si="10"/>
        <v/>
      </c>
      <c r="M98" s="400" t="str">
        <f t="shared" si="11"/>
        <v/>
      </c>
    </row>
    <row r="99" spans="2:13" x14ac:dyDescent="0.25">
      <c r="B99" s="46"/>
      <c r="C99" s="14"/>
      <c r="D99" s="15"/>
      <c r="E99" s="15"/>
      <c r="F99" s="15"/>
      <c r="G99" s="64"/>
      <c r="H99" s="17" t="str">
        <f t="shared" si="9"/>
        <v/>
      </c>
      <c r="I99" s="18"/>
      <c r="J99" s="62"/>
      <c r="K99" s="399"/>
      <c r="L99" s="420" t="str">
        <f t="shared" si="10"/>
        <v/>
      </c>
      <c r="M99" s="400" t="str">
        <f t="shared" si="11"/>
        <v/>
      </c>
    </row>
    <row r="100" spans="2:13" x14ac:dyDescent="0.25">
      <c r="B100" s="46"/>
      <c r="C100" s="14"/>
      <c r="D100" s="15"/>
      <c r="E100" s="15"/>
      <c r="F100" s="15"/>
      <c r="G100" s="64"/>
      <c r="H100" s="17" t="str">
        <f t="shared" si="9"/>
        <v/>
      </c>
      <c r="I100" s="18"/>
      <c r="J100" s="62"/>
      <c r="K100" s="399"/>
      <c r="L100" s="420" t="str">
        <f t="shared" si="10"/>
        <v/>
      </c>
      <c r="M100" s="400" t="str">
        <f t="shared" si="11"/>
        <v/>
      </c>
    </row>
    <row r="101" spans="2:13" x14ac:dyDescent="0.25">
      <c r="B101" s="46"/>
      <c r="C101" s="14"/>
      <c r="D101" s="15"/>
      <c r="E101" s="15"/>
      <c r="F101" s="15"/>
      <c r="G101" s="64"/>
      <c r="H101" s="17" t="str">
        <f t="shared" si="9"/>
        <v/>
      </c>
      <c r="I101" s="18"/>
      <c r="J101" s="62"/>
      <c r="K101" s="399"/>
      <c r="L101" s="420" t="str">
        <f t="shared" si="10"/>
        <v/>
      </c>
      <c r="M101" s="400" t="str">
        <f t="shared" si="11"/>
        <v/>
      </c>
    </row>
    <row r="102" spans="2:13" x14ac:dyDescent="0.25">
      <c r="B102" s="46"/>
      <c r="C102" s="14"/>
      <c r="D102" s="15"/>
      <c r="E102" s="15"/>
      <c r="F102" s="15"/>
      <c r="G102" s="64"/>
      <c r="H102" s="17" t="str">
        <f t="shared" si="9"/>
        <v/>
      </c>
      <c r="I102" s="18"/>
      <c r="J102" s="62"/>
      <c r="K102" s="399"/>
      <c r="L102" s="420" t="str">
        <f t="shared" si="10"/>
        <v/>
      </c>
      <c r="M102" s="400" t="str">
        <f t="shared" si="11"/>
        <v/>
      </c>
    </row>
    <row r="103" spans="2:13" x14ac:dyDescent="0.25">
      <c r="B103" s="46"/>
      <c r="C103" s="14"/>
      <c r="D103" s="15"/>
      <c r="E103" s="15"/>
      <c r="F103" s="15"/>
      <c r="G103" s="64"/>
      <c r="H103" s="17" t="str">
        <f t="shared" si="9"/>
        <v/>
      </c>
      <c r="I103" s="18"/>
      <c r="J103" s="62"/>
      <c r="K103" s="399"/>
      <c r="L103" s="420" t="str">
        <f t="shared" si="10"/>
        <v/>
      </c>
      <c r="M103" s="400" t="str">
        <f t="shared" si="11"/>
        <v/>
      </c>
    </row>
    <row r="104" spans="2:13" x14ac:dyDescent="0.25">
      <c r="B104" s="46"/>
      <c r="C104" s="14"/>
      <c r="D104" s="15"/>
      <c r="E104" s="15"/>
      <c r="F104" s="15"/>
      <c r="G104" s="64"/>
      <c r="H104" s="17" t="str">
        <f t="shared" si="9"/>
        <v/>
      </c>
      <c r="I104" s="18"/>
      <c r="J104" s="62"/>
      <c r="K104" s="399"/>
      <c r="L104" s="420" t="str">
        <f t="shared" si="10"/>
        <v/>
      </c>
      <c r="M104" s="400" t="str">
        <f t="shared" si="11"/>
        <v/>
      </c>
    </row>
    <row r="105" spans="2:13" x14ac:dyDescent="0.25">
      <c r="B105" s="46"/>
      <c r="C105" s="14"/>
      <c r="D105" s="15"/>
      <c r="E105" s="15"/>
      <c r="F105" s="15"/>
      <c r="G105" s="64"/>
      <c r="H105" s="17" t="str">
        <f t="shared" si="9"/>
        <v/>
      </c>
      <c r="I105" s="18"/>
      <c r="J105" s="62"/>
      <c r="K105" s="399"/>
      <c r="L105" s="420" t="str">
        <f t="shared" si="10"/>
        <v/>
      </c>
      <c r="M105" s="400" t="str">
        <f t="shared" si="11"/>
        <v/>
      </c>
    </row>
    <row r="106" spans="2:13" x14ac:dyDescent="0.25">
      <c r="B106" s="46"/>
      <c r="C106" s="14"/>
      <c r="D106" s="15"/>
      <c r="E106" s="15"/>
      <c r="F106" s="15"/>
      <c r="G106" s="64"/>
      <c r="H106" s="17" t="str">
        <f t="shared" si="9"/>
        <v/>
      </c>
      <c r="I106" s="18"/>
      <c r="J106" s="62"/>
      <c r="K106" s="402"/>
      <c r="L106" s="420" t="str">
        <f t="shared" si="10"/>
        <v/>
      </c>
      <c r="M106" s="400" t="str">
        <f t="shared" si="11"/>
        <v/>
      </c>
    </row>
    <row r="107" spans="2:13" x14ac:dyDescent="0.25">
      <c r="B107" s="46"/>
      <c r="C107" s="14"/>
      <c r="D107" s="15"/>
      <c r="E107" s="15"/>
      <c r="F107" s="15"/>
      <c r="G107" s="64"/>
      <c r="H107" s="17" t="str">
        <f t="shared" si="9"/>
        <v/>
      </c>
      <c r="I107" s="18"/>
      <c r="J107" s="62"/>
      <c r="K107" s="399"/>
      <c r="L107" s="420" t="str">
        <f t="shared" si="10"/>
        <v/>
      </c>
      <c r="M107" s="400" t="str">
        <f t="shared" si="11"/>
        <v/>
      </c>
    </row>
    <row r="108" spans="2:13" x14ac:dyDescent="0.25">
      <c r="B108" s="46"/>
      <c r="C108" s="14"/>
      <c r="D108" s="15"/>
      <c r="E108" s="15"/>
      <c r="F108" s="15"/>
      <c r="G108" s="64"/>
      <c r="H108" s="17" t="str">
        <f t="shared" si="9"/>
        <v/>
      </c>
      <c r="I108" s="18"/>
      <c r="J108" s="62"/>
      <c r="K108" s="399"/>
      <c r="L108" s="420" t="str">
        <f t="shared" si="10"/>
        <v/>
      </c>
      <c r="M108" s="400" t="str">
        <f t="shared" si="11"/>
        <v/>
      </c>
    </row>
    <row r="109" spans="2:13" x14ac:dyDescent="0.25">
      <c r="B109" s="46"/>
      <c r="C109" s="14"/>
      <c r="D109" s="15"/>
      <c r="E109" s="15"/>
      <c r="F109" s="15"/>
      <c r="G109" s="64"/>
      <c r="H109" s="17" t="str">
        <f t="shared" si="9"/>
        <v/>
      </c>
      <c r="I109" s="18"/>
      <c r="J109" s="62"/>
      <c r="K109" s="399"/>
      <c r="L109" s="420" t="str">
        <f t="shared" si="10"/>
        <v/>
      </c>
      <c r="M109" s="400" t="str">
        <f t="shared" si="11"/>
        <v/>
      </c>
    </row>
    <row r="110" spans="2:13" x14ac:dyDescent="0.25">
      <c r="B110" s="46"/>
      <c r="C110" s="14"/>
      <c r="D110" s="15"/>
      <c r="E110" s="15"/>
      <c r="F110" s="15"/>
      <c r="G110" s="64"/>
      <c r="H110" s="17" t="str">
        <f t="shared" si="9"/>
        <v/>
      </c>
      <c r="I110" s="18"/>
      <c r="J110" s="62"/>
      <c r="K110" s="399"/>
      <c r="L110" s="420" t="str">
        <f t="shared" si="10"/>
        <v/>
      </c>
      <c r="M110" s="400" t="str">
        <f t="shared" si="11"/>
        <v/>
      </c>
    </row>
    <row r="111" spans="2:13" x14ac:dyDescent="0.25">
      <c r="B111" s="46"/>
      <c r="C111" s="14"/>
      <c r="D111" s="15"/>
      <c r="E111" s="15"/>
      <c r="F111" s="15"/>
      <c r="G111" s="64"/>
      <c r="H111" s="17" t="str">
        <f t="shared" si="9"/>
        <v/>
      </c>
      <c r="I111" s="18"/>
      <c r="J111" s="62"/>
      <c r="K111" s="399"/>
      <c r="L111" s="420" t="str">
        <f t="shared" si="10"/>
        <v/>
      </c>
      <c r="M111" s="400" t="str">
        <f t="shared" si="11"/>
        <v/>
      </c>
    </row>
    <row r="112" spans="2:13" x14ac:dyDescent="0.25">
      <c r="B112" s="46"/>
      <c r="C112" s="14"/>
      <c r="D112" s="15"/>
      <c r="E112" s="15"/>
      <c r="F112" s="15"/>
      <c r="G112" s="64"/>
      <c r="H112" s="17" t="str">
        <f t="shared" si="9"/>
        <v/>
      </c>
      <c r="I112" s="18"/>
      <c r="J112" s="62"/>
      <c r="K112" s="399"/>
      <c r="L112" s="420" t="str">
        <f t="shared" si="10"/>
        <v/>
      </c>
      <c r="M112" s="400" t="str">
        <f t="shared" si="11"/>
        <v/>
      </c>
    </row>
    <row r="113" spans="2:13" x14ac:dyDescent="0.25">
      <c r="B113" s="46"/>
      <c r="C113" s="14"/>
      <c r="D113" s="15"/>
      <c r="E113" s="15"/>
      <c r="F113" s="15"/>
      <c r="G113" s="64"/>
      <c r="H113" s="17" t="str">
        <f t="shared" si="9"/>
        <v/>
      </c>
      <c r="I113" s="18"/>
      <c r="J113" s="62"/>
      <c r="K113" s="399"/>
      <c r="L113" s="420" t="str">
        <f t="shared" si="10"/>
        <v/>
      </c>
      <c r="M113" s="400" t="str">
        <f t="shared" si="11"/>
        <v/>
      </c>
    </row>
    <row r="114" spans="2:13" x14ac:dyDescent="0.25">
      <c r="B114" s="46"/>
      <c r="C114" s="14"/>
      <c r="D114" s="15"/>
      <c r="E114" s="15"/>
      <c r="F114" s="15"/>
      <c r="G114" s="64"/>
      <c r="H114" s="17" t="str">
        <f t="shared" si="9"/>
        <v/>
      </c>
      <c r="I114" s="18"/>
      <c r="J114" s="62"/>
      <c r="K114" s="399"/>
      <c r="L114" s="420" t="str">
        <f t="shared" si="10"/>
        <v/>
      </c>
      <c r="M114" s="400" t="str">
        <f t="shared" si="11"/>
        <v/>
      </c>
    </row>
    <row r="115" spans="2:13" x14ac:dyDescent="0.25">
      <c r="B115" s="46"/>
      <c r="C115" s="14"/>
      <c r="D115" s="15"/>
      <c r="E115" s="15"/>
      <c r="F115" s="15"/>
      <c r="G115" s="64"/>
      <c r="H115" s="17" t="str">
        <f t="shared" si="9"/>
        <v/>
      </c>
      <c r="I115" s="18"/>
      <c r="J115" s="62"/>
      <c r="K115" s="399"/>
      <c r="L115" s="420" t="str">
        <f t="shared" si="10"/>
        <v/>
      </c>
      <c r="M115" s="400" t="str">
        <f t="shared" si="11"/>
        <v/>
      </c>
    </row>
    <row r="116" spans="2:13" x14ac:dyDescent="0.25">
      <c r="B116" s="46"/>
      <c r="C116" s="14"/>
      <c r="D116" s="15"/>
      <c r="E116" s="15"/>
      <c r="F116" s="15"/>
      <c r="G116" s="64"/>
      <c r="H116" s="17" t="str">
        <f t="shared" si="9"/>
        <v/>
      </c>
      <c r="I116" s="18"/>
      <c r="J116" s="62"/>
      <c r="K116" s="62"/>
      <c r="L116" s="420" t="str">
        <f t="shared" si="10"/>
        <v/>
      </c>
      <c r="M116" s="400" t="str">
        <f t="shared" si="11"/>
        <v/>
      </c>
    </row>
    <row r="117" spans="2:13" x14ac:dyDescent="0.25">
      <c r="B117" s="46"/>
      <c r="C117" s="14"/>
      <c r="D117" s="15"/>
      <c r="E117" s="15"/>
      <c r="F117" s="15"/>
      <c r="G117" s="64"/>
      <c r="H117" s="17" t="str">
        <f t="shared" si="9"/>
        <v/>
      </c>
      <c r="I117" s="18"/>
      <c r="J117" s="62"/>
      <c r="K117" s="62"/>
      <c r="L117" s="420" t="str">
        <f t="shared" si="10"/>
        <v/>
      </c>
      <c r="M117" s="400" t="str">
        <f t="shared" si="11"/>
        <v/>
      </c>
    </row>
    <row r="118" spans="2:13" x14ac:dyDescent="0.25">
      <c r="B118" s="46"/>
      <c r="C118" s="14"/>
      <c r="D118" s="15"/>
      <c r="E118" s="15"/>
      <c r="F118" s="15"/>
      <c r="G118" s="64"/>
      <c r="H118" s="17" t="str">
        <f t="shared" si="9"/>
        <v/>
      </c>
      <c r="I118" s="18"/>
      <c r="J118" s="62"/>
      <c r="K118" s="62"/>
      <c r="L118" s="420" t="str">
        <f t="shared" si="10"/>
        <v/>
      </c>
      <c r="M118" s="400" t="str">
        <f t="shared" si="11"/>
        <v/>
      </c>
    </row>
    <row r="119" spans="2:13" x14ac:dyDescent="0.25">
      <c r="B119" s="46"/>
      <c r="C119" s="14"/>
      <c r="D119" s="15"/>
      <c r="E119" s="15"/>
      <c r="F119" s="15"/>
      <c r="G119" s="64"/>
      <c r="H119" s="17" t="str">
        <f t="shared" si="9"/>
        <v/>
      </c>
      <c r="I119" s="18"/>
      <c r="J119" s="62"/>
      <c r="K119" s="62"/>
      <c r="L119" s="420" t="str">
        <f t="shared" si="10"/>
        <v/>
      </c>
      <c r="M119" s="400" t="str">
        <f t="shared" si="11"/>
        <v/>
      </c>
    </row>
    <row r="120" spans="2:13" x14ac:dyDescent="0.25">
      <c r="B120" s="46"/>
      <c r="C120" s="14"/>
      <c r="D120" s="15"/>
      <c r="E120" s="15"/>
      <c r="F120" s="15"/>
      <c r="G120" s="64"/>
      <c r="H120" s="17" t="str">
        <f t="shared" si="9"/>
        <v/>
      </c>
      <c r="I120" s="18"/>
      <c r="J120" s="62"/>
      <c r="K120" s="62"/>
      <c r="L120" s="420" t="str">
        <f t="shared" si="10"/>
        <v/>
      </c>
      <c r="M120" s="400" t="str">
        <f t="shared" si="11"/>
        <v/>
      </c>
    </row>
    <row r="121" spans="2:13" x14ac:dyDescent="0.25">
      <c r="B121" s="46"/>
      <c r="C121" s="14"/>
      <c r="D121" s="15"/>
      <c r="E121" s="15"/>
      <c r="F121" s="15"/>
      <c r="G121" s="64"/>
      <c r="H121" s="17" t="str">
        <f t="shared" si="9"/>
        <v/>
      </c>
      <c r="I121" s="18"/>
      <c r="J121" s="62"/>
      <c r="K121" s="62"/>
      <c r="L121" s="420" t="str">
        <f t="shared" si="10"/>
        <v/>
      </c>
      <c r="M121" s="400" t="str">
        <f t="shared" si="11"/>
        <v/>
      </c>
    </row>
    <row r="122" spans="2:13" x14ac:dyDescent="0.25">
      <c r="B122" s="46"/>
      <c r="C122" s="14"/>
      <c r="D122" s="15"/>
      <c r="E122" s="15"/>
      <c r="F122" s="15"/>
      <c r="G122" s="64"/>
      <c r="H122" s="17" t="str">
        <f t="shared" si="9"/>
        <v/>
      </c>
      <c r="I122" s="18"/>
      <c r="J122" s="62"/>
      <c r="K122" s="62"/>
      <c r="L122" s="420" t="str">
        <f t="shared" si="10"/>
        <v/>
      </c>
      <c r="M122" s="400" t="str">
        <f t="shared" si="11"/>
        <v/>
      </c>
    </row>
    <row r="123" spans="2:13" x14ac:dyDescent="0.25">
      <c r="B123" s="46"/>
      <c r="C123" s="14"/>
      <c r="D123" s="15"/>
      <c r="E123" s="15"/>
      <c r="F123" s="15"/>
      <c r="G123" s="64"/>
      <c r="H123" s="17" t="str">
        <f t="shared" si="9"/>
        <v/>
      </c>
      <c r="I123" s="18"/>
      <c r="J123" s="62"/>
      <c r="K123" s="62"/>
      <c r="L123" s="420" t="str">
        <f t="shared" si="10"/>
        <v/>
      </c>
      <c r="M123" s="400" t="str">
        <f t="shared" si="11"/>
        <v/>
      </c>
    </row>
    <row r="124" spans="2:13" x14ac:dyDescent="0.25">
      <c r="B124" s="46"/>
      <c r="C124" s="14"/>
      <c r="D124" s="15"/>
      <c r="E124" s="15"/>
      <c r="F124" s="15"/>
      <c r="G124" s="64"/>
      <c r="H124" s="17" t="str">
        <f t="shared" si="9"/>
        <v/>
      </c>
      <c r="I124" s="18"/>
      <c r="J124" s="62"/>
      <c r="K124" s="62"/>
      <c r="L124" s="420" t="str">
        <f t="shared" si="10"/>
        <v/>
      </c>
      <c r="M124" s="400" t="str">
        <f t="shared" si="11"/>
        <v/>
      </c>
    </row>
    <row r="125" spans="2:13" x14ac:dyDescent="0.25">
      <c r="B125" s="46"/>
      <c r="C125" s="14"/>
      <c r="D125" s="15"/>
      <c r="E125" s="15"/>
      <c r="F125" s="15"/>
      <c r="G125" s="64"/>
      <c r="H125" s="17" t="str">
        <f t="shared" si="9"/>
        <v/>
      </c>
      <c r="I125" s="18"/>
      <c r="J125" s="62"/>
      <c r="K125" s="62"/>
      <c r="L125" s="420" t="str">
        <f t="shared" si="10"/>
        <v/>
      </c>
      <c r="M125" s="400" t="str">
        <f t="shared" si="11"/>
        <v/>
      </c>
    </row>
    <row r="126" spans="2:13" x14ac:dyDescent="0.25">
      <c r="B126" s="46"/>
      <c r="C126" s="14"/>
      <c r="D126" s="15"/>
      <c r="E126" s="15"/>
      <c r="F126" s="15"/>
      <c r="G126" s="64"/>
      <c r="H126" s="17" t="str">
        <f t="shared" si="9"/>
        <v/>
      </c>
      <c r="I126" s="18"/>
      <c r="J126" s="62"/>
      <c r="K126" s="399"/>
      <c r="L126" s="420" t="str">
        <f t="shared" si="10"/>
        <v/>
      </c>
      <c r="M126" s="400" t="str">
        <f t="shared" si="11"/>
        <v/>
      </c>
    </row>
    <row r="127" spans="2:13" x14ac:dyDescent="0.25">
      <c r="B127" s="46"/>
      <c r="C127" s="14"/>
      <c r="D127" s="15"/>
      <c r="E127" s="15"/>
      <c r="F127" s="15"/>
      <c r="G127" s="64"/>
      <c r="H127" s="17" t="str">
        <f t="shared" si="9"/>
        <v/>
      </c>
      <c r="I127" s="18"/>
      <c r="J127" s="62"/>
      <c r="K127" s="399"/>
      <c r="L127" s="420" t="str">
        <f t="shared" si="10"/>
        <v/>
      </c>
      <c r="M127" s="400" t="str">
        <f t="shared" si="11"/>
        <v/>
      </c>
    </row>
    <row r="128" spans="2:13" x14ac:dyDescent="0.25">
      <c r="B128" s="46"/>
      <c r="C128" s="14"/>
      <c r="D128" s="15"/>
      <c r="E128" s="15"/>
      <c r="F128" s="15"/>
      <c r="G128" s="64"/>
      <c r="H128" s="17" t="str">
        <f t="shared" si="9"/>
        <v/>
      </c>
      <c r="I128" s="18"/>
      <c r="J128" s="62"/>
      <c r="K128" s="399"/>
      <c r="L128" s="420" t="str">
        <f t="shared" si="10"/>
        <v/>
      </c>
      <c r="M128" s="400" t="str">
        <f t="shared" si="11"/>
        <v/>
      </c>
    </row>
    <row r="129" spans="2:13" x14ac:dyDescent="0.25">
      <c r="B129" s="46"/>
      <c r="C129" s="14"/>
      <c r="D129" s="15"/>
      <c r="E129" s="15"/>
      <c r="F129" s="15"/>
      <c r="G129" s="64"/>
      <c r="H129" s="17" t="str">
        <f t="shared" si="9"/>
        <v/>
      </c>
      <c r="I129" s="18"/>
      <c r="J129" s="711"/>
      <c r="K129" s="399" t="str">
        <f>IF(D125="","",ROUND(Labour_perc_structures*H125,1))</f>
        <v/>
      </c>
      <c r="L129" s="420" t="str">
        <f t="shared" si="10"/>
        <v/>
      </c>
      <c r="M129" s="400" t="str">
        <f t="shared" si="11"/>
        <v/>
      </c>
    </row>
    <row r="130" spans="2:13" s="28" customFormat="1" ht="19.5" customHeight="1" x14ac:dyDescent="0.25">
      <c r="B130" s="135" t="str">
        <f>$B$12</f>
        <v>C13.4</v>
      </c>
      <c r="C130" s="30" t="s">
        <v>12</v>
      </c>
      <c r="D130" s="31"/>
      <c r="E130" s="31"/>
      <c r="F130" s="32"/>
      <c r="G130" s="31"/>
      <c r="H130" s="33">
        <f>SUM(H80:H129)</f>
        <v>0</v>
      </c>
      <c r="I130" s="34"/>
      <c r="J130" s="600"/>
      <c r="K130" s="601"/>
      <c r="L130" s="418">
        <f>SUM(L80:L129)</f>
        <v>0</v>
      </c>
      <c r="M130" s="410" t="str">
        <f t="shared" si="11"/>
        <v/>
      </c>
    </row>
    <row r="131" spans="2:13" ht="13" x14ac:dyDescent="0.25">
      <c r="B131" s="1108" t="str">
        <f>Client1</f>
        <v>Province of KwaZulu-Natal</v>
      </c>
      <c r="C131" s="1108"/>
      <c r="D131" s="1108"/>
      <c r="E131" s="87"/>
      <c r="F131" s="1109" t="str">
        <f>"Contract No. "&amp;ContractNo</f>
        <v>Contract No. ZNB 00399/00000/HOD/INF/21/T</v>
      </c>
      <c r="G131" s="1109"/>
      <c r="H131" s="1109"/>
    </row>
    <row r="132" spans="2:13" ht="13" x14ac:dyDescent="0.25">
      <c r="B132" s="1108" t="str">
        <f>Client2</f>
        <v>Department of Transport</v>
      </c>
      <c r="C132" s="1108"/>
      <c r="D132" s="1108"/>
      <c r="E132" s="87"/>
      <c r="F132" s="1109"/>
      <c r="G132" s="1109"/>
      <c r="H132" s="1109"/>
    </row>
    <row r="133" spans="2:13" x14ac:dyDescent="0.25">
      <c r="B133" s="1111"/>
      <c r="C133" s="1111"/>
      <c r="D133" s="1111"/>
      <c r="E133" s="78"/>
      <c r="F133" s="1110"/>
      <c r="G133" s="1110"/>
      <c r="H133" s="1110"/>
    </row>
    <row r="134" spans="2:13" ht="13" x14ac:dyDescent="0.25">
      <c r="B134" s="1112" t="s">
        <v>1773</v>
      </c>
      <c r="C134" s="1113"/>
      <c r="D134" s="1113"/>
      <c r="E134" s="1113"/>
      <c r="F134" s="1113"/>
      <c r="G134" s="1113"/>
      <c r="H134" s="1125" t="str">
        <f>$H$6</f>
        <v>CHAPTER C13.4</v>
      </c>
      <c r="I134" s="6"/>
    </row>
    <row r="135" spans="2:13" ht="39.75" customHeight="1" x14ac:dyDescent="0.25">
      <c r="B135" s="1117" t="str">
        <f>ContractDescription</f>
        <v>THE CONSTRUCTION OF EARTHWORKS, LAYERWORKS, SURFACING, CULVERTS AND CWAKA RIVER BRIDGE FROM KM 11.600 TO KM 14.000 ON MAIN ROAD P494 IN THE KING CETSHWAYO DISTRICT UNDER EMPANGENI REGION</v>
      </c>
      <c r="C135" s="1148"/>
      <c r="D135" s="1148"/>
      <c r="E135" s="1148"/>
      <c r="F135" s="1148"/>
      <c r="G135" s="1148"/>
      <c r="H135" s="1126"/>
      <c r="I135" s="8"/>
    </row>
    <row r="136" spans="2:13" ht="24.75" customHeight="1" x14ac:dyDescent="0.25">
      <c r="B136" s="1149" t="s">
        <v>1774</v>
      </c>
      <c r="C136" s="1150"/>
      <c r="D136" s="1150"/>
      <c r="E136" s="1150"/>
      <c r="F136" s="1150"/>
      <c r="G136" s="1150"/>
      <c r="H136" s="1126"/>
      <c r="I136" s="8"/>
    </row>
    <row r="137" spans="2:13" ht="13" x14ac:dyDescent="0.25">
      <c r="B137" s="611"/>
      <c r="C137" s="612"/>
      <c r="D137" s="612"/>
      <c r="E137" s="612"/>
      <c r="F137" s="612"/>
      <c r="G137" s="612"/>
      <c r="H137" s="1127"/>
      <c r="I137" s="8"/>
    </row>
    <row r="138" spans="2:13" s="9" customFormat="1" ht="25" customHeight="1" x14ac:dyDescent="0.25">
      <c r="B138" s="74" t="s">
        <v>0</v>
      </c>
      <c r="C138" s="11" t="s">
        <v>1</v>
      </c>
      <c r="D138" s="11" t="s">
        <v>2</v>
      </c>
      <c r="E138" s="11"/>
      <c r="F138" s="11" t="s">
        <v>3</v>
      </c>
      <c r="G138" s="11" t="s">
        <v>4</v>
      </c>
      <c r="H138" s="11" t="s">
        <v>5</v>
      </c>
      <c r="I138" s="12"/>
      <c r="J138" s="408" t="s">
        <v>996</v>
      </c>
      <c r="K138" s="253" t="s">
        <v>997</v>
      </c>
      <c r="L138" s="253" t="s">
        <v>998</v>
      </c>
      <c r="M138" s="253" t="s">
        <v>999</v>
      </c>
    </row>
    <row r="139" spans="2:13" s="28" customFormat="1" ht="19.5" customHeight="1" x14ac:dyDescent="0.25">
      <c r="B139" s="80"/>
      <c r="C139" s="30" t="s">
        <v>27</v>
      </c>
      <c r="D139" s="31"/>
      <c r="E139" s="31"/>
      <c r="F139" s="32"/>
      <c r="G139" s="31"/>
      <c r="H139" s="33">
        <f>H130</f>
        <v>0</v>
      </c>
      <c r="I139" s="34"/>
      <c r="J139" s="602"/>
      <c r="K139" s="409" t="str">
        <f t="shared" ref="K139" si="12">IF(D139="","",ROUND(Labour_perc_structures*H139,1))</f>
        <v/>
      </c>
      <c r="L139" s="419">
        <f>L130</f>
        <v>0</v>
      </c>
      <c r="M139" s="603" t="str">
        <f t="shared" ref="M139" si="13">IF(F139="","",G139*L139)</f>
        <v/>
      </c>
    </row>
    <row r="140" spans="2:13" x14ac:dyDescent="0.25">
      <c r="B140" s="46"/>
      <c r="C140" s="14"/>
      <c r="D140" s="15"/>
      <c r="E140" s="15"/>
      <c r="F140" s="15"/>
      <c r="G140" s="64"/>
      <c r="H140" s="17" t="str">
        <f t="shared" ref="H140:H190" si="14">IF(D140="","",F140*G140)</f>
        <v/>
      </c>
      <c r="I140" s="18"/>
      <c r="J140" s="62"/>
      <c r="K140" s="399"/>
      <c r="L140" s="420" t="str">
        <f t="shared" ref="L140:L190" si="15">IF(J140="","",F140*K140)</f>
        <v/>
      </c>
      <c r="M140" s="401" t="str">
        <f t="shared" ref="M140:M191" si="16">IF(J140="","",IF(SUM(H140)=0,"",L140/H140))</f>
        <v/>
      </c>
    </row>
    <row r="141" spans="2:13" x14ac:dyDescent="0.25">
      <c r="B141" s="46"/>
      <c r="C141" s="14"/>
      <c r="D141" s="15"/>
      <c r="E141" s="15"/>
      <c r="F141" s="15"/>
      <c r="G141" s="64"/>
      <c r="H141" s="17" t="str">
        <f t="shared" si="14"/>
        <v/>
      </c>
      <c r="I141" s="18"/>
      <c r="J141" s="62"/>
      <c r="K141" s="399"/>
      <c r="L141" s="420" t="str">
        <f t="shared" si="15"/>
        <v/>
      </c>
      <c r="M141" s="401" t="str">
        <f t="shared" si="16"/>
        <v/>
      </c>
    </row>
    <row r="142" spans="2:13" x14ac:dyDescent="0.25">
      <c r="B142" s="46"/>
      <c r="C142" s="14"/>
      <c r="D142" s="15"/>
      <c r="E142" s="15"/>
      <c r="F142" s="15"/>
      <c r="G142" s="64"/>
      <c r="H142" s="17" t="str">
        <f t="shared" si="14"/>
        <v/>
      </c>
      <c r="I142" s="18"/>
      <c r="J142" s="62"/>
      <c r="K142" s="399"/>
      <c r="L142" s="420" t="str">
        <f t="shared" si="15"/>
        <v/>
      </c>
      <c r="M142" s="401" t="str">
        <f t="shared" si="16"/>
        <v/>
      </c>
    </row>
    <row r="143" spans="2:13" x14ac:dyDescent="0.25">
      <c r="B143" s="46"/>
      <c r="C143" s="14"/>
      <c r="D143" s="15"/>
      <c r="E143" s="15"/>
      <c r="F143" s="15"/>
      <c r="G143" s="64"/>
      <c r="H143" s="17" t="str">
        <f t="shared" si="14"/>
        <v/>
      </c>
      <c r="I143" s="18"/>
      <c r="J143" s="62"/>
      <c r="K143" s="399"/>
      <c r="L143" s="420" t="str">
        <f t="shared" si="15"/>
        <v/>
      </c>
      <c r="M143" s="401" t="str">
        <f t="shared" si="16"/>
        <v/>
      </c>
    </row>
    <row r="144" spans="2:13" x14ac:dyDescent="0.25">
      <c r="B144" s="46"/>
      <c r="C144" s="14"/>
      <c r="D144" s="15"/>
      <c r="E144" s="15"/>
      <c r="F144" s="15"/>
      <c r="G144" s="64"/>
      <c r="H144" s="17" t="str">
        <f t="shared" si="14"/>
        <v/>
      </c>
      <c r="I144" s="18"/>
      <c r="J144" s="62"/>
      <c r="K144" s="399"/>
      <c r="L144" s="420" t="str">
        <f t="shared" si="15"/>
        <v/>
      </c>
      <c r="M144" s="401" t="str">
        <f t="shared" si="16"/>
        <v/>
      </c>
    </row>
    <row r="145" spans="2:13" x14ac:dyDescent="0.25">
      <c r="B145" s="46"/>
      <c r="C145" s="14"/>
      <c r="D145" s="15"/>
      <c r="E145" s="15"/>
      <c r="F145" s="15"/>
      <c r="G145" s="64"/>
      <c r="H145" s="17" t="str">
        <f t="shared" si="14"/>
        <v/>
      </c>
      <c r="I145" s="18"/>
      <c r="J145" s="62"/>
      <c r="K145" s="399"/>
      <c r="L145" s="420" t="str">
        <f t="shared" si="15"/>
        <v/>
      </c>
      <c r="M145" s="401" t="str">
        <f t="shared" si="16"/>
        <v/>
      </c>
    </row>
    <row r="146" spans="2:13" x14ac:dyDescent="0.25">
      <c r="B146" s="46"/>
      <c r="C146" s="14"/>
      <c r="D146" s="15"/>
      <c r="E146" s="15"/>
      <c r="F146" s="15"/>
      <c r="G146" s="64"/>
      <c r="H146" s="17" t="str">
        <f t="shared" si="14"/>
        <v/>
      </c>
      <c r="I146" s="18"/>
      <c r="J146" s="62"/>
      <c r="K146" s="399"/>
      <c r="L146" s="420" t="str">
        <f t="shared" si="15"/>
        <v/>
      </c>
      <c r="M146" s="401" t="str">
        <f t="shared" si="16"/>
        <v/>
      </c>
    </row>
    <row r="147" spans="2:13" x14ac:dyDescent="0.25">
      <c r="B147" s="46"/>
      <c r="C147" s="238"/>
      <c r="D147" s="15"/>
      <c r="E147" s="15"/>
      <c r="F147" s="15"/>
      <c r="G147" s="64"/>
      <c r="H147" s="17" t="str">
        <f t="shared" si="14"/>
        <v/>
      </c>
      <c r="I147" s="18"/>
      <c r="J147" s="62"/>
      <c r="K147" s="402"/>
      <c r="L147" s="420" t="str">
        <f t="shared" si="15"/>
        <v/>
      </c>
      <c r="M147" s="401" t="str">
        <f t="shared" si="16"/>
        <v/>
      </c>
    </row>
    <row r="148" spans="2:13" x14ac:dyDescent="0.25">
      <c r="B148" s="46"/>
      <c r="C148" s="14"/>
      <c r="D148" s="15"/>
      <c r="E148" s="15"/>
      <c r="F148" s="15"/>
      <c r="G148" s="64"/>
      <c r="H148" s="17" t="str">
        <f t="shared" si="14"/>
        <v/>
      </c>
      <c r="I148" s="18"/>
      <c r="J148" s="62"/>
      <c r="K148" s="399"/>
      <c r="L148" s="420" t="str">
        <f t="shared" si="15"/>
        <v/>
      </c>
      <c r="M148" s="401" t="str">
        <f t="shared" si="16"/>
        <v/>
      </c>
    </row>
    <row r="149" spans="2:13" x14ac:dyDescent="0.25">
      <c r="B149" s="46"/>
      <c r="C149" s="14"/>
      <c r="D149" s="15"/>
      <c r="E149" s="15"/>
      <c r="F149" s="15"/>
      <c r="G149" s="64"/>
      <c r="H149" s="17" t="str">
        <f t="shared" si="14"/>
        <v/>
      </c>
      <c r="I149" s="18"/>
      <c r="J149" s="62"/>
      <c r="K149" s="399"/>
      <c r="L149" s="420" t="str">
        <f t="shared" si="15"/>
        <v/>
      </c>
      <c r="M149" s="401" t="str">
        <f t="shared" si="16"/>
        <v/>
      </c>
    </row>
    <row r="150" spans="2:13" x14ac:dyDescent="0.25">
      <c r="B150" s="46"/>
      <c r="C150" s="14"/>
      <c r="D150" s="15"/>
      <c r="E150" s="15"/>
      <c r="F150" s="15"/>
      <c r="G150" s="64"/>
      <c r="H150" s="17" t="str">
        <f t="shared" si="14"/>
        <v/>
      </c>
      <c r="I150" s="18"/>
      <c r="J150" s="62"/>
      <c r="K150" s="399"/>
      <c r="L150" s="420" t="str">
        <f t="shared" si="15"/>
        <v/>
      </c>
      <c r="M150" s="401" t="str">
        <f t="shared" si="16"/>
        <v/>
      </c>
    </row>
    <row r="151" spans="2:13" x14ac:dyDescent="0.25">
      <c r="B151" s="46"/>
      <c r="C151" s="14"/>
      <c r="D151" s="15"/>
      <c r="E151" s="15"/>
      <c r="F151" s="15"/>
      <c r="G151" s="64"/>
      <c r="H151" s="17" t="str">
        <f t="shared" si="14"/>
        <v/>
      </c>
      <c r="I151" s="18"/>
      <c r="J151" s="62"/>
      <c r="K151" s="399"/>
      <c r="L151" s="420" t="str">
        <f t="shared" si="15"/>
        <v/>
      </c>
      <c r="M151" s="401" t="str">
        <f t="shared" si="16"/>
        <v/>
      </c>
    </row>
    <row r="152" spans="2:13" x14ac:dyDescent="0.25">
      <c r="B152" s="46"/>
      <c r="C152" s="14"/>
      <c r="D152" s="15"/>
      <c r="E152" s="15"/>
      <c r="F152" s="15"/>
      <c r="G152" s="64"/>
      <c r="H152" s="17" t="str">
        <f t="shared" si="14"/>
        <v/>
      </c>
      <c r="I152" s="18"/>
      <c r="J152" s="62"/>
      <c r="K152" s="399"/>
      <c r="L152" s="420" t="str">
        <f t="shared" si="15"/>
        <v/>
      </c>
      <c r="M152" s="401" t="str">
        <f t="shared" si="16"/>
        <v/>
      </c>
    </row>
    <row r="153" spans="2:13" x14ac:dyDescent="0.25">
      <c r="B153" s="46"/>
      <c r="C153" s="14"/>
      <c r="D153" s="15"/>
      <c r="E153" s="15"/>
      <c r="F153" s="15"/>
      <c r="G153" s="64"/>
      <c r="H153" s="17" t="str">
        <f t="shared" si="14"/>
        <v/>
      </c>
      <c r="I153" s="18"/>
      <c r="J153" s="62"/>
      <c r="K153" s="399"/>
      <c r="L153" s="420" t="str">
        <f t="shared" si="15"/>
        <v/>
      </c>
      <c r="M153" s="401" t="str">
        <f t="shared" si="16"/>
        <v/>
      </c>
    </row>
    <row r="154" spans="2:13" x14ac:dyDescent="0.25">
      <c r="B154" s="46"/>
      <c r="C154" s="14"/>
      <c r="D154" s="15"/>
      <c r="E154" s="15"/>
      <c r="F154" s="15"/>
      <c r="G154" s="64"/>
      <c r="H154" s="17" t="str">
        <f t="shared" si="14"/>
        <v/>
      </c>
      <c r="I154" s="18"/>
      <c r="J154" s="62"/>
      <c r="K154" s="399"/>
      <c r="L154" s="420" t="str">
        <f t="shared" si="15"/>
        <v/>
      </c>
      <c r="M154" s="401" t="str">
        <f t="shared" si="16"/>
        <v/>
      </c>
    </row>
    <row r="155" spans="2:13" x14ac:dyDescent="0.25">
      <c r="B155" s="46"/>
      <c r="C155" s="14"/>
      <c r="D155" s="15"/>
      <c r="E155" s="15"/>
      <c r="F155" s="15"/>
      <c r="G155" s="64"/>
      <c r="H155" s="17" t="str">
        <f t="shared" si="14"/>
        <v/>
      </c>
      <c r="I155" s="18"/>
      <c r="J155" s="62"/>
      <c r="K155" s="399"/>
      <c r="L155" s="420" t="str">
        <f t="shared" si="15"/>
        <v/>
      </c>
      <c r="M155" s="401" t="str">
        <f t="shared" si="16"/>
        <v/>
      </c>
    </row>
    <row r="156" spans="2:13" x14ac:dyDescent="0.25">
      <c r="B156" s="46"/>
      <c r="C156" s="14"/>
      <c r="D156" s="15"/>
      <c r="E156" s="15"/>
      <c r="F156" s="15"/>
      <c r="G156" s="64"/>
      <c r="H156" s="17" t="str">
        <f t="shared" si="14"/>
        <v/>
      </c>
      <c r="I156" s="18"/>
      <c r="J156" s="62"/>
      <c r="K156" s="399"/>
      <c r="L156" s="420" t="str">
        <f t="shared" si="15"/>
        <v/>
      </c>
      <c r="M156" s="401" t="str">
        <f t="shared" si="16"/>
        <v/>
      </c>
    </row>
    <row r="157" spans="2:13" x14ac:dyDescent="0.25">
      <c r="B157" s="594"/>
      <c r="C157" s="599"/>
      <c r="D157" s="587"/>
      <c r="E157" s="587"/>
      <c r="F157" s="103"/>
      <c r="G157" s="722"/>
      <c r="H157" s="112" t="str">
        <f t="shared" si="14"/>
        <v/>
      </c>
      <c r="I157" s="18"/>
      <c r="J157" s="62"/>
      <c r="K157" s="399"/>
      <c r="L157" s="420" t="str">
        <f t="shared" si="15"/>
        <v/>
      </c>
      <c r="M157" s="401" t="str">
        <f t="shared" si="16"/>
        <v/>
      </c>
    </row>
    <row r="158" spans="2:13" x14ac:dyDescent="0.25">
      <c r="B158" s="46"/>
      <c r="C158" s="14"/>
      <c r="D158" s="15"/>
      <c r="E158" s="15"/>
      <c r="F158" s="15"/>
      <c r="G158" s="64"/>
      <c r="H158" s="17" t="str">
        <f t="shared" si="14"/>
        <v/>
      </c>
      <c r="I158" s="18"/>
      <c r="J158" s="62"/>
      <c r="K158" s="399"/>
      <c r="L158" s="420" t="str">
        <f t="shared" si="15"/>
        <v/>
      </c>
      <c r="M158" s="401" t="str">
        <f t="shared" si="16"/>
        <v/>
      </c>
    </row>
    <row r="159" spans="2:13" x14ac:dyDescent="0.25">
      <c r="B159" s="594"/>
      <c r="C159" s="599"/>
      <c r="D159" s="587"/>
      <c r="E159" s="587"/>
      <c r="F159" s="103"/>
      <c r="G159" s="722"/>
      <c r="H159" s="112" t="str">
        <f t="shared" si="14"/>
        <v/>
      </c>
      <c r="I159" s="18"/>
      <c r="J159" s="62"/>
      <c r="K159" s="399"/>
      <c r="L159" s="420" t="str">
        <f t="shared" si="15"/>
        <v/>
      </c>
      <c r="M159" s="401" t="str">
        <f t="shared" si="16"/>
        <v/>
      </c>
    </row>
    <row r="160" spans="2:13" x14ac:dyDescent="0.25">
      <c r="B160" s="46"/>
      <c r="C160" s="14"/>
      <c r="D160" s="15"/>
      <c r="E160" s="15"/>
      <c r="F160" s="15"/>
      <c r="G160" s="64"/>
      <c r="H160" s="17" t="str">
        <f t="shared" si="14"/>
        <v/>
      </c>
      <c r="I160" s="18"/>
      <c r="J160" s="62"/>
      <c r="K160" s="399"/>
      <c r="L160" s="420" t="str">
        <f t="shared" si="15"/>
        <v/>
      </c>
      <c r="M160" s="401" t="str">
        <f t="shared" si="16"/>
        <v/>
      </c>
    </row>
    <row r="161" spans="2:13" x14ac:dyDescent="0.25">
      <c r="B161" s="46"/>
      <c r="C161" s="14"/>
      <c r="D161" s="15"/>
      <c r="E161" s="15"/>
      <c r="F161" s="15"/>
      <c r="G161" s="64"/>
      <c r="H161" s="17" t="str">
        <f t="shared" si="14"/>
        <v/>
      </c>
      <c r="I161" s="18"/>
      <c r="J161" s="62"/>
      <c r="K161" s="399"/>
      <c r="L161" s="420" t="str">
        <f t="shared" si="15"/>
        <v/>
      </c>
      <c r="M161" s="401" t="str">
        <f t="shared" si="16"/>
        <v/>
      </c>
    </row>
    <row r="162" spans="2:13" x14ac:dyDescent="0.25">
      <c r="B162" s="46"/>
      <c r="C162" s="14"/>
      <c r="D162" s="15"/>
      <c r="E162" s="15"/>
      <c r="F162" s="15"/>
      <c r="G162" s="64"/>
      <c r="H162" s="17" t="str">
        <f t="shared" si="14"/>
        <v/>
      </c>
      <c r="I162" s="18"/>
      <c r="J162" s="62"/>
      <c r="K162" s="399"/>
      <c r="L162" s="420" t="str">
        <f t="shared" si="15"/>
        <v/>
      </c>
      <c r="M162" s="401" t="str">
        <f t="shared" si="16"/>
        <v/>
      </c>
    </row>
    <row r="163" spans="2:13" x14ac:dyDescent="0.25">
      <c r="B163" s="46"/>
      <c r="C163" s="14"/>
      <c r="D163" s="15"/>
      <c r="E163" s="15"/>
      <c r="F163" s="15"/>
      <c r="G163" s="64"/>
      <c r="H163" s="17" t="str">
        <f t="shared" si="14"/>
        <v/>
      </c>
      <c r="I163" s="18"/>
      <c r="J163" s="62"/>
      <c r="K163" s="399"/>
      <c r="L163" s="420" t="str">
        <f t="shared" si="15"/>
        <v/>
      </c>
      <c r="M163" s="401" t="str">
        <f t="shared" si="16"/>
        <v/>
      </c>
    </row>
    <row r="164" spans="2:13" x14ac:dyDescent="0.25">
      <c r="B164" s="46"/>
      <c r="C164" s="14"/>
      <c r="D164" s="15"/>
      <c r="E164" s="15"/>
      <c r="F164" s="15"/>
      <c r="G164" s="64"/>
      <c r="H164" s="17" t="str">
        <f t="shared" si="14"/>
        <v/>
      </c>
      <c r="I164" s="18"/>
      <c r="J164" s="62"/>
      <c r="K164" s="399"/>
      <c r="L164" s="420" t="str">
        <f t="shared" si="15"/>
        <v/>
      </c>
      <c r="M164" s="401" t="str">
        <f t="shared" si="16"/>
        <v/>
      </c>
    </row>
    <row r="165" spans="2:13" x14ac:dyDescent="0.25">
      <c r="B165" s="46"/>
      <c r="C165" s="14"/>
      <c r="D165" s="15"/>
      <c r="E165" s="15"/>
      <c r="F165" s="15"/>
      <c r="G165" s="64"/>
      <c r="H165" s="17" t="str">
        <f t="shared" si="14"/>
        <v/>
      </c>
      <c r="I165" s="18"/>
      <c r="J165" s="62"/>
      <c r="K165" s="399"/>
      <c r="L165" s="420" t="str">
        <f t="shared" si="15"/>
        <v/>
      </c>
      <c r="M165" s="401" t="str">
        <f t="shared" si="16"/>
        <v/>
      </c>
    </row>
    <row r="166" spans="2:13" x14ac:dyDescent="0.25">
      <c r="B166" s="46"/>
      <c r="C166" s="14"/>
      <c r="D166" s="15"/>
      <c r="E166" s="15"/>
      <c r="F166" s="15"/>
      <c r="G166" s="64"/>
      <c r="H166" s="17" t="str">
        <f t="shared" si="14"/>
        <v/>
      </c>
      <c r="I166" s="18"/>
      <c r="J166" s="62"/>
      <c r="K166" s="399"/>
      <c r="L166" s="420" t="str">
        <f t="shared" si="15"/>
        <v/>
      </c>
      <c r="M166" s="401" t="str">
        <f t="shared" si="16"/>
        <v/>
      </c>
    </row>
    <row r="167" spans="2:13" x14ac:dyDescent="0.25">
      <c r="B167" s="46"/>
      <c r="C167" s="14"/>
      <c r="D167" s="15"/>
      <c r="E167" s="15"/>
      <c r="F167" s="15"/>
      <c r="G167" s="64"/>
      <c r="H167" s="17" t="str">
        <f t="shared" si="14"/>
        <v/>
      </c>
      <c r="I167" s="18"/>
      <c r="J167" s="62"/>
      <c r="K167" s="399"/>
      <c r="L167" s="420" t="str">
        <f t="shared" si="15"/>
        <v/>
      </c>
      <c r="M167" s="401" t="str">
        <f t="shared" si="16"/>
        <v/>
      </c>
    </row>
    <row r="168" spans="2:13" x14ac:dyDescent="0.25">
      <c r="B168" s="46"/>
      <c r="C168" s="14"/>
      <c r="D168" s="15"/>
      <c r="E168" s="15"/>
      <c r="F168" s="15"/>
      <c r="G168" s="64"/>
      <c r="H168" s="17" t="str">
        <f t="shared" si="14"/>
        <v/>
      </c>
      <c r="I168" s="18"/>
      <c r="J168" s="62"/>
      <c r="K168" s="399"/>
      <c r="L168" s="420" t="str">
        <f t="shared" si="15"/>
        <v/>
      </c>
      <c r="M168" s="401" t="str">
        <f t="shared" si="16"/>
        <v/>
      </c>
    </row>
    <row r="169" spans="2:13" x14ac:dyDescent="0.25">
      <c r="B169" s="46"/>
      <c r="C169" s="14"/>
      <c r="D169" s="15"/>
      <c r="E169" s="15"/>
      <c r="F169" s="15"/>
      <c r="G169" s="64"/>
      <c r="H169" s="17" t="str">
        <f t="shared" si="14"/>
        <v/>
      </c>
      <c r="I169" s="18"/>
      <c r="J169" s="62"/>
      <c r="K169" s="399"/>
      <c r="L169" s="420" t="str">
        <f t="shared" si="15"/>
        <v/>
      </c>
      <c r="M169" s="401" t="str">
        <f t="shared" si="16"/>
        <v/>
      </c>
    </row>
    <row r="170" spans="2:13" x14ac:dyDescent="0.25">
      <c r="B170" s="46"/>
      <c r="C170" s="14"/>
      <c r="D170" s="15"/>
      <c r="E170" s="15"/>
      <c r="F170" s="15"/>
      <c r="G170" s="64"/>
      <c r="H170" s="17" t="str">
        <f t="shared" si="14"/>
        <v/>
      </c>
      <c r="I170" s="18"/>
      <c r="J170" s="62"/>
      <c r="K170" s="399"/>
      <c r="L170" s="420" t="str">
        <f t="shared" si="15"/>
        <v/>
      </c>
      <c r="M170" s="401" t="str">
        <f t="shared" si="16"/>
        <v/>
      </c>
    </row>
    <row r="171" spans="2:13" x14ac:dyDescent="0.25">
      <c r="B171" s="46"/>
      <c r="C171" s="14"/>
      <c r="D171" s="15"/>
      <c r="E171" s="15"/>
      <c r="F171" s="15"/>
      <c r="G171" s="64"/>
      <c r="H171" s="17" t="str">
        <f t="shared" si="14"/>
        <v/>
      </c>
      <c r="I171" s="18"/>
      <c r="J171" s="62"/>
      <c r="K171" s="399"/>
      <c r="L171" s="420" t="str">
        <f t="shared" si="15"/>
        <v/>
      </c>
      <c r="M171" s="401" t="str">
        <f t="shared" si="16"/>
        <v/>
      </c>
    </row>
    <row r="172" spans="2:13" x14ac:dyDescent="0.25">
      <c r="B172" s="46"/>
      <c r="C172" s="14"/>
      <c r="D172" s="15"/>
      <c r="E172" s="15"/>
      <c r="F172" s="15"/>
      <c r="G172" s="64"/>
      <c r="H172" s="17" t="str">
        <f t="shared" si="14"/>
        <v/>
      </c>
      <c r="I172" s="18"/>
      <c r="J172" s="62"/>
      <c r="K172" s="399"/>
      <c r="L172" s="420" t="str">
        <f t="shared" si="15"/>
        <v/>
      </c>
      <c r="M172" s="401" t="str">
        <f t="shared" si="16"/>
        <v/>
      </c>
    </row>
    <row r="173" spans="2:13" x14ac:dyDescent="0.25">
      <c r="B173" s="46"/>
      <c r="C173" s="14"/>
      <c r="D173" s="15"/>
      <c r="E173" s="15"/>
      <c r="F173" s="15"/>
      <c r="G173" s="64"/>
      <c r="H173" s="17" t="str">
        <f t="shared" si="14"/>
        <v/>
      </c>
      <c r="I173" s="18"/>
      <c r="J173" s="62"/>
      <c r="K173" s="399"/>
      <c r="L173" s="420" t="str">
        <f t="shared" si="15"/>
        <v/>
      </c>
      <c r="M173" s="401" t="str">
        <f t="shared" si="16"/>
        <v/>
      </c>
    </row>
    <row r="174" spans="2:13" x14ac:dyDescent="0.25">
      <c r="B174" s="46"/>
      <c r="C174" s="14"/>
      <c r="D174" s="15"/>
      <c r="E174" s="15"/>
      <c r="F174" s="15"/>
      <c r="G174" s="64"/>
      <c r="H174" s="17" t="str">
        <f t="shared" si="14"/>
        <v/>
      </c>
      <c r="I174" s="18"/>
      <c r="J174" s="62"/>
      <c r="K174" s="399"/>
      <c r="L174" s="420" t="str">
        <f t="shared" si="15"/>
        <v/>
      </c>
      <c r="M174" s="401" t="str">
        <f t="shared" si="16"/>
        <v/>
      </c>
    </row>
    <row r="175" spans="2:13" x14ac:dyDescent="0.25">
      <c r="B175" s="46"/>
      <c r="C175" s="14"/>
      <c r="D175" s="15"/>
      <c r="E175" s="15"/>
      <c r="F175" s="15"/>
      <c r="G175" s="64"/>
      <c r="H175" s="17" t="str">
        <f t="shared" si="14"/>
        <v/>
      </c>
      <c r="I175" s="18"/>
      <c r="J175" s="62"/>
      <c r="K175" s="399"/>
      <c r="L175" s="420" t="str">
        <f t="shared" si="15"/>
        <v/>
      </c>
      <c r="M175" s="401" t="str">
        <f t="shared" si="16"/>
        <v/>
      </c>
    </row>
    <row r="176" spans="2:13" x14ac:dyDescent="0.25">
      <c r="B176" s="46"/>
      <c r="C176" s="14"/>
      <c r="D176" s="15"/>
      <c r="E176" s="15"/>
      <c r="F176" s="15"/>
      <c r="G176" s="64"/>
      <c r="H176" s="17" t="str">
        <f t="shared" si="14"/>
        <v/>
      </c>
      <c r="I176" s="18"/>
      <c r="J176" s="62"/>
      <c r="K176" s="399"/>
      <c r="L176" s="420" t="str">
        <f t="shared" si="15"/>
        <v/>
      </c>
      <c r="M176" s="401" t="str">
        <f t="shared" si="16"/>
        <v/>
      </c>
    </row>
    <row r="177" spans="2:13" x14ac:dyDescent="0.25">
      <c r="B177" s="46"/>
      <c r="C177" s="14"/>
      <c r="D177" s="15"/>
      <c r="E177" s="15"/>
      <c r="F177" s="15"/>
      <c r="G177" s="64"/>
      <c r="H177" s="17" t="str">
        <f t="shared" si="14"/>
        <v/>
      </c>
      <c r="I177" s="18"/>
      <c r="J177" s="62"/>
      <c r="K177" s="399"/>
      <c r="L177" s="420" t="str">
        <f t="shared" si="15"/>
        <v/>
      </c>
      <c r="M177" s="401" t="str">
        <f t="shared" si="16"/>
        <v/>
      </c>
    </row>
    <row r="178" spans="2:13" x14ac:dyDescent="0.25">
      <c r="B178" s="46"/>
      <c r="C178" s="14"/>
      <c r="D178" s="15"/>
      <c r="E178" s="15"/>
      <c r="F178" s="15"/>
      <c r="G178" s="64"/>
      <c r="H178" s="17" t="str">
        <f t="shared" si="14"/>
        <v/>
      </c>
      <c r="I178" s="18"/>
      <c r="J178" s="62"/>
      <c r="K178" s="399"/>
      <c r="L178" s="420" t="str">
        <f t="shared" si="15"/>
        <v/>
      </c>
      <c r="M178" s="401" t="str">
        <f t="shared" si="16"/>
        <v/>
      </c>
    </row>
    <row r="179" spans="2:13" x14ac:dyDescent="0.25">
      <c r="B179" s="46"/>
      <c r="C179" s="14"/>
      <c r="D179" s="15"/>
      <c r="E179" s="15"/>
      <c r="F179" s="15"/>
      <c r="G179" s="64"/>
      <c r="H179" s="17" t="str">
        <f t="shared" si="14"/>
        <v/>
      </c>
      <c r="I179" s="18"/>
      <c r="J179" s="62"/>
      <c r="K179" s="399"/>
      <c r="L179" s="420" t="str">
        <f t="shared" si="15"/>
        <v/>
      </c>
      <c r="M179" s="401" t="str">
        <f t="shared" si="16"/>
        <v/>
      </c>
    </row>
    <row r="180" spans="2:13" x14ac:dyDescent="0.25">
      <c r="B180" s="46"/>
      <c r="C180" s="14"/>
      <c r="D180" s="15"/>
      <c r="E180" s="15"/>
      <c r="F180" s="15"/>
      <c r="G180" s="64"/>
      <c r="H180" s="17" t="str">
        <f t="shared" si="14"/>
        <v/>
      </c>
      <c r="I180" s="18"/>
      <c r="J180" s="62"/>
      <c r="K180" s="399"/>
      <c r="L180" s="420" t="str">
        <f t="shared" si="15"/>
        <v/>
      </c>
      <c r="M180" s="401" t="str">
        <f t="shared" si="16"/>
        <v/>
      </c>
    </row>
    <row r="181" spans="2:13" x14ac:dyDescent="0.25">
      <c r="B181" s="46"/>
      <c r="C181" s="14"/>
      <c r="D181" s="15"/>
      <c r="E181" s="15"/>
      <c r="F181" s="15"/>
      <c r="G181" s="64"/>
      <c r="H181" s="17" t="str">
        <f t="shared" si="14"/>
        <v/>
      </c>
      <c r="I181" s="18"/>
      <c r="J181" s="62"/>
      <c r="K181" s="399"/>
      <c r="L181" s="420" t="str">
        <f t="shared" si="15"/>
        <v/>
      </c>
      <c r="M181" s="401" t="str">
        <f t="shared" si="16"/>
        <v/>
      </c>
    </row>
    <row r="182" spans="2:13" x14ac:dyDescent="0.25">
      <c r="B182" s="46"/>
      <c r="C182" s="14"/>
      <c r="D182" s="15"/>
      <c r="E182" s="15"/>
      <c r="F182" s="15"/>
      <c r="G182" s="64"/>
      <c r="H182" s="17" t="str">
        <f t="shared" si="14"/>
        <v/>
      </c>
      <c r="I182" s="18"/>
      <c r="J182" s="62"/>
      <c r="K182" s="399"/>
      <c r="L182" s="420" t="str">
        <f t="shared" si="15"/>
        <v/>
      </c>
      <c r="M182" s="401" t="str">
        <f t="shared" si="16"/>
        <v/>
      </c>
    </row>
    <row r="183" spans="2:13" x14ac:dyDescent="0.25">
      <c r="B183" s="46"/>
      <c r="C183" s="14"/>
      <c r="D183" s="15"/>
      <c r="E183" s="15"/>
      <c r="F183" s="15"/>
      <c r="G183" s="64"/>
      <c r="H183" s="17" t="str">
        <f t="shared" si="14"/>
        <v/>
      </c>
      <c r="I183" s="18"/>
      <c r="J183" s="62"/>
      <c r="K183" s="399"/>
      <c r="L183" s="420" t="str">
        <f t="shared" si="15"/>
        <v/>
      </c>
      <c r="M183" s="401" t="str">
        <f t="shared" si="16"/>
        <v/>
      </c>
    </row>
    <row r="184" spans="2:13" x14ac:dyDescent="0.25">
      <c r="B184" s="46"/>
      <c r="C184" s="14"/>
      <c r="D184" s="15"/>
      <c r="E184" s="15"/>
      <c r="F184" s="15"/>
      <c r="G184" s="64"/>
      <c r="H184" s="17" t="str">
        <f t="shared" si="14"/>
        <v/>
      </c>
      <c r="I184" s="18"/>
      <c r="J184" s="62"/>
      <c r="K184" s="399"/>
      <c r="L184" s="420" t="str">
        <f t="shared" si="15"/>
        <v/>
      </c>
      <c r="M184" s="401" t="str">
        <f t="shared" si="16"/>
        <v/>
      </c>
    </row>
    <row r="185" spans="2:13" x14ac:dyDescent="0.25">
      <c r="B185" s="46"/>
      <c r="C185" s="14"/>
      <c r="D185" s="15"/>
      <c r="E185" s="15"/>
      <c r="F185" s="15"/>
      <c r="G185" s="64"/>
      <c r="H185" s="17" t="str">
        <f t="shared" si="14"/>
        <v/>
      </c>
      <c r="I185" s="18"/>
      <c r="J185" s="62"/>
      <c r="K185" s="399"/>
      <c r="L185" s="420" t="str">
        <f t="shared" si="15"/>
        <v/>
      </c>
      <c r="M185" s="401" t="str">
        <f t="shared" si="16"/>
        <v/>
      </c>
    </row>
    <row r="186" spans="2:13" x14ac:dyDescent="0.25">
      <c r="B186" s="46"/>
      <c r="C186" s="14"/>
      <c r="D186" s="15"/>
      <c r="E186" s="15"/>
      <c r="F186" s="15"/>
      <c r="G186" s="64"/>
      <c r="H186" s="17" t="str">
        <f t="shared" si="14"/>
        <v/>
      </c>
      <c r="I186" s="18"/>
      <c r="J186" s="62"/>
      <c r="K186" s="399"/>
      <c r="L186" s="420" t="str">
        <f t="shared" si="15"/>
        <v/>
      </c>
      <c r="M186" s="401" t="str">
        <f t="shared" si="16"/>
        <v/>
      </c>
    </row>
    <row r="187" spans="2:13" x14ac:dyDescent="0.25">
      <c r="B187" s="46"/>
      <c r="C187" s="14"/>
      <c r="D187" s="15"/>
      <c r="E187" s="15"/>
      <c r="F187" s="15"/>
      <c r="G187" s="64"/>
      <c r="H187" s="17" t="str">
        <f t="shared" si="14"/>
        <v/>
      </c>
      <c r="I187" s="18"/>
      <c r="J187" s="62"/>
      <c r="K187" s="399"/>
      <c r="L187" s="420" t="str">
        <f t="shared" si="15"/>
        <v/>
      </c>
      <c r="M187" s="401" t="str">
        <f t="shared" si="16"/>
        <v/>
      </c>
    </row>
    <row r="188" spans="2:13" x14ac:dyDescent="0.25">
      <c r="B188" s="46"/>
      <c r="C188" s="14"/>
      <c r="D188" s="15"/>
      <c r="E188" s="15"/>
      <c r="F188" s="15"/>
      <c r="G188" s="64"/>
      <c r="H188" s="17" t="str">
        <f t="shared" si="14"/>
        <v/>
      </c>
      <c r="I188" s="18"/>
      <c r="J188" s="62"/>
      <c r="K188" s="399"/>
      <c r="L188" s="420" t="str">
        <f t="shared" si="15"/>
        <v/>
      </c>
      <c r="M188" s="401" t="str">
        <f t="shared" si="16"/>
        <v/>
      </c>
    </row>
    <row r="189" spans="2:13" x14ac:dyDescent="0.25">
      <c r="B189" s="46"/>
      <c r="C189" s="14"/>
      <c r="D189" s="15"/>
      <c r="E189" s="15"/>
      <c r="F189" s="15"/>
      <c r="G189" s="64"/>
      <c r="H189" s="17" t="str">
        <f t="shared" si="14"/>
        <v/>
      </c>
      <c r="I189" s="18"/>
      <c r="J189" s="62"/>
      <c r="K189" s="399"/>
      <c r="L189" s="420" t="str">
        <f t="shared" si="15"/>
        <v/>
      </c>
      <c r="M189" s="401" t="str">
        <f t="shared" si="16"/>
        <v/>
      </c>
    </row>
    <row r="190" spans="2:13" x14ac:dyDescent="0.25">
      <c r="B190" s="46"/>
      <c r="C190" s="14"/>
      <c r="D190" s="15"/>
      <c r="E190" s="15"/>
      <c r="F190" s="15"/>
      <c r="G190" s="64"/>
      <c r="H190" s="17" t="str">
        <f t="shared" si="14"/>
        <v/>
      </c>
      <c r="I190" s="18"/>
      <c r="J190" s="711"/>
      <c r="K190" s="399"/>
      <c r="L190" s="420" t="str">
        <f t="shared" si="15"/>
        <v/>
      </c>
      <c r="M190" s="401" t="str">
        <f t="shared" si="16"/>
        <v/>
      </c>
    </row>
    <row r="191" spans="2:13" s="28" customFormat="1" ht="24.75" customHeight="1" x14ac:dyDescent="0.25">
      <c r="B191" s="144" t="str">
        <f>$B$12</f>
        <v>C13.4</v>
      </c>
      <c r="C191" s="30" t="s">
        <v>791</v>
      </c>
      <c r="D191" s="31"/>
      <c r="E191" s="31"/>
      <c r="F191" s="32"/>
      <c r="G191" s="31"/>
      <c r="H191" s="33">
        <f>SUM(H139:H190)</f>
        <v>0</v>
      </c>
      <c r="I191" s="34"/>
      <c r="J191" s="600"/>
      <c r="K191" s="601"/>
      <c r="L191" s="418">
        <f>SUM(L139:L190)</f>
        <v>0</v>
      </c>
      <c r="M191" s="410" t="str">
        <f t="shared" si="16"/>
        <v/>
      </c>
    </row>
  </sheetData>
  <mergeCells count="21">
    <mergeCell ref="F3:H3"/>
    <mergeCell ref="B6:G6"/>
    <mergeCell ref="H6:H9"/>
    <mergeCell ref="B72:D72"/>
    <mergeCell ref="F72:H74"/>
    <mergeCell ref="B73:D73"/>
    <mergeCell ref="B74:D74"/>
    <mergeCell ref="B7:G7"/>
    <mergeCell ref="B8:G8"/>
    <mergeCell ref="B134:G134"/>
    <mergeCell ref="H134:H137"/>
    <mergeCell ref="B75:G75"/>
    <mergeCell ref="H75:H78"/>
    <mergeCell ref="B131:D131"/>
    <mergeCell ref="F131:H133"/>
    <mergeCell ref="B132:D132"/>
    <mergeCell ref="B133:D133"/>
    <mergeCell ref="B76:G76"/>
    <mergeCell ref="B77:G77"/>
    <mergeCell ref="B135:G135"/>
    <mergeCell ref="B136:G136"/>
  </mergeCells>
  <conditionalFormatting sqref="G11:H71">
    <cfRule type="expression" dxfId="57" priority="1">
      <formula>AND(_Show_Price=FALSE,$D11&lt;&gt;"PC Sum",$D11&lt;&gt;"P C Sum",$D11&lt;&gt;"Prov Sum",$D11&lt;&gt;"P Sum")</formula>
    </cfRule>
  </conditionalFormatting>
  <conditionalFormatting sqref="G80:H130 G139:H191">
    <cfRule type="expression" dxfId="56" priority="4">
      <formula>_Show_Price=FALSE</formula>
    </cfRule>
  </conditionalFormatting>
  <dataValidations count="1">
    <dataValidation type="custom" allowBlank="1" showInputMessage="1" showErrorMessage="1" errorTitle="Invalid rate" error="A value with an invalid decimal part_x000a_was entered." sqref="G18:G25 G31:G34 G29" xr:uid="{00000000-0002-0000-3F00-000000000000}">
      <formula1>(G18)-TRUNC(G18,2)=0</formula1>
    </dataValidation>
  </dataValidations>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KC804"/>
  <sheetViews>
    <sheetView view="pageBreakPreview" zoomScale="80" zoomScaleNormal="100" zoomScaleSheetLayoutView="80" workbookViewId="0">
      <pane ySplit="3" topLeftCell="A783" activePane="bottomLeft" state="frozen"/>
      <selection activeCell="E50" sqref="E50"/>
      <selection pane="bottomLeft" activeCell="F808" sqref="F808"/>
    </sheetView>
  </sheetViews>
  <sheetFormatPr defaultColWidth="9.1796875" defaultRowHeight="12.5" x14ac:dyDescent="0.25"/>
  <cols>
    <col min="1" max="1" width="1" style="867" customWidth="1"/>
    <col min="2" max="2" width="15.81640625" style="867" bestFit="1" customWidth="1"/>
    <col min="3" max="3" width="7.7265625" style="869" customWidth="1"/>
    <col min="4" max="4" width="40.453125" style="867" customWidth="1"/>
    <col min="5" max="5" width="9.26953125" style="871" customWidth="1"/>
    <col min="6" max="6" width="12.1796875" style="875" customWidth="1"/>
    <col min="7" max="7" width="11.81640625" style="875" bestFit="1" customWidth="1"/>
    <col min="8" max="8" width="13.1796875" style="875" bestFit="1" customWidth="1"/>
    <col min="9" max="9" width="14.7265625" style="875" customWidth="1"/>
    <col min="10" max="10" width="13" style="875" bestFit="1" customWidth="1"/>
    <col min="11" max="11" width="8.81640625" style="875" bestFit="1" customWidth="1"/>
    <col min="12" max="12" width="14" style="875" customWidth="1"/>
    <col min="13" max="13" width="7.81640625" style="867" customWidth="1"/>
    <col min="14" max="14" width="12.453125" style="762" bestFit="1" customWidth="1"/>
    <col min="15" max="15" width="13.81640625" style="867" bestFit="1" customWidth="1"/>
    <col min="16" max="16" width="15.453125" style="867" customWidth="1"/>
    <col min="17" max="16384" width="9.1796875" style="867"/>
  </cols>
  <sheetData>
    <row r="1" spans="2:18" ht="13" x14ac:dyDescent="0.25">
      <c r="B1" s="868" t="s">
        <v>1966</v>
      </c>
      <c r="D1" s="870" t="s">
        <v>1967</v>
      </c>
      <c r="F1" s="872"/>
      <c r="G1" s="873" t="s">
        <v>1968</v>
      </c>
      <c r="H1" s="874">
        <f>_LabourRate</f>
        <v>44.79</v>
      </c>
      <c r="I1" s="873" t="s">
        <v>1969</v>
      </c>
      <c r="J1" s="874">
        <v>8</v>
      </c>
      <c r="K1" s="867"/>
      <c r="L1" s="873" t="s">
        <v>1970</v>
      </c>
      <c r="M1" s="867">
        <f>H1*J1</f>
        <v>358.32</v>
      </c>
    </row>
    <row r="2" spans="2:18" x14ac:dyDescent="0.25">
      <c r="G2" s="876" t="s">
        <v>1971</v>
      </c>
      <c r="H2" s="877">
        <f>12-4</f>
        <v>8</v>
      </c>
      <c r="J2" s="875">
        <f>SUM(J3:J797)</f>
        <v>4509292.2397142863</v>
      </c>
      <c r="L2" s="875">
        <f>$L$797</f>
        <v>12584.539628584178</v>
      </c>
      <c r="M2" s="878">
        <f ca="1">$L$803</f>
        <v>0.13668371863269616</v>
      </c>
    </row>
    <row r="3" spans="2:18" s="879" customFormat="1" ht="26" x14ac:dyDescent="0.25">
      <c r="B3" s="907" t="s">
        <v>1972</v>
      </c>
      <c r="C3" s="907" t="s">
        <v>1973</v>
      </c>
      <c r="D3" s="907" t="s">
        <v>1974</v>
      </c>
      <c r="E3" s="908" t="s">
        <v>907</v>
      </c>
      <c r="F3" s="909" t="s">
        <v>1975</v>
      </c>
      <c r="G3" s="909" t="s">
        <v>908</v>
      </c>
      <c r="H3" s="909" t="s">
        <v>1976</v>
      </c>
      <c r="I3" s="909" t="s">
        <v>1977</v>
      </c>
      <c r="J3" s="909" t="s">
        <v>1978</v>
      </c>
      <c r="K3" s="909" t="s">
        <v>1979</v>
      </c>
      <c r="L3" s="909" t="s">
        <v>1980</v>
      </c>
      <c r="M3" s="916" t="s">
        <v>1981</v>
      </c>
      <c r="P3" s="914"/>
      <c r="Q3" s="880"/>
      <c r="R3" s="880"/>
    </row>
    <row r="4" spans="2:18" ht="18.75" customHeight="1" x14ac:dyDescent="0.25">
      <c r="B4" s="910" t="s">
        <v>864</v>
      </c>
      <c r="C4" s="907"/>
      <c r="D4" s="910" t="s">
        <v>2057</v>
      </c>
      <c r="E4" s="908"/>
      <c r="F4" s="917"/>
      <c r="G4" s="917"/>
      <c r="H4" s="917"/>
      <c r="I4" s="917"/>
      <c r="J4" s="917"/>
      <c r="K4" s="917"/>
      <c r="L4" s="917"/>
      <c r="M4" s="918"/>
      <c r="P4" s="914"/>
      <c r="Q4" s="880"/>
      <c r="R4" s="880"/>
    </row>
    <row r="5" spans="2:18" ht="15.75" customHeight="1" x14ac:dyDescent="0.25">
      <c r="B5" s="882" t="s">
        <v>14</v>
      </c>
      <c r="C5" s="911"/>
      <c r="D5" s="881" t="s">
        <v>1982</v>
      </c>
      <c r="E5" s="883"/>
      <c r="F5" s="884"/>
      <c r="G5" s="884"/>
      <c r="H5" s="884"/>
      <c r="I5" s="884"/>
      <c r="J5" s="884"/>
      <c r="K5" s="884"/>
      <c r="L5" s="885"/>
      <c r="M5" s="915"/>
      <c r="P5" s="914"/>
      <c r="Q5" s="880"/>
      <c r="R5" s="880"/>
    </row>
    <row r="6" spans="2:18" ht="13" x14ac:dyDescent="0.25">
      <c r="B6" s="882" t="s">
        <v>1861</v>
      </c>
      <c r="C6" s="911"/>
      <c r="D6" s="881" t="s">
        <v>1983</v>
      </c>
      <c r="E6" s="883"/>
      <c r="F6" s="884"/>
      <c r="G6" s="884"/>
      <c r="H6" s="884"/>
      <c r="I6" s="884"/>
      <c r="J6" s="884"/>
      <c r="K6" s="884"/>
      <c r="L6" s="885"/>
      <c r="M6" s="915"/>
      <c r="O6" s="886"/>
    </row>
    <row r="7" spans="2:18" x14ac:dyDescent="0.25">
      <c r="B7" s="887" t="s">
        <v>1776</v>
      </c>
      <c r="C7" s="892">
        <v>1</v>
      </c>
      <c r="D7" s="888" t="s">
        <v>1984</v>
      </c>
      <c r="E7" s="883" t="s">
        <v>556</v>
      </c>
      <c r="F7" s="884">
        <v>270000</v>
      </c>
      <c r="G7" s="884">
        <v>1</v>
      </c>
      <c r="H7" s="884">
        <f>F7*G7</f>
        <v>270000</v>
      </c>
      <c r="I7" s="884">
        <v>0.97</v>
      </c>
      <c r="J7" s="884">
        <f>I7*F7</f>
        <v>261900</v>
      </c>
      <c r="K7" s="884">
        <f>$M$1</f>
        <v>358.32</v>
      </c>
      <c r="L7" s="885">
        <f>J7/K7</f>
        <v>730.91091761553923</v>
      </c>
      <c r="M7" s="915">
        <f t="shared" ref="M7:M22" si="0">IF(SUM(L7)&gt;0,J7/H7,"")</f>
        <v>0.97</v>
      </c>
    </row>
    <row r="8" spans="2:18" ht="13" x14ac:dyDescent="0.25">
      <c r="B8" s="882" t="s">
        <v>35</v>
      </c>
      <c r="C8" s="911" t="str">
        <f ca="1">IF(E8="","",MAX(INDIRECT(ADDRESS(ROW()-7,COLUMN())):INDIRECT(ADDRESS(ROW()-1,COLUMN())))+1)</f>
        <v/>
      </c>
      <c r="D8" s="881" t="s">
        <v>36</v>
      </c>
      <c r="E8" s="883"/>
      <c r="F8" s="884"/>
      <c r="G8" s="884"/>
      <c r="H8" s="884"/>
      <c r="I8" s="884"/>
      <c r="J8" s="884"/>
      <c r="K8" s="884"/>
      <c r="L8" s="885"/>
      <c r="M8" s="915" t="str">
        <f t="shared" si="0"/>
        <v/>
      </c>
    </row>
    <row r="9" spans="2:18" x14ac:dyDescent="0.25">
      <c r="B9" s="887" t="s">
        <v>1985</v>
      </c>
      <c r="C9" s="892">
        <f ca="1">IF(E9="","",MAX(INDIRECT(ADDRESS(ROW()-7,COLUMN())):INDIRECT(ADDRESS(ROW()-1,COLUMN())))+1)</f>
        <v>2</v>
      </c>
      <c r="D9" s="888" t="s">
        <v>40</v>
      </c>
      <c r="E9" s="883" t="s">
        <v>783</v>
      </c>
      <c r="F9" s="884">
        <v>180</v>
      </c>
      <c r="G9" s="884">
        <v>60</v>
      </c>
      <c r="H9" s="884">
        <f t="shared" ref="H9:H110" si="1">F9*G9</f>
        <v>10800</v>
      </c>
      <c r="I9" s="884">
        <f>_LabourRate</f>
        <v>44.79</v>
      </c>
      <c r="J9" s="884">
        <f>I9*F9</f>
        <v>8062.2</v>
      </c>
      <c r="K9" s="884">
        <f>$M$1</f>
        <v>358.32</v>
      </c>
      <c r="L9" s="885">
        <f>J9/K9</f>
        <v>22.5</v>
      </c>
      <c r="M9" s="915">
        <f t="shared" si="0"/>
        <v>0.74649999999999994</v>
      </c>
    </row>
    <row r="10" spans="2:18" x14ac:dyDescent="0.25">
      <c r="B10" s="887" t="s">
        <v>1986</v>
      </c>
      <c r="C10" s="892">
        <f ca="1">IF(E10="","",MAX(INDIRECT(ADDRESS(ROW()-7,COLUMN())):INDIRECT(ADDRESS(ROW()-1,COLUMN())))+1)</f>
        <v>3</v>
      </c>
      <c r="D10" s="888" t="s">
        <v>46</v>
      </c>
      <c r="E10" s="883" t="s">
        <v>783</v>
      </c>
      <c r="F10" s="884">
        <v>25</v>
      </c>
      <c r="G10" s="884">
        <v>90</v>
      </c>
      <c r="H10" s="884">
        <f t="shared" si="1"/>
        <v>2250</v>
      </c>
      <c r="I10" s="884">
        <f>I9*0.5</f>
        <v>22.395</v>
      </c>
      <c r="J10" s="884">
        <f>I10*F10</f>
        <v>559.875</v>
      </c>
      <c r="K10" s="884">
        <f>$M$1</f>
        <v>358.32</v>
      </c>
      <c r="L10" s="885">
        <f>J10/K10</f>
        <v>1.5625</v>
      </c>
      <c r="M10" s="915">
        <f t="shared" si="0"/>
        <v>0.24883333333333332</v>
      </c>
    </row>
    <row r="11" spans="2:18" ht="25" x14ac:dyDescent="0.25">
      <c r="B11" s="887" t="s">
        <v>2266</v>
      </c>
      <c r="C11" s="892" t="str">
        <f ca="1">IF(E11="","",MAX(INDIRECT(ADDRESS(ROW()-7,COLUMN())):INDIRECT(ADDRESS(ROW()-1,COLUMN())))+1)</f>
        <v/>
      </c>
      <c r="D11" s="888" t="s">
        <v>2267</v>
      </c>
      <c r="E11" s="883"/>
      <c r="F11" s="884"/>
      <c r="G11" s="884"/>
      <c r="H11" s="884"/>
      <c r="I11" s="884"/>
      <c r="J11" s="884"/>
      <c r="K11" s="884"/>
      <c r="L11" s="885"/>
      <c r="M11" s="915" t="str">
        <f t="shared" si="0"/>
        <v/>
      </c>
    </row>
    <row r="12" spans="2:18" x14ac:dyDescent="0.25">
      <c r="B12" s="887" t="s">
        <v>2270</v>
      </c>
      <c r="C12" s="892">
        <f ca="1">IF(E12="","",MAX(INDIRECT(ADDRESS(ROW()-7,COLUMN())):INDIRECT(ADDRESS(ROW()-1,COLUMN())))+1)</f>
        <v>4</v>
      </c>
      <c r="D12" s="888" t="s">
        <v>2268</v>
      </c>
      <c r="E12" s="883" t="s">
        <v>557</v>
      </c>
      <c r="F12" s="884">
        <v>100000</v>
      </c>
      <c r="G12" s="884">
        <v>1</v>
      </c>
      <c r="H12" s="884">
        <f t="shared" si="1"/>
        <v>100000</v>
      </c>
      <c r="I12" s="884">
        <f>ROUND(G12*8%,2)</f>
        <v>0.08</v>
      </c>
      <c r="J12" s="884">
        <f>I12*F12</f>
        <v>8000</v>
      </c>
      <c r="K12" s="884">
        <f>$M$1</f>
        <v>358.32</v>
      </c>
      <c r="L12" s="885">
        <f>J12/K12</f>
        <v>22.326412145568206</v>
      </c>
      <c r="M12" s="915">
        <f t="shared" ref="M12" si="2">IF(SUM(L12)&gt;0,J12/H12,"")</f>
        <v>0.08</v>
      </c>
    </row>
    <row r="13" spans="2:18" x14ac:dyDescent="0.25">
      <c r="B13" s="887" t="s">
        <v>2271</v>
      </c>
      <c r="C13" s="892">
        <f ca="1">IF(E13="","",MAX(INDIRECT(ADDRESS(ROW()-7,COLUMN())):INDIRECT(ADDRESS(ROW()-1,COLUMN())))+1)</f>
        <v>5</v>
      </c>
      <c r="D13" s="888" t="s">
        <v>2277</v>
      </c>
      <c r="E13" s="883" t="s">
        <v>557</v>
      </c>
      <c r="F13" s="884">
        <v>100000</v>
      </c>
      <c r="G13" s="884">
        <v>1</v>
      </c>
      <c r="H13" s="884">
        <f t="shared" ref="H13:H18" si="3">F13*G13</f>
        <v>100000</v>
      </c>
      <c r="I13" s="884">
        <f t="shared" ref="I13:I18" si="4">ROUND(G13*8%,2)</f>
        <v>0.08</v>
      </c>
      <c r="J13" s="884">
        <f t="shared" ref="J13:J18" si="5">I13*F13</f>
        <v>8000</v>
      </c>
      <c r="K13" s="884">
        <f t="shared" ref="K13:K18" si="6">$M$1</f>
        <v>358.32</v>
      </c>
      <c r="L13" s="885">
        <f t="shared" ref="L13:L18" si="7">J13/K13</f>
        <v>22.326412145568206</v>
      </c>
      <c r="M13" s="915">
        <f t="shared" ref="M13:M18" si="8">IF(SUM(L13)&gt;0,J13/H13,"")</f>
        <v>0.08</v>
      </c>
    </row>
    <row r="14" spans="2:18" x14ac:dyDescent="0.25">
      <c r="B14" s="887" t="s">
        <v>2272</v>
      </c>
      <c r="C14" s="892">
        <f ca="1">IF(E14="","",MAX(INDIRECT(ADDRESS(ROW()-7,COLUMN())):INDIRECT(ADDRESS(ROW()-1,COLUMN())))+1)</f>
        <v>6</v>
      </c>
      <c r="D14" s="888" t="s">
        <v>2278</v>
      </c>
      <c r="E14" s="883" t="s">
        <v>557</v>
      </c>
      <c r="F14" s="884">
        <v>30000</v>
      </c>
      <c r="G14" s="884">
        <v>1</v>
      </c>
      <c r="H14" s="884">
        <f t="shared" si="3"/>
        <v>30000</v>
      </c>
      <c r="I14" s="884">
        <f t="shared" si="4"/>
        <v>0.08</v>
      </c>
      <c r="J14" s="884">
        <f t="shared" si="5"/>
        <v>2400</v>
      </c>
      <c r="K14" s="884">
        <f t="shared" si="6"/>
        <v>358.32</v>
      </c>
      <c r="L14" s="885">
        <f t="shared" si="7"/>
        <v>6.6979236436704621</v>
      </c>
      <c r="M14" s="915">
        <f t="shared" si="8"/>
        <v>0.08</v>
      </c>
    </row>
    <row r="15" spans="2:18" x14ac:dyDescent="0.25">
      <c r="B15" s="887" t="s">
        <v>2273</v>
      </c>
      <c r="C15" s="892">
        <f ca="1">IF(E15="","",MAX(INDIRECT(ADDRESS(ROW()-7,COLUMN())):INDIRECT(ADDRESS(ROW()-1,COLUMN())))+1)</f>
        <v>7</v>
      </c>
      <c r="D15" s="888" t="s">
        <v>2279</v>
      </c>
      <c r="E15" s="883" t="s">
        <v>557</v>
      </c>
      <c r="F15" s="884">
        <v>30000</v>
      </c>
      <c r="G15" s="884">
        <v>1</v>
      </c>
      <c r="H15" s="884">
        <f t="shared" si="3"/>
        <v>30000</v>
      </c>
      <c r="I15" s="884">
        <f t="shared" si="4"/>
        <v>0.08</v>
      </c>
      <c r="J15" s="884">
        <f t="shared" si="5"/>
        <v>2400</v>
      </c>
      <c r="K15" s="884">
        <f t="shared" si="6"/>
        <v>358.32</v>
      </c>
      <c r="L15" s="885">
        <f t="shared" si="7"/>
        <v>6.6979236436704621</v>
      </c>
      <c r="M15" s="915">
        <f t="shared" si="8"/>
        <v>0.08</v>
      </c>
    </row>
    <row r="16" spans="2:18" x14ac:dyDescent="0.25">
      <c r="B16" s="887" t="s">
        <v>2274</v>
      </c>
      <c r="C16" s="892">
        <f ca="1">IF(E16="","",MAX(INDIRECT(ADDRESS(ROW()-7,COLUMN())):INDIRECT(ADDRESS(ROW()-1,COLUMN())))+1)</f>
        <v>8</v>
      </c>
      <c r="D16" s="888" t="s">
        <v>2280</v>
      </c>
      <c r="E16" s="883" t="s">
        <v>557</v>
      </c>
      <c r="F16" s="884">
        <v>100000</v>
      </c>
      <c r="G16" s="884">
        <v>1</v>
      </c>
      <c r="H16" s="884">
        <f t="shared" si="3"/>
        <v>100000</v>
      </c>
      <c r="I16" s="884">
        <f t="shared" si="4"/>
        <v>0.08</v>
      </c>
      <c r="J16" s="884">
        <f t="shared" si="5"/>
        <v>8000</v>
      </c>
      <c r="K16" s="884">
        <f t="shared" si="6"/>
        <v>358.32</v>
      </c>
      <c r="L16" s="885">
        <f t="shared" si="7"/>
        <v>22.326412145568206</v>
      </c>
      <c r="M16" s="915">
        <f t="shared" si="8"/>
        <v>0.08</v>
      </c>
    </row>
    <row r="17" spans="2:13" x14ac:dyDescent="0.25">
      <c r="B17" s="887" t="s">
        <v>2275</v>
      </c>
      <c r="C17" s="892">
        <f ca="1">IF(E17="","",MAX(INDIRECT(ADDRESS(ROW()-7,COLUMN())):INDIRECT(ADDRESS(ROW()-1,COLUMN())))+1)</f>
        <v>9</v>
      </c>
      <c r="D17" s="888" t="s">
        <v>2281</v>
      </c>
      <c r="E17" s="883" t="s">
        <v>557</v>
      </c>
      <c r="F17" s="884">
        <v>20000</v>
      </c>
      <c r="G17" s="884">
        <v>1</v>
      </c>
      <c r="H17" s="884">
        <f t="shared" si="3"/>
        <v>20000</v>
      </c>
      <c r="I17" s="884">
        <f t="shared" si="4"/>
        <v>0.08</v>
      </c>
      <c r="J17" s="884">
        <f t="shared" si="5"/>
        <v>1600</v>
      </c>
      <c r="K17" s="884">
        <f t="shared" si="6"/>
        <v>358.32</v>
      </c>
      <c r="L17" s="885">
        <f t="shared" si="7"/>
        <v>4.4652824291136417</v>
      </c>
      <c r="M17" s="915">
        <f t="shared" si="8"/>
        <v>0.08</v>
      </c>
    </row>
    <row r="18" spans="2:13" x14ac:dyDescent="0.25">
      <c r="B18" s="887" t="s">
        <v>2276</v>
      </c>
      <c r="C18" s="892">
        <f ca="1">IF(E18="","",MAX(INDIRECT(ADDRESS(ROW()-7,COLUMN())):INDIRECT(ADDRESS(ROW()-1,COLUMN())))+1)</f>
        <v>10</v>
      </c>
      <c r="D18" s="888" t="s">
        <v>2282</v>
      </c>
      <c r="E18" s="883" t="s">
        <v>557</v>
      </c>
      <c r="F18" s="884">
        <v>20000</v>
      </c>
      <c r="G18" s="884">
        <v>1</v>
      </c>
      <c r="H18" s="884">
        <f t="shared" si="3"/>
        <v>20000</v>
      </c>
      <c r="I18" s="884">
        <f t="shared" si="4"/>
        <v>0.08</v>
      </c>
      <c r="J18" s="884">
        <f t="shared" si="5"/>
        <v>1600</v>
      </c>
      <c r="K18" s="884">
        <f t="shared" si="6"/>
        <v>358.32</v>
      </c>
      <c r="L18" s="885">
        <f t="shared" si="7"/>
        <v>4.4652824291136417</v>
      </c>
      <c r="M18" s="915">
        <f t="shared" si="8"/>
        <v>0.08</v>
      </c>
    </row>
    <row r="19" spans="2:13" x14ac:dyDescent="0.25">
      <c r="B19" s="887"/>
      <c r="C19" s="892" t="str">
        <f ca="1">IF(E19="","",MAX(INDIRECT(ADDRESS(ROW()-7,COLUMN())):INDIRECT(ADDRESS(ROW()-1,COLUMN())))+1)</f>
        <v/>
      </c>
      <c r="D19" s="888"/>
      <c r="E19" s="883"/>
      <c r="F19" s="884"/>
      <c r="G19" s="884"/>
      <c r="H19" s="884"/>
      <c r="I19" s="884"/>
      <c r="J19" s="884"/>
      <c r="K19" s="884"/>
      <c r="L19" s="885"/>
      <c r="M19" s="915" t="str">
        <f t="shared" ref="M19" si="9">IF(SUM(L19)&gt;0,J19/H19,"")</f>
        <v/>
      </c>
    </row>
    <row r="20" spans="2:13" ht="13" x14ac:dyDescent="0.25">
      <c r="B20" s="882" t="s">
        <v>62</v>
      </c>
      <c r="C20" s="911" t="str">
        <f ca="1">IF(E20="","",MAX(INDIRECT(ADDRESS(ROW()-7,COLUMN())):INDIRECT(ADDRESS(ROW()-1,COLUMN())))+1)</f>
        <v/>
      </c>
      <c r="D20" s="881" t="s">
        <v>63</v>
      </c>
      <c r="E20" s="883"/>
      <c r="F20" s="884"/>
      <c r="G20" s="884"/>
      <c r="H20" s="884"/>
      <c r="I20" s="884"/>
      <c r="J20" s="884"/>
      <c r="K20" s="884"/>
      <c r="L20" s="885"/>
      <c r="M20" s="915" t="str">
        <f t="shared" si="0"/>
        <v/>
      </c>
    </row>
    <row r="21" spans="2:13" ht="26" x14ac:dyDescent="0.25">
      <c r="B21" s="882" t="s">
        <v>125</v>
      </c>
      <c r="C21" s="911" t="str">
        <f ca="1">IF(E21="","",MAX(INDIRECT(ADDRESS(ROW()-7,COLUMN())):INDIRECT(ADDRESS(ROW()-1,COLUMN())))+1)</f>
        <v/>
      </c>
      <c r="D21" s="881" t="s">
        <v>126</v>
      </c>
      <c r="E21" s="883"/>
      <c r="F21" s="884"/>
      <c r="G21" s="884"/>
      <c r="H21" s="884"/>
      <c r="I21" s="884"/>
      <c r="J21" s="884"/>
      <c r="K21" s="884"/>
      <c r="L21" s="885"/>
      <c r="M21" s="915" t="str">
        <f t="shared" si="0"/>
        <v/>
      </c>
    </row>
    <row r="22" spans="2:13" x14ac:dyDescent="0.25">
      <c r="B22" s="887" t="s">
        <v>129</v>
      </c>
      <c r="C22" s="892">
        <f ca="1">IF(E22="","",MAX(INDIRECT(ADDRESS(ROW()-7,COLUMN())):INDIRECT(ADDRESS(ROW()-1,COLUMN())))+1)</f>
        <v>11</v>
      </c>
      <c r="D22" s="887" t="s">
        <v>130</v>
      </c>
      <c r="E22" s="883" t="s">
        <v>18</v>
      </c>
      <c r="F22" s="884">
        <v>22</v>
      </c>
      <c r="G22" s="884">
        <v>15000</v>
      </c>
      <c r="H22" s="884">
        <f t="shared" si="1"/>
        <v>330000</v>
      </c>
      <c r="I22" s="884">
        <f>G22*25/100</f>
        <v>3750</v>
      </c>
      <c r="J22" s="884">
        <f>I22*F22</f>
        <v>82500</v>
      </c>
      <c r="K22" s="884">
        <f>$M$1</f>
        <v>358.32</v>
      </c>
      <c r="L22" s="885">
        <f>J22/K22</f>
        <v>230.24112525117215</v>
      </c>
      <c r="M22" s="915">
        <f t="shared" si="0"/>
        <v>0.25</v>
      </c>
    </row>
    <row r="23" spans="2:13" ht="13" x14ac:dyDescent="0.25">
      <c r="B23" s="882" t="s">
        <v>1833</v>
      </c>
      <c r="C23" s="892" t="str">
        <f ca="1">IF(E23="","",MAX(INDIRECT(ADDRESS(ROW()-7,COLUMN())):INDIRECT(ADDRESS(ROW()-1,COLUMN())))+1)</f>
        <v/>
      </c>
      <c r="D23" s="882" t="s">
        <v>1145</v>
      </c>
      <c r="E23" s="883"/>
      <c r="F23" s="884"/>
      <c r="G23" s="884"/>
      <c r="H23" s="884"/>
      <c r="I23" s="884"/>
      <c r="J23" s="884"/>
      <c r="K23" s="884"/>
      <c r="L23" s="885"/>
      <c r="M23" s="915"/>
    </row>
    <row r="24" spans="2:13" x14ac:dyDescent="0.25">
      <c r="B24" s="887" t="s">
        <v>39</v>
      </c>
      <c r="C24" s="892">
        <f ca="1">IF(E24="","",MAX(INDIRECT(ADDRESS(ROW()-7,COLUMN())):INDIRECT(ADDRESS(ROW()-1,COLUMN())))+1)</f>
        <v>12</v>
      </c>
      <c r="D24" s="887" t="s">
        <v>1147</v>
      </c>
      <c r="E24" s="883" t="s">
        <v>557</v>
      </c>
      <c r="F24" s="884">
        <v>50000</v>
      </c>
      <c r="G24" s="884">
        <v>1</v>
      </c>
      <c r="H24" s="884">
        <f t="shared" si="1"/>
        <v>50000</v>
      </c>
      <c r="I24" s="884">
        <f>G24*0.8</f>
        <v>0.8</v>
      </c>
      <c r="J24" s="884">
        <f>I24*F24</f>
        <v>40000</v>
      </c>
      <c r="K24" s="884">
        <f>$M$1</f>
        <v>358.32</v>
      </c>
      <c r="L24" s="885">
        <f>J24/K24</f>
        <v>111.63206072784104</v>
      </c>
      <c r="M24" s="915">
        <f>IF(SUM(L24)&gt;0,J24/H24,"")</f>
        <v>0.8</v>
      </c>
    </row>
    <row r="25" spans="2:13" x14ac:dyDescent="0.25">
      <c r="B25" s="887"/>
      <c r="C25" s="892" t="str">
        <f ca="1">IF(E25="","",MAX(INDIRECT(ADDRESS(ROW()-7,COLUMN())):INDIRECT(ADDRESS(ROW()-1,COLUMN())))+1)</f>
        <v/>
      </c>
      <c r="D25" s="888"/>
      <c r="E25" s="883"/>
      <c r="F25" s="884"/>
      <c r="G25" s="884"/>
      <c r="H25" s="884"/>
      <c r="I25" s="884"/>
      <c r="J25" s="884"/>
      <c r="K25" s="884"/>
      <c r="L25" s="885"/>
      <c r="M25" s="915" t="str">
        <f>IF(SUM(L25)&gt;0,J25/H25,"")</f>
        <v/>
      </c>
    </row>
    <row r="26" spans="2:13" ht="13" x14ac:dyDescent="0.25">
      <c r="B26" s="882" t="s">
        <v>1064</v>
      </c>
      <c r="C26" s="911" t="str">
        <f ca="1">IF(E26="","",MAX(INDIRECT(ADDRESS(ROW()-7,COLUMN())):INDIRECT(ADDRESS(ROW()-1,COLUMN())))+1)</f>
        <v/>
      </c>
      <c r="D26" s="882" t="s">
        <v>134</v>
      </c>
      <c r="E26" s="883"/>
      <c r="F26" s="884"/>
      <c r="G26" s="884"/>
      <c r="H26" s="884"/>
      <c r="I26" s="884"/>
      <c r="J26" s="884"/>
      <c r="K26" s="884"/>
      <c r="L26" s="885"/>
      <c r="M26" s="915"/>
    </row>
    <row r="27" spans="2:13" ht="13" x14ac:dyDescent="0.25">
      <c r="B27" s="853" t="s">
        <v>1875</v>
      </c>
      <c r="C27" s="913">
        <f ca="1">IF(E27="","",MAX(INDIRECT(ADDRESS(ROW()-7,COLUMN())):INDIRECT(ADDRESS(ROW()-1,COLUMN())))+1)</f>
        <v>13</v>
      </c>
      <c r="D27" s="865" t="s">
        <v>136</v>
      </c>
      <c r="E27" s="883" t="s">
        <v>18</v>
      </c>
      <c r="F27" s="884">
        <v>21</v>
      </c>
      <c r="G27" s="884">
        <v>30000</v>
      </c>
      <c r="H27" s="884">
        <f t="shared" si="1"/>
        <v>630000</v>
      </c>
      <c r="I27" s="884">
        <f>ROUND(12%*G27,1)</f>
        <v>3600</v>
      </c>
      <c r="J27" s="884">
        <f>I27*F27</f>
        <v>75600</v>
      </c>
      <c r="K27" s="884">
        <f>$M$1</f>
        <v>358.32</v>
      </c>
      <c r="L27" s="885">
        <f>J27/K27</f>
        <v>210.98459477561957</v>
      </c>
      <c r="M27" s="915">
        <f>IF(SUM(L27)&gt;0,J27/H27,"")</f>
        <v>0.12</v>
      </c>
    </row>
    <row r="28" spans="2:13" ht="13" x14ac:dyDescent="0.25">
      <c r="B28" s="882" t="s">
        <v>137</v>
      </c>
      <c r="C28" s="911" t="str">
        <f ca="1">IF(E28="","",MAX(INDIRECT(ADDRESS(ROW()-7,COLUMN())):INDIRECT(ADDRESS(ROW()-1,COLUMN())))+1)</f>
        <v/>
      </c>
      <c r="D28" s="881" t="s">
        <v>138</v>
      </c>
      <c r="E28" s="883"/>
      <c r="F28" s="884"/>
      <c r="G28" s="884"/>
      <c r="H28" s="884"/>
      <c r="I28" s="884"/>
      <c r="J28" s="884"/>
      <c r="K28" s="884"/>
      <c r="L28" s="885"/>
      <c r="M28" s="915"/>
    </row>
    <row r="29" spans="2:13" ht="25" x14ac:dyDescent="0.25">
      <c r="B29" s="888" t="s">
        <v>1929</v>
      </c>
      <c r="C29" s="912">
        <f ca="1">IF(E29="","",MAX(INDIRECT(ADDRESS(ROW()-7,COLUMN())):INDIRECT(ADDRESS(ROW()-1,COLUMN())))+1)</f>
        <v>14</v>
      </c>
      <c r="D29" s="888" t="s">
        <v>1942</v>
      </c>
      <c r="E29" s="883" t="s">
        <v>799</v>
      </c>
      <c r="F29" s="884">
        <v>216.00000000000006</v>
      </c>
      <c r="G29" s="884">
        <v>150</v>
      </c>
      <c r="H29" s="884">
        <f t="shared" ref="H29" si="10">F29*G29</f>
        <v>32400.000000000007</v>
      </c>
      <c r="I29" s="884">
        <f>ROUND(Labour_perc_roads*G29,1)</f>
        <v>4.4000000000000004</v>
      </c>
      <c r="J29" s="884">
        <f>I29*F29</f>
        <v>950.40000000000032</v>
      </c>
      <c r="K29" s="884">
        <f>$M$1</f>
        <v>358.32</v>
      </c>
      <c r="L29" s="885">
        <f>J29/K29</f>
        <v>2.6523777628935039</v>
      </c>
      <c r="M29" s="915">
        <f>IF(SUM(L29)&gt;0,J29/H29,"")</f>
        <v>2.9333333333333336E-2</v>
      </c>
    </row>
    <row r="30" spans="2:13" ht="13" x14ac:dyDescent="0.25">
      <c r="B30" s="882" t="s">
        <v>1781</v>
      </c>
      <c r="C30" s="911" t="str">
        <f ca="1">IF(E30="","",MAX(INDIRECT(ADDRESS(ROW()-7,COLUMN())):INDIRECT(ADDRESS(ROW()-1,COLUMN())))+1)</f>
        <v/>
      </c>
      <c r="D30" s="881" t="s">
        <v>493</v>
      </c>
      <c r="E30" s="883"/>
      <c r="F30" s="884"/>
      <c r="G30" s="884"/>
      <c r="H30" s="884"/>
      <c r="I30" s="884"/>
      <c r="J30" s="884"/>
      <c r="K30" s="884"/>
      <c r="L30" s="885"/>
      <c r="M30" s="915"/>
    </row>
    <row r="31" spans="2:13" ht="26" x14ac:dyDescent="0.25">
      <c r="B31" s="882" t="s">
        <v>492</v>
      </c>
      <c r="C31" s="911" t="str">
        <f ca="1">IF(E31="","",MAX(INDIRECT(ADDRESS(ROW()-7,COLUMN())):INDIRECT(ADDRESS(ROW()-1,COLUMN())))+1)</f>
        <v/>
      </c>
      <c r="D31" s="881" t="s">
        <v>491</v>
      </c>
      <c r="E31" s="883"/>
      <c r="F31" s="884"/>
      <c r="G31" s="884"/>
      <c r="H31" s="884"/>
      <c r="I31" s="884"/>
      <c r="J31" s="884"/>
      <c r="K31" s="884"/>
      <c r="L31" s="885"/>
      <c r="M31" s="915"/>
    </row>
    <row r="32" spans="2:13" x14ac:dyDescent="0.25">
      <c r="B32" s="887" t="s">
        <v>39</v>
      </c>
      <c r="C32" s="892">
        <f ca="1">IF(E32="","",MAX(INDIRECT(ADDRESS(ROW()-7,COLUMN())):INDIRECT(ADDRESS(ROW()-1,COLUMN())))+1)</f>
        <v>15</v>
      </c>
      <c r="D32" s="888" t="s">
        <v>1685</v>
      </c>
      <c r="E32" s="883" t="s">
        <v>6</v>
      </c>
      <c r="F32" s="884">
        <v>40</v>
      </c>
      <c r="G32" s="884">
        <v>1200</v>
      </c>
      <c r="H32" s="884">
        <f t="shared" ref="H32:H33" si="11">F32*G32</f>
        <v>48000</v>
      </c>
      <c r="I32" s="884">
        <f>ROUND(Labour_perc_roads*G32,1)</f>
        <v>34.799999999999997</v>
      </c>
      <c r="J32" s="884">
        <f>I32*F32</f>
        <v>1392</v>
      </c>
      <c r="K32" s="884">
        <f>$M$1</f>
        <v>358.32</v>
      </c>
      <c r="L32" s="885">
        <f>J32/K32</f>
        <v>3.884795713328868</v>
      </c>
      <c r="M32" s="915">
        <f>IF(SUM(L32)&gt;0,J32/H32,"")</f>
        <v>2.9000000000000001E-2</v>
      </c>
    </row>
    <row r="33" spans="2:13" x14ac:dyDescent="0.25">
      <c r="B33" s="887" t="s">
        <v>41</v>
      </c>
      <c r="C33" s="892">
        <f ca="1">IF(E33="","",MAX(INDIRECT(ADDRESS(ROW()-7,COLUMN())):INDIRECT(ADDRESS(ROW()-1,COLUMN())))+1)</f>
        <v>16</v>
      </c>
      <c r="D33" s="888" t="s">
        <v>1686</v>
      </c>
      <c r="E33" s="883" t="s">
        <v>6</v>
      </c>
      <c r="F33" s="884">
        <v>40</v>
      </c>
      <c r="G33" s="884">
        <v>2000</v>
      </c>
      <c r="H33" s="884">
        <f t="shared" si="11"/>
        <v>80000</v>
      </c>
      <c r="I33" s="884">
        <f>ROUND(Labour_perc_roads*G33,1)</f>
        <v>58</v>
      </c>
      <c r="J33" s="884">
        <f>I33*F33</f>
        <v>2320</v>
      </c>
      <c r="K33" s="884">
        <f>$M$1</f>
        <v>358.32</v>
      </c>
      <c r="L33" s="885">
        <f>J33/K33</f>
        <v>6.4746595222147798</v>
      </c>
      <c r="M33" s="915">
        <f>IF(SUM(L33)&gt;0,J33/H33,"")</f>
        <v>2.9000000000000001E-2</v>
      </c>
    </row>
    <row r="34" spans="2:13" ht="13" x14ac:dyDescent="0.25">
      <c r="B34" s="882" t="s">
        <v>468</v>
      </c>
      <c r="C34" s="911" t="str">
        <f ca="1">IF(E34="","",MAX(INDIRECT(ADDRESS(ROW()-7,COLUMN())):INDIRECT(ADDRESS(ROW()-1,COLUMN())))+1)</f>
        <v/>
      </c>
      <c r="D34" s="881" t="s">
        <v>467</v>
      </c>
      <c r="E34" s="883"/>
      <c r="F34" s="884"/>
      <c r="G34" s="884"/>
      <c r="H34" s="884"/>
      <c r="I34" s="884"/>
      <c r="J34" s="884"/>
      <c r="K34" s="884"/>
      <c r="L34" s="885"/>
      <c r="M34" s="915"/>
    </row>
    <row r="35" spans="2:13" ht="25" x14ac:dyDescent="0.25">
      <c r="B35" s="887" t="s">
        <v>466</v>
      </c>
      <c r="C35" s="892">
        <f ca="1">IF(E35="","",MAX(INDIRECT(ADDRESS(ROW()-7,COLUMN())):INDIRECT(ADDRESS(ROW()-1,COLUMN())))+1)</f>
        <v>17</v>
      </c>
      <c r="D35" s="888" t="s">
        <v>465</v>
      </c>
      <c r="E35" s="883" t="s">
        <v>6</v>
      </c>
      <c r="F35" s="884">
        <v>80</v>
      </c>
      <c r="G35" s="884">
        <v>75</v>
      </c>
      <c r="H35" s="884">
        <f t="shared" ref="H35:H36" si="12">F35*G35</f>
        <v>6000</v>
      </c>
      <c r="I35" s="884">
        <f>ROUND(Labour_perc_roads*G35,1)</f>
        <v>2.2000000000000002</v>
      </c>
      <c r="J35" s="884">
        <f>I35*F35</f>
        <v>176</v>
      </c>
      <c r="K35" s="884">
        <f>$M$1</f>
        <v>358.32</v>
      </c>
      <c r="L35" s="885">
        <f>J35/K35</f>
        <v>0.49118106720250054</v>
      </c>
      <c r="M35" s="915">
        <f>IF(SUM(L35)&gt;0,J35/H35,"")</f>
        <v>2.9333333333333333E-2</v>
      </c>
    </row>
    <row r="36" spans="2:13" x14ac:dyDescent="0.25">
      <c r="B36" s="887" t="s">
        <v>1877</v>
      </c>
      <c r="C36" s="892">
        <f ca="1">IF(E36="","",MAX(INDIRECT(ADDRESS(ROW()-7,COLUMN())):INDIRECT(ADDRESS(ROW()-1,COLUMN())))+1)</f>
        <v>18</v>
      </c>
      <c r="D36" s="888" t="s">
        <v>156</v>
      </c>
      <c r="E36" s="883" t="s">
        <v>193</v>
      </c>
      <c r="F36" s="884">
        <v>21</v>
      </c>
      <c r="G36" s="884">
        <v>4700</v>
      </c>
      <c r="H36" s="884">
        <f t="shared" si="12"/>
        <v>98700</v>
      </c>
      <c r="I36" s="884">
        <f>ROUND(Labour_perc_roads*G36,1)</f>
        <v>136.30000000000001</v>
      </c>
      <c r="J36" s="884">
        <f>I36*F36</f>
        <v>2862.3</v>
      </c>
      <c r="K36" s="884">
        <f>$M$1</f>
        <v>358.32</v>
      </c>
      <c r="L36" s="885">
        <f>J36/K36</f>
        <v>7.9881111855324853</v>
      </c>
      <c r="M36" s="915">
        <f>IF(SUM(L36)&gt;0,J36/H36,"")</f>
        <v>2.9000000000000001E-2</v>
      </c>
    </row>
    <row r="37" spans="2:13" x14ac:dyDescent="0.25">
      <c r="B37" s="887"/>
      <c r="C37" s="892" t="str">
        <f ca="1">IF(E37="","",MAX(INDIRECT(ADDRESS(ROW()-7,COLUMN())):INDIRECT(ADDRESS(ROW()-1,COLUMN())))+1)</f>
        <v/>
      </c>
      <c r="D37" s="888"/>
      <c r="E37" s="883"/>
      <c r="F37" s="884"/>
      <c r="G37" s="884"/>
      <c r="H37" s="884"/>
      <c r="I37" s="884"/>
      <c r="J37" s="884"/>
      <c r="K37" s="884"/>
      <c r="L37" s="885"/>
      <c r="M37" s="915"/>
    </row>
    <row r="38" spans="2:13" ht="13" x14ac:dyDescent="0.25">
      <c r="B38" s="882" t="s">
        <v>795</v>
      </c>
      <c r="C38" s="911" t="str">
        <f ca="1">IF(E38="","",MAX(INDIRECT(ADDRESS(ROW()-7,COLUMN())):INDIRECT(ADDRESS(ROW()-1,COLUMN())))+1)</f>
        <v/>
      </c>
      <c r="D38" s="882" t="s">
        <v>796</v>
      </c>
      <c r="E38" s="883"/>
      <c r="F38" s="884"/>
      <c r="G38" s="884"/>
      <c r="H38" s="884"/>
      <c r="I38" s="884"/>
      <c r="J38" s="884"/>
      <c r="K38" s="884"/>
      <c r="L38" s="885"/>
      <c r="M38" s="915"/>
    </row>
    <row r="39" spans="2:13" ht="13" x14ac:dyDescent="0.25">
      <c r="B39" s="882" t="s">
        <v>538</v>
      </c>
      <c r="C39" s="911" t="str">
        <f ca="1">IF(E39="","",MAX(INDIRECT(ADDRESS(ROW()-7,COLUMN())):INDIRECT(ADDRESS(ROW()-1,COLUMN())))+1)</f>
        <v/>
      </c>
      <c r="D39" s="882" t="s">
        <v>537</v>
      </c>
      <c r="E39" s="883"/>
      <c r="F39" s="884"/>
      <c r="G39" s="884"/>
      <c r="H39" s="884"/>
      <c r="I39" s="884"/>
      <c r="J39" s="884"/>
      <c r="K39" s="884"/>
      <c r="L39" s="885"/>
      <c r="M39" s="915"/>
    </row>
    <row r="40" spans="2:13" x14ac:dyDescent="0.25">
      <c r="B40" s="887" t="s">
        <v>536</v>
      </c>
      <c r="C40" s="892">
        <f ca="1">IF(E40="","",MAX(INDIRECT(ADDRESS(ROW()-7,COLUMN())):INDIRECT(ADDRESS(ROW()-1,COLUMN())))+1)</f>
        <v>19</v>
      </c>
      <c r="D40" s="888" t="s">
        <v>535</v>
      </c>
      <c r="E40" s="883" t="s">
        <v>799</v>
      </c>
      <c r="F40" s="884">
        <v>1000</v>
      </c>
      <c r="G40" s="884">
        <v>30</v>
      </c>
      <c r="H40" s="884">
        <f t="shared" ref="H40" si="13">F40*G40</f>
        <v>30000</v>
      </c>
      <c r="I40" s="884">
        <f>ROUND(Labour_perc_roads*G40,1)</f>
        <v>0.9</v>
      </c>
      <c r="J40" s="884">
        <f>I40*F40</f>
        <v>900</v>
      </c>
      <c r="K40" s="884">
        <f>$M$1</f>
        <v>358.32</v>
      </c>
      <c r="L40" s="885">
        <f>J40/K40</f>
        <v>2.5117213663764235</v>
      </c>
      <c r="M40" s="915">
        <f>IF(SUM(L40)&gt;0,J40/H40,"")</f>
        <v>0.03</v>
      </c>
    </row>
    <row r="41" spans="2:13" ht="26" x14ac:dyDescent="0.25">
      <c r="B41" s="882" t="s">
        <v>1834</v>
      </c>
      <c r="C41" s="911" t="str">
        <f ca="1">IF(E41="","",MAX(INDIRECT(ADDRESS(ROW()-7,COLUMN())):INDIRECT(ADDRESS(ROW()-1,COLUMN())))+1)</f>
        <v/>
      </c>
      <c r="D41" s="881" t="s">
        <v>1835</v>
      </c>
      <c r="E41" s="883"/>
      <c r="F41" s="884"/>
      <c r="G41" s="884"/>
      <c r="H41" s="884"/>
      <c r="I41" s="884"/>
      <c r="J41" s="884"/>
      <c r="K41" s="884"/>
      <c r="L41" s="885"/>
      <c r="M41" s="915"/>
    </row>
    <row r="42" spans="2:13" x14ac:dyDescent="0.25">
      <c r="B42" s="887" t="s">
        <v>39</v>
      </c>
      <c r="C42" s="892">
        <f ca="1">IF(E42="","",MAX(INDIRECT(ADDRESS(ROW()-7,COLUMN())):INDIRECT(ADDRESS(ROW()-1,COLUMN())))+1)</f>
        <v>20</v>
      </c>
      <c r="D42" s="888" t="s">
        <v>1908</v>
      </c>
      <c r="E42" s="883" t="s">
        <v>21</v>
      </c>
      <c r="F42" s="884">
        <v>2</v>
      </c>
      <c r="G42" s="884">
        <v>20000</v>
      </c>
      <c r="H42" s="884">
        <f t="shared" ref="H42" si="14">F42*G42</f>
        <v>40000</v>
      </c>
      <c r="I42" s="884">
        <f>ROUND(Labour_perc_roads*G42,1)</f>
        <v>580</v>
      </c>
      <c r="J42" s="884">
        <f>I42*F42</f>
        <v>1160</v>
      </c>
      <c r="K42" s="884">
        <f>$M$1</f>
        <v>358.32</v>
      </c>
      <c r="L42" s="885">
        <f>J42/K42</f>
        <v>3.2373297611073899</v>
      </c>
      <c r="M42" s="915">
        <f>IF(SUM(L42)&gt;0,J42/H42,"")</f>
        <v>2.9000000000000001E-2</v>
      </c>
    </row>
    <row r="43" spans="2:13" x14ac:dyDescent="0.25">
      <c r="B43" s="887"/>
      <c r="C43" s="892" t="str">
        <f ca="1">IF(E43="","",MAX(INDIRECT(ADDRESS(ROW()-7,COLUMN())):INDIRECT(ADDRESS(ROW()-1,COLUMN())))+1)</f>
        <v/>
      </c>
      <c r="D43" s="888"/>
      <c r="E43" s="883"/>
      <c r="F43" s="884"/>
      <c r="G43" s="884"/>
      <c r="H43" s="884"/>
      <c r="I43" s="884"/>
      <c r="J43" s="884"/>
      <c r="K43" s="884"/>
      <c r="L43" s="885"/>
      <c r="M43" s="915"/>
    </row>
    <row r="44" spans="2:13" ht="13" x14ac:dyDescent="0.25">
      <c r="B44" s="882" t="s">
        <v>797</v>
      </c>
      <c r="C44" s="911" t="str">
        <f ca="1">IF(E44="","",MAX(INDIRECT(ADDRESS(ROW()-7,COLUMN())):INDIRECT(ADDRESS(ROW()-1,COLUMN())))+1)</f>
        <v/>
      </c>
      <c r="D44" s="881" t="s">
        <v>798</v>
      </c>
      <c r="E44" s="883"/>
      <c r="F44" s="884"/>
      <c r="G44" s="884"/>
      <c r="H44" s="884"/>
      <c r="I44" s="884"/>
      <c r="J44" s="884"/>
      <c r="K44" s="884"/>
      <c r="L44" s="885"/>
      <c r="M44" s="915"/>
    </row>
    <row r="45" spans="2:13" ht="26" x14ac:dyDescent="0.25">
      <c r="B45" s="882" t="s">
        <v>548</v>
      </c>
      <c r="C45" s="911" t="str">
        <f ca="1">IF(E45="","",MAX(INDIRECT(ADDRESS(ROW()-7,COLUMN())):INDIRECT(ADDRESS(ROW()-1,COLUMN())))+1)</f>
        <v/>
      </c>
      <c r="D45" s="881" t="s">
        <v>547</v>
      </c>
      <c r="E45" s="883"/>
      <c r="F45" s="884"/>
      <c r="G45" s="884"/>
      <c r="H45" s="884"/>
      <c r="I45" s="884"/>
      <c r="J45" s="884"/>
      <c r="K45" s="884"/>
      <c r="L45" s="885"/>
      <c r="M45" s="915"/>
    </row>
    <row r="46" spans="2:13" x14ac:dyDescent="0.25">
      <c r="B46" s="887" t="s">
        <v>545</v>
      </c>
      <c r="C46" s="892">
        <f ca="1">IF(E46="","",MAX(INDIRECT(ADDRESS(ROW()-7,COLUMN())):INDIRECT(ADDRESS(ROW()-1,COLUMN())))+1)</f>
        <v>21</v>
      </c>
      <c r="D46" s="888" t="s">
        <v>534</v>
      </c>
      <c r="E46" s="883" t="s">
        <v>799</v>
      </c>
      <c r="F46" s="884">
        <v>100</v>
      </c>
      <c r="G46" s="884">
        <v>210</v>
      </c>
      <c r="H46" s="884">
        <f t="shared" ref="H46:H51" si="15">F46*G46</f>
        <v>21000</v>
      </c>
      <c r="I46" s="884">
        <f t="shared" ref="I46:I51" si="16">ROUND(Labour_perc_roads*G46,1)</f>
        <v>6.1</v>
      </c>
      <c r="J46" s="884">
        <f t="shared" ref="J46:J51" si="17">I46*F46</f>
        <v>610</v>
      </c>
      <c r="K46" s="884">
        <f t="shared" ref="K46:K51" si="18">$M$1</f>
        <v>358.32</v>
      </c>
      <c r="L46" s="885">
        <f t="shared" ref="L46:L51" si="19">J46/K46</f>
        <v>1.7023889260995759</v>
      </c>
      <c r="M46" s="915">
        <f t="shared" ref="M46:M51" si="20">IF(SUM(L46)&gt;0,J46/H46,"")</f>
        <v>2.9047619047619048E-2</v>
      </c>
    </row>
    <row r="47" spans="2:13" x14ac:dyDescent="0.25">
      <c r="B47" s="887" t="s">
        <v>544</v>
      </c>
      <c r="C47" s="892">
        <f ca="1">IF(E47="","",MAX(INDIRECT(ADDRESS(ROW()-7,COLUMN())):INDIRECT(ADDRESS(ROW()-1,COLUMN())))+1)</f>
        <v>22</v>
      </c>
      <c r="D47" s="888" t="s">
        <v>202</v>
      </c>
      <c r="E47" s="883" t="s">
        <v>799</v>
      </c>
      <c r="F47" s="884">
        <v>4100</v>
      </c>
      <c r="G47" s="884">
        <v>130</v>
      </c>
      <c r="H47" s="884">
        <f t="shared" si="15"/>
        <v>533000</v>
      </c>
      <c r="I47" s="884">
        <f t="shared" si="16"/>
        <v>3.8</v>
      </c>
      <c r="J47" s="884">
        <f t="shared" si="17"/>
        <v>15580</v>
      </c>
      <c r="K47" s="884">
        <f t="shared" si="18"/>
        <v>358.32</v>
      </c>
      <c r="L47" s="885">
        <f t="shared" si="19"/>
        <v>43.480687653494087</v>
      </c>
      <c r="M47" s="915">
        <f t="shared" si="20"/>
        <v>2.923076923076923E-2</v>
      </c>
    </row>
    <row r="48" spans="2:13" x14ac:dyDescent="0.25">
      <c r="B48" s="887" t="s">
        <v>543</v>
      </c>
      <c r="C48" s="892">
        <f ca="1">IF(E48="","",MAX(INDIRECT(ADDRESS(ROW()-7,COLUMN())):INDIRECT(ADDRESS(ROW()-1,COLUMN())))+1)</f>
        <v>23</v>
      </c>
      <c r="D48" s="888" t="s">
        <v>203</v>
      </c>
      <c r="E48" s="883" t="s">
        <v>799</v>
      </c>
      <c r="F48" s="884">
        <v>36900</v>
      </c>
      <c r="G48" s="884">
        <v>40</v>
      </c>
      <c r="H48" s="884">
        <f t="shared" si="15"/>
        <v>1476000</v>
      </c>
      <c r="I48" s="884">
        <f t="shared" si="16"/>
        <v>1.2</v>
      </c>
      <c r="J48" s="884">
        <f t="shared" si="17"/>
        <v>44280</v>
      </c>
      <c r="K48" s="884">
        <f t="shared" si="18"/>
        <v>358.32</v>
      </c>
      <c r="L48" s="885">
        <f t="shared" si="19"/>
        <v>123.57669122572003</v>
      </c>
      <c r="M48" s="915">
        <f t="shared" si="20"/>
        <v>0.03</v>
      </c>
    </row>
    <row r="49" spans="1:289" ht="25" x14ac:dyDescent="0.25">
      <c r="B49" s="887" t="s">
        <v>2044</v>
      </c>
      <c r="C49" s="892">
        <f ca="1">IF(E49="","",MAX(INDIRECT(ADDRESS(ROW()-7,COLUMN())):INDIRECT(ADDRESS(ROW()-1,COLUMN())))+1)</f>
        <v>24</v>
      </c>
      <c r="D49" s="888" t="s">
        <v>561</v>
      </c>
      <c r="E49" s="883" t="s">
        <v>799</v>
      </c>
      <c r="F49" s="884">
        <v>36900</v>
      </c>
      <c r="G49" s="884">
        <v>90</v>
      </c>
      <c r="H49" s="884">
        <f t="shared" si="15"/>
        <v>3321000</v>
      </c>
      <c r="I49" s="884">
        <f t="shared" si="16"/>
        <v>2.6</v>
      </c>
      <c r="J49" s="884">
        <f t="shared" si="17"/>
        <v>95940</v>
      </c>
      <c r="K49" s="884">
        <f t="shared" si="18"/>
        <v>358.32</v>
      </c>
      <c r="L49" s="885">
        <f t="shared" si="19"/>
        <v>267.74949765572671</v>
      </c>
      <c r="M49" s="915">
        <f t="shared" si="20"/>
        <v>2.8888888888888888E-2</v>
      </c>
    </row>
    <row r="50" spans="1:289" x14ac:dyDescent="0.25">
      <c r="B50" s="887" t="s">
        <v>2045</v>
      </c>
      <c r="C50" s="892">
        <f ca="1">IF(E50="","",MAX(INDIRECT(ADDRESS(ROW()-7,COLUMN())):INDIRECT(ADDRESS(ROW()-1,COLUMN())))+1)</f>
        <v>25</v>
      </c>
      <c r="D50" s="888" t="s">
        <v>2119</v>
      </c>
      <c r="E50" s="883" t="s">
        <v>555</v>
      </c>
      <c r="F50" s="884">
        <v>2500</v>
      </c>
      <c r="G50" s="884">
        <v>350</v>
      </c>
      <c r="H50" s="884">
        <f t="shared" si="15"/>
        <v>875000</v>
      </c>
      <c r="I50" s="884">
        <f t="shared" si="16"/>
        <v>10.199999999999999</v>
      </c>
      <c r="J50" s="884">
        <f t="shared" si="17"/>
        <v>25500</v>
      </c>
      <c r="K50" s="884">
        <f t="shared" si="18"/>
        <v>358.32</v>
      </c>
      <c r="L50" s="885">
        <f t="shared" si="19"/>
        <v>71.165438713998668</v>
      </c>
      <c r="M50" s="915">
        <f t="shared" si="20"/>
        <v>2.9142857142857144E-2</v>
      </c>
    </row>
    <row r="51" spans="1:289" x14ac:dyDescent="0.25">
      <c r="B51" s="887" t="s">
        <v>2046</v>
      </c>
      <c r="C51" s="892">
        <f ca="1">IF(E51="","",MAX(INDIRECT(ADDRESS(ROW()-7,COLUMN())):INDIRECT(ADDRESS(ROW()-1,COLUMN())))+1)</f>
        <v>26</v>
      </c>
      <c r="D51" s="888" t="s">
        <v>560</v>
      </c>
      <c r="E51" s="883" t="s">
        <v>6</v>
      </c>
      <c r="F51" s="884">
        <v>40</v>
      </c>
      <c r="G51" s="884">
        <v>200</v>
      </c>
      <c r="H51" s="884">
        <f t="shared" si="15"/>
        <v>8000</v>
      </c>
      <c r="I51" s="884">
        <f t="shared" si="16"/>
        <v>5.8</v>
      </c>
      <c r="J51" s="884">
        <f t="shared" si="17"/>
        <v>232</v>
      </c>
      <c r="K51" s="884">
        <f t="shared" si="18"/>
        <v>358.32</v>
      </c>
      <c r="L51" s="885">
        <f t="shared" si="19"/>
        <v>0.64746595222147807</v>
      </c>
      <c r="M51" s="915">
        <f t="shared" si="20"/>
        <v>2.9000000000000001E-2</v>
      </c>
    </row>
    <row r="52" spans="1:289" ht="13" x14ac:dyDescent="0.25">
      <c r="B52" s="882" t="s">
        <v>542</v>
      </c>
      <c r="C52" s="911" t="str">
        <f ca="1">IF(E52="","",MAX(INDIRECT(ADDRESS(ROW()-7,COLUMN())):INDIRECT(ADDRESS(ROW()-1,COLUMN())))+1)</f>
        <v/>
      </c>
      <c r="D52" s="881" t="s">
        <v>541</v>
      </c>
      <c r="E52" s="883"/>
      <c r="F52" s="884"/>
      <c r="G52" s="884"/>
      <c r="H52" s="884"/>
      <c r="I52" s="884"/>
      <c r="J52" s="884"/>
      <c r="K52" s="884"/>
      <c r="L52" s="885"/>
      <c r="M52" s="915"/>
    </row>
    <row r="53" spans="1:289" s="890" customFormat="1" ht="13" x14ac:dyDescent="0.25">
      <c r="A53" s="867"/>
      <c r="B53" s="882" t="s">
        <v>540</v>
      </c>
      <c r="C53" s="911" t="str">
        <f ca="1">IF(E53="","",MAX(INDIRECT(ADDRESS(ROW()-7,COLUMN())):INDIRECT(ADDRESS(ROW()-1,COLUMN())))+1)</f>
        <v/>
      </c>
      <c r="D53" s="881" t="s">
        <v>539</v>
      </c>
      <c r="E53" s="883"/>
      <c r="F53" s="884"/>
      <c r="G53" s="884"/>
      <c r="H53" s="884"/>
      <c r="I53" s="884"/>
      <c r="J53" s="884"/>
      <c r="K53" s="884"/>
      <c r="L53" s="885"/>
      <c r="M53" s="915"/>
      <c r="N53" s="867"/>
      <c r="O53" s="889"/>
      <c r="P53" s="889"/>
      <c r="Q53" s="889"/>
      <c r="R53" s="889"/>
      <c r="S53" s="889"/>
      <c r="T53" s="889"/>
      <c r="U53" s="889"/>
      <c r="V53" s="889"/>
      <c r="W53" s="889"/>
      <c r="X53" s="889"/>
      <c r="Y53" s="889"/>
      <c r="Z53" s="889"/>
      <c r="AA53" s="889"/>
      <c r="AB53" s="889"/>
      <c r="AC53" s="889"/>
      <c r="AD53" s="889"/>
      <c r="AE53" s="889"/>
      <c r="AF53" s="889"/>
      <c r="AG53" s="889"/>
      <c r="AH53" s="889"/>
      <c r="AI53" s="889"/>
      <c r="AJ53" s="889"/>
      <c r="AK53" s="889"/>
      <c r="AL53" s="889"/>
      <c r="AM53" s="889"/>
      <c r="AN53" s="889"/>
      <c r="AO53" s="889"/>
      <c r="AP53" s="889"/>
      <c r="AQ53" s="889"/>
      <c r="AR53" s="889"/>
      <c r="AS53" s="889"/>
      <c r="AT53" s="889"/>
      <c r="AU53" s="889"/>
      <c r="AV53" s="889"/>
      <c r="AW53" s="889"/>
      <c r="AX53" s="889"/>
      <c r="AY53" s="889"/>
      <c r="AZ53" s="889"/>
      <c r="BA53" s="889"/>
      <c r="BB53" s="889"/>
      <c r="BC53" s="889"/>
      <c r="BD53" s="889"/>
      <c r="BE53" s="889"/>
      <c r="BF53" s="889"/>
      <c r="BG53" s="889"/>
      <c r="BH53" s="889"/>
      <c r="BI53" s="889"/>
      <c r="BJ53" s="889"/>
      <c r="BK53" s="889"/>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c r="CT53" s="889"/>
      <c r="CU53" s="889"/>
      <c r="CV53" s="889"/>
      <c r="CW53" s="889"/>
      <c r="CX53" s="889"/>
      <c r="CY53" s="889"/>
      <c r="CZ53" s="889"/>
      <c r="DA53" s="889"/>
      <c r="DB53" s="889"/>
      <c r="DC53" s="889"/>
      <c r="DD53" s="889"/>
      <c r="DE53" s="889"/>
      <c r="DF53" s="889"/>
      <c r="DG53" s="889"/>
      <c r="DH53" s="889"/>
      <c r="DI53" s="889"/>
      <c r="DJ53" s="889"/>
      <c r="DK53" s="889"/>
      <c r="DL53" s="889"/>
      <c r="DM53" s="889"/>
      <c r="DN53" s="889"/>
      <c r="DO53" s="889"/>
      <c r="DP53" s="889"/>
      <c r="DQ53" s="889"/>
      <c r="DR53" s="889"/>
      <c r="DS53" s="889"/>
      <c r="DT53" s="889"/>
      <c r="DU53" s="889"/>
      <c r="DV53" s="889"/>
      <c r="DW53" s="889"/>
      <c r="DX53" s="889"/>
      <c r="DY53" s="889"/>
      <c r="DZ53" s="889"/>
      <c r="EA53" s="889"/>
      <c r="EB53" s="889"/>
      <c r="EC53" s="889"/>
      <c r="ED53" s="889"/>
      <c r="EE53" s="889"/>
      <c r="EF53" s="889"/>
      <c r="EG53" s="889"/>
      <c r="EH53" s="889"/>
      <c r="EI53" s="889"/>
      <c r="EJ53" s="889"/>
      <c r="EK53" s="889"/>
      <c r="EL53" s="889"/>
      <c r="EM53" s="889"/>
      <c r="EN53" s="889"/>
      <c r="EO53" s="889"/>
      <c r="EP53" s="889"/>
      <c r="EQ53" s="889"/>
      <c r="ER53" s="889"/>
      <c r="ES53" s="889"/>
      <c r="ET53" s="889"/>
      <c r="EU53" s="889"/>
      <c r="EV53" s="889"/>
      <c r="EW53" s="889"/>
      <c r="EX53" s="889"/>
      <c r="EY53" s="889"/>
      <c r="EZ53" s="889"/>
      <c r="FA53" s="889"/>
      <c r="FB53" s="889"/>
      <c r="FC53" s="889"/>
      <c r="FD53" s="889"/>
      <c r="FE53" s="889"/>
      <c r="FF53" s="889"/>
      <c r="FG53" s="889"/>
      <c r="FH53" s="889"/>
      <c r="FI53" s="889"/>
      <c r="FJ53" s="889"/>
      <c r="FK53" s="889"/>
      <c r="FL53" s="889"/>
      <c r="FM53" s="889"/>
      <c r="FN53" s="889"/>
      <c r="FO53" s="889"/>
      <c r="FP53" s="889"/>
      <c r="FQ53" s="889"/>
      <c r="FR53" s="889"/>
      <c r="FS53" s="889"/>
      <c r="FT53" s="889"/>
      <c r="FU53" s="889"/>
      <c r="FV53" s="889"/>
      <c r="FW53" s="889"/>
      <c r="FX53" s="889"/>
      <c r="FY53" s="889"/>
      <c r="FZ53" s="889"/>
      <c r="GA53" s="889"/>
      <c r="GB53" s="889"/>
      <c r="GC53" s="889"/>
      <c r="GD53" s="889"/>
      <c r="GE53" s="889"/>
      <c r="GF53" s="889"/>
      <c r="GG53" s="889"/>
      <c r="GH53" s="889"/>
      <c r="GI53" s="889"/>
      <c r="GJ53" s="889"/>
      <c r="GK53" s="889"/>
      <c r="GL53" s="889"/>
      <c r="GM53" s="889"/>
      <c r="GN53" s="889"/>
      <c r="GO53" s="889"/>
      <c r="GP53" s="889"/>
      <c r="GQ53" s="889"/>
      <c r="GR53" s="889"/>
      <c r="GS53" s="889"/>
      <c r="GT53" s="889"/>
      <c r="GU53" s="889"/>
      <c r="GV53" s="889"/>
      <c r="GW53" s="889"/>
      <c r="GX53" s="889"/>
      <c r="GY53" s="889"/>
      <c r="GZ53" s="889"/>
      <c r="HA53" s="889"/>
      <c r="HB53" s="889"/>
      <c r="HC53" s="889"/>
      <c r="HD53" s="889"/>
      <c r="HE53" s="889"/>
      <c r="HF53" s="889"/>
      <c r="HG53" s="889"/>
      <c r="HH53" s="889"/>
      <c r="HI53" s="889"/>
      <c r="HJ53" s="889"/>
      <c r="HK53" s="889"/>
      <c r="HL53" s="889"/>
      <c r="HM53" s="889"/>
      <c r="HN53" s="889"/>
      <c r="HO53" s="889"/>
      <c r="HP53" s="889"/>
      <c r="HQ53" s="889"/>
      <c r="HR53" s="889"/>
      <c r="HS53" s="889"/>
      <c r="HT53" s="889"/>
      <c r="HU53" s="889"/>
      <c r="HV53" s="889"/>
      <c r="HW53" s="889"/>
      <c r="HX53" s="889"/>
      <c r="HY53" s="889"/>
      <c r="HZ53" s="889"/>
      <c r="IA53" s="889"/>
      <c r="IB53" s="889"/>
      <c r="IC53" s="889"/>
      <c r="ID53" s="889"/>
      <c r="IE53" s="889"/>
      <c r="IF53" s="889"/>
      <c r="IG53" s="889"/>
      <c r="IH53" s="889"/>
      <c r="II53" s="889"/>
      <c r="IJ53" s="889"/>
      <c r="IK53" s="889"/>
      <c r="IL53" s="889"/>
      <c r="IM53" s="889"/>
      <c r="IN53" s="889"/>
      <c r="IO53" s="889"/>
      <c r="IP53" s="889"/>
      <c r="IQ53" s="889"/>
      <c r="IR53" s="889"/>
      <c r="IS53" s="889"/>
      <c r="IT53" s="889"/>
      <c r="IU53" s="889"/>
      <c r="IV53" s="889"/>
      <c r="IW53" s="889"/>
      <c r="IX53" s="889"/>
      <c r="IY53" s="889"/>
      <c r="IZ53" s="889"/>
      <c r="JA53" s="889"/>
      <c r="JB53" s="889"/>
      <c r="JC53" s="889"/>
      <c r="JD53" s="889"/>
      <c r="JE53" s="889"/>
      <c r="JF53" s="889"/>
      <c r="JG53" s="889"/>
      <c r="JH53" s="889"/>
      <c r="JI53" s="889"/>
      <c r="JJ53" s="889"/>
      <c r="JK53" s="889"/>
      <c r="JL53" s="889"/>
      <c r="JM53" s="889"/>
      <c r="JN53" s="889"/>
      <c r="JO53" s="889"/>
      <c r="JP53" s="889"/>
      <c r="JQ53" s="889"/>
      <c r="JR53" s="889"/>
      <c r="JS53" s="889"/>
      <c r="JT53" s="889"/>
      <c r="JU53" s="889"/>
      <c r="JV53" s="889"/>
      <c r="JW53" s="889"/>
      <c r="JX53" s="889"/>
      <c r="JY53" s="889"/>
      <c r="JZ53" s="889"/>
      <c r="KA53" s="889"/>
      <c r="KB53" s="889"/>
      <c r="KC53" s="889"/>
    </row>
    <row r="54" spans="1:289" x14ac:dyDescent="0.25">
      <c r="B54" s="887" t="s">
        <v>39</v>
      </c>
      <c r="C54" s="892">
        <f ca="1">IF(E54="","",MAX(INDIRECT(ADDRESS(ROW()-7,COLUMN())):INDIRECT(ADDRESS(ROW()-1,COLUMN())))+1)</f>
        <v>27</v>
      </c>
      <c r="D54" s="888" t="s">
        <v>800</v>
      </c>
      <c r="E54" s="883" t="s">
        <v>555</v>
      </c>
      <c r="F54" s="884">
        <v>5000</v>
      </c>
      <c r="G54" s="884">
        <v>3</v>
      </c>
      <c r="H54" s="884">
        <f t="shared" ref="H54:H56" si="21">F54*G54</f>
        <v>15000</v>
      </c>
      <c r="I54" s="884">
        <f>ROUND(Labour_perc_roads*G54,1)</f>
        <v>0.1</v>
      </c>
      <c r="J54" s="884">
        <f t="shared" ref="J54:J56" si="22">I54*F54</f>
        <v>500</v>
      </c>
      <c r="K54" s="884">
        <f>$M$1</f>
        <v>358.32</v>
      </c>
      <c r="L54" s="885">
        <f t="shared" ref="L54:L56" si="23">J54/K54</f>
        <v>1.3954007590980129</v>
      </c>
      <c r="M54" s="915">
        <f>IF(SUM(L54)&gt;0,J54/H54,"")</f>
        <v>3.3333333333333333E-2</v>
      </c>
    </row>
    <row r="55" spans="1:289" x14ac:dyDescent="0.25">
      <c r="B55" s="887" t="s">
        <v>52</v>
      </c>
      <c r="C55" s="892">
        <f ca="1">IF(E55="","",MAX(INDIRECT(ADDRESS(ROW()-7,COLUMN())):INDIRECT(ADDRESS(ROW()-1,COLUMN())))+1)</f>
        <v>28</v>
      </c>
      <c r="D55" s="888" t="s">
        <v>801</v>
      </c>
      <c r="E55" s="883" t="s">
        <v>555</v>
      </c>
      <c r="F55" s="884">
        <v>2500</v>
      </c>
      <c r="G55" s="884">
        <v>3</v>
      </c>
      <c r="H55" s="884">
        <f t="shared" si="21"/>
        <v>7500</v>
      </c>
      <c r="I55" s="884">
        <f>ROUND(Labour_perc_roads*G55,1)</f>
        <v>0.1</v>
      </c>
      <c r="J55" s="884">
        <f t="shared" si="22"/>
        <v>250</v>
      </c>
      <c r="K55" s="884">
        <f>$M$1</f>
        <v>358.32</v>
      </c>
      <c r="L55" s="885">
        <f t="shared" si="23"/>
        <v>0.69770037954900643</v>
      </c>
      <c r="M55" s="915">
        <f>IF(SUM(L55)&gt;0,J55/H55,"")</f>
        <v>3.3333333333333333E-2</v>
      </c>
    </row>
    <row r="56" spans="1:289" ht="25" x14ac:dyDescent="0.25">
      <c r="B56" s="887" t="s">
        <v>43</v>
      </c>
      <c r="C56" s="892">
        <f ca="1">IF(E56="","",MAX(INDIRECT(ADDRESS(ROW()-7,COLUMN())):INDIRECT(ADDRESS(ROW()-1,COLUMN())))+1)</f>
        <v>29</v>
      </c>
      <c r="D56" s="888" t="s">
        <v>802</v>
      </c>
      <c r="E56" s="883" t="s">
        <v>555</v>
      </c>
      <c r="F56" s="884">
        <v>2500</v>
      </c>
      <c r="G56" s="884">
        <v>3</v>
      </c>
      <c r="H56" s="884">
        <f t="shared" si="21"/>
        <v>7500</v>
      </c>
      <c r="I56" s="884">
        <f>ROUND(Labour_perc_roads*G56,1)</f>
        <v>0.1</v>
      </c>
      <c r="J56" s="884">
        <f t="shared" si="22"/>
        <v>250</v>
      </c>
      <c r="K56" s="884">
        <f>$M$1</f>
        <v>358.32</v>
      </c>
      <c r="L56" s="885">
        <f t="shared" si="23"/>
        <v>0.69770037954900643</v>
      </c>
      <c r="M56" s="915">
        <f>IF(SUM(L56)&gt;0,J56/H56,"")</f>
        <v>3.3333333333333333E-2</v>
      </c>
    </row>
    <row r="57" spans="1:289" x14ac:dyDescent="0.25">
      <c r="B57" s="887"/>
      <c r="C57" s="892" t="str">
        <f ca="1">IF(E57="","",MAX(INDIRECT(ADDRESS(ROW()-7,COLUMN())):INDIRECT(ADDRESS(ROW()-1,COLUMN())))+1)</f>
        <v/>
      </c>
      <c r="D57" s="888"/>
      <c r="E57" s="883"/>
      <c r="F57" s="884"/>
      <c r="G57" s="884"/>
      <c r="H57" s="884"/>
      <c r="I57" s="884"/>
      <c r="J57" s="884"/>
      <c r="K57" s="884"/>
      <c r="L57" s="885"/>
      <c r="M57" s="915"/>
    </row>
    <row r="58" spans="1:289" ht="13" x14ac:dyDescent="0.25">
      <c r="B58" s="882" t="s">
        <v>575</v>
      </c>
      <c r="C58" s="911" t="str">
        <f ca="1">IF(E58="","",MAX(INDIRECT(ADDRESS(ROW()-7,COLUMN())):INDIRECT(ADDRESS(ROW()-1,COLUMN())))+1)</f>
        <v/>
      </c>
      <c r="D58" s="881" t="s">
        <v>574</v>
      </c>
      <c r="E58" s="883"/>
      <c r="F58" s="884"/>
      <c r="G58" s="884"/>
      <c r="H58" s="884"/>
      <c r="I58" s="884"/>
      <c r="J58" s="884"/>
      <c r="K58" s="884"/>
      <c r="L58" s="885"/>
      <c r="M58" s="915"/>
    </row>
    <row r="59" spans="1:289" ht="37.5" x14ac:dyDescent="0.25">
      <c r="B59" s="882" t="s">
        <v>573</v>
      </c>
      <c r="C59" s="892" t="str">
        <f ca="1">IF(E59="","",MAX(INDIRECT(ADDRESS(ROW()-7,COLUMN())):INDIRECT(ADDRESS(ROW()-1,COLUMN())))+1)</f>
        <v/>
      </c>
      <c r="D59" s="888" t="s">
        <v>572</v>
      </c>
      <c r="E59" s="883"/>
      <c r="F59" s="884"/>
      <c r="G59" s="884"/>
      <c r="H59" s="884"/>
      <c r="I59" s="884"/>
      <c r="J59" s="884"/>
      <c r="K59" s="884"/>
      <c r="L59" s="885"/>
      <c r="M59" s="915"/>
    </row>
    <row r="60" spans="1:289" x14ac:dyDescent="0.25">
      <c r="B60" s="887" t="s">
        <v>45</v>
      </c>
      <c r="C60" s="892">
        <f ca="1">IF(E60="","",MAX(INDIRECT(ADDRESS(ROW()-7,COLUMN())):INDIRECT(ADDRESS(ROW()-1,COLUMN())))+1)</f>
        <v>30</v>
      </c>
      <c r="D60" s="888" t="s">
        <v>806</v>
      </c>
      <c r="E60" s="883" t="s">
        <v>799</v>
      </c>
      <c r="F60" s="884">
        <v>6600</v>
      </c>
      <c r="G60" s="884">
        <v>280</v>
      </c>
      <c r="H60" s="884">
        <f t="shared" ref="H60:H62" si="24">F60*G60</f>
        <v>1848000</v>
      </c>
      <c r="I60" s="884">
        <f>ROUND(Labour_perc_roads*G60,0)</f>
        <v>8</v>
      </c>
      <c r="J60" s="884">
        <f t="shared" ref="J60:J62" si="25">I60*F60</f>
        <v>52800</v>
      </c>
      <c r="K60" s="884">
        <f>$M$1</f>
        <v>358.32</v>
      </c>
      <c r="L60" s="885">
        <f t="shared" ref="L60:L62" si="26">J60/K60</f>
        <v>147.35432016075018</v>
      </c>
      <c r="M60" s="915">
        <f t="shared" ref="M60:M62" si="27">IF(SUM(L60)&gt;0,J60/H60,"")</f>
        <v>2.8571428571428571E-2</v>
      </c>
    </row>
    <row r="61" spans="1:289" x14ac:dyDescent="0.25">
      <c r="B61" s="887" t="s">
        <v>237</v>
      </c>
      <c r="C61" s="892">
        <f ca="1">IF(E61="","",MAX(INDIRECT(ADDRESS(ROW()-7,COLUMN())):INDIRECT(ADDRESS(ROW()-1,COLUMN())))+1)</f>
        <v>31</v>
      </c>
      <c r="D61" s="888" t="s">
        <v>2197</v>
      </c>
      <c r="E61" s="883" t="s">
        <v>799</v>
      </c>
      <c r="F61" s="884">
        <v>7100</v>
      </c>
      <c r="G61" s="884">
        <v>130</v>
      </c>
      <c r="H61" s="884">
        <f t="shared" si="24"/>
        <v>923000</v>
      </c>
      <c r="I61" s="884">
        <f>ROUND(Labour_perc_roads*G61,0)</f>
        <v>4</v>
      </c>
      <c r="J61" s="884">
        <f t="shared" si="25"/>
        <v>28400</v>
      </c>
      <c r="K61" s="884">
        <f>$M$1</f>
        <v>358.32</v>
      </c>
      <c r="L61" s="885">
        <f t="shared" si="26"/>
        <v>79.258763116767142</v>
      </c>
      <c r="M61" s="915">
        <f t="shared" si="27"/>
        <v>3.0769230769230771E-2</v>
      </c>
    </row>
    <row r="62" spans="1:289" x14ac:dyDescent="0.25">
      <c r="B62" s="887" t="s">
        <v>236</v>
      </c>
      <c r="C62" s="892">
        <f ca="1">IF(E62="","",MAX(INDIRECT(ADDRESS(ROW()-7,COLUMN())):INDIRECT(ADDRESS(ROW()-1,COLUMN())))+1)</f>
        <v>32</v>
      </c>
      <c r="D62" s="888" t="s">
        <v>2196</v>
      </c>
      <c r="E62" s="883" t="s">
        <v>799</v>
      </c>
      <c r="F62" s="884">
        <v>3800</v>
      </c>
      <c r="G62" s="884">
        <v>180</v>
      </c>
      <c r="H62" s="884">
        <f t="shared" si="24"/>
        <v>684000</v>
      </c>
      <c r="I62" s="884">
        <f>ROUND(Labour_perc_roads*G62,0)</f>
        <v>5</v>
      </c>
      <c r="J62" s="884">
        <f t="shared" si="25"/>
        <v>19000</v>
      </c>
      <c r="K62" s="884">
        <f>$M$1</f>
        <v>358.32</v>
      </c>
      <c r="L62" s="885">
        <f t="shared" si="26"/>
        <v>53.025228845724492</v>
      </c>
      <c r="M62" s="915">
        <f t="shared" si="27"/>
        <v>2.7777777777777776E-2</v>
      </c>
    </row>
    <row r="63" spans="1:289" ht="13" x14ac:dyDescent="0.25">
      <c r="B63" s="882" t="s">
        <v>571</v>
      </c>
      <c r="C63" s="911" t="str">
        <f ca="1">IF(E63="","",MAX(INDIRECT(ADDRESS(ROW()-7,COLUMN())):INDIRECT(ADDRESS(ROW()-1,COLUMN())))+1)</f>
        <v/>
      </c>
      <c r="D63" s="881" t="s">
        <v>570</v>
      </c>
      <c r="E63" s="883"/>
      <c r="F63" s="884"/>
      <c r="G63" s="884"/>
      <c r="H63" s="884"/>
      <c r="I63" s="884"/>
      <c r="J63" s="884"/>
      <c r="K63" s="884"/>
      <c r="L63" s="885"/>
      <c r="M63" s="915"/>
    </row>
    <row r="64" spans="1:289" x14ac:dyDescent="0.25">
      <c r="B64" s="887" t="s">
        <v>569</v>
      </c>
      <c r="C64" s="892">
        <f ca="1">IF(E64="","",MAX(INDIRECT(ADDRESS(ROW()-7,COLUMN())):INDIRECT(ADDRESS(ROW()-1,COLUMN())))+1)</f>
        <v>33</v>
      </c>
      <c r="D64" s="888" t="s">
        <v>245</v>
      </c>
      <c r="E64" s="883" t="s">
        <v>7</v>
      </c>
      <c r="F64" s="884">
        <v>220</v>
      </c>
      <c r="G64" s="884">
        <v>2300</v>
      </c>
      <c r="H64" s="884">
        <f t="shared" ref="H64:H65" si="28">F64*G64</f>
        <v>506000</v>
      </c>
      <c r="I64" s="884">
        <f>ROUND(Labour_perc_roads*G64,0)</f>
        <v>67</v>
      </c>
      <c r="J64" s="884">
        <f t="shared" ref="J64:J65" si="29">I64*F64</f>
        <v>14740</v>
      </c>
      <c r="K64" s="884">
        <f>$M$1</f>
        <v>358.32</v>
      </c>
      <c r="L64" s="885">
        <f t="shared" ref="L64:L65" si="30">J64/K64</f>
        <v>41.136414378209423</v>
      </c>
      <c r="M64" s="915">
        <f>IF(SUM(L64)&gt;0,J64/H64,"")</f>
        <v>2.9130434782608697E-2</v>
      </c>
    </row>
    <row r="65" spans="2:13" x14ac:dyDescent="0.25">
      <c r="B65" s="887" t="s">
        <v>568</v>
      </c>
      <c r="C65" s="892">
        <f ca="1">IF(E65="","",MAX(INDIRECT(ADDRESS(ROW()-7,COLUMN())):INDIRECT(ADDRESS(ROW()-1,COLUMN())))+1)</f>
        <v>34</v>
      </c>
      <c r="D65" s="888" t="s">
        <v>567</v>
      </c>
      <c r="E65" s="883" t="s">
        <v>7</v>
      </c>
      <c r="F65" s="884">
        <v>220</v>
      </c>
      <c r="G65" s="884">
        <v>2300</v>
      </c>
      <c r="H65" s="884">
        <f t="shared" si="28"/>
        <v>506000</v>
      </c>
      <c r="I65" s="884">
        <f>ROUND(Labour_perc_roads*G65,0)</f>
        <v>67</v>
      </c>
      <c r="J65" s="884">
        <f t="shared" si="29"/>
        <v>14740</v>
      </c>
      <c r="K65" s="884">
        <f>$M$1</f>
        <v>358.32</v>
      </c>
      <c r="L65" s="885">
        <f t="shared" si="30"/>
        <v>41.136414378209423</v>
      </c>
      <c r="M65" s="915">
        <f>IF(SUM(L65)&gt;0,J65/H65,"")</f>
        <v>2.9130434782608697E-2</v>
      </c>
    </row>
    <row r="66" spans="2:13" x14ac:dyDescent="0.25">
      <c r="B66" s="887"/>
      <c r="C66" s="892" t="str">
        <f ca="1">IF(E66="","",MAX(INDIRECT(ADDRESS(ROW()-7,COLUMN())):INDIRECT(ADDRESS(ROW()-1,COLUMN())))+1)</f>
        <v/>
      </c>
      <c r="D66" s="888"/>
      <c r="E66" s="883"/>
      <c r="F66" s="884"/>
      <c r="G66" s="884"/>
      <c r="H66" s="884"/>
      <c r="I66" s="884"/>
      <c r="J66" s="884"/>
      <c r="K66" s="884"/>
      <c r="L66" s="885"/>
      <c r="M66" s="915"/>
    </row>
    <row r="67" spans="2:13" ht="13" x14ac:dyDescent="0.25">
      <c r="B67" s="882" t="s">
        <v>195</v>
      </c>
      <c r="C67" s="911" t="str">
        <f ca="1">IF(E67="","",MAX(INDIRECT(ADDRESS(ROW()-7,COLUMN())):INDIRECT(ADDRESS(ROW()-1,COLUMN())))+1)</f>
        <v/>
      </c>
      <c r="D67" s="881" t="s">
        <v>196</v>
      </c>
      <c r="E67" s="883"/>
      <c r="F67" s="884"/>
      <c r="G67" s="884"/>
      <c r="H67" s="884"/>
      <c r="I67" s="884"/>
      <c r="J67" s="884"/>
      <c r="K67" s="884"/>
      <c r="L67" s="885"/>
      <c r="M67" s="915"/>
    </row>
    <row r="68" spans="2:13" ht="26" x14ac:dyDescent="0.25">
      <c r="B68" s="882" t="s">
        <v>1915</v>
      </c>
      <c r="C68" s="911" t="str">
        <f ca="1">IF(E68="","",MAX(INDIRECT(ADDRESS(ROW()-7,COLUMN())):INDIRECT(ADDRESS(ROW()-1,COLUMN())))+1)</f>
        <v/>
      </c>
      <c r="D68" s="881" t="s">
        <v>1687</v>
      </c>
      <c r="E68" s="883"/>
      <c r="F68" s="884"/>
      <c r="G68" s="884"/>
      <c r="H68" s="884"/>
      <c r="I68" s="884"/>
      <c r="J68" s="884"/>
      <c r="K68" s="884"/>
      <c r="L68" s="885"/>
      <c r="M68" s="915"/>
    </row>
    <row r="69" spans="2:13" x14ac:dyDescent="0.25">
      <c r="B69" s="887" t="s">
        <v>43</v>
      </c>
      <c r="C69" s="892">
        <f ca="1">IF(E69="","",MAX(INDIRECT(ADDRESS(ROW()-7,COLUMN())):INDIRECT(ADDRESS(ROW()-1,COLUMN())))+1)</f>
        <v>35</v>
      </c>
      <c r="D69" s="888" t="s">
        <v>202</v>
      </c>
      <c r="E69" s="883" t="s">
        <v>799</v>
      </c>
      <c r="F69" s="884">
        <v>100</v>
      </c>
      <c r="G69" s="884">
        <v>130</v>
      </c>
      <c r="H69" s="884">
        <f t="shared" ref="H69:H71" si="31">F69*G69</f>
        <v>13000</v>
      </c>
      <c r="I69" s="884">
        <f>ROUND(Labour_perc_roads*G69,1)</f>
        <v>3.8</v>
      </c>
      <c r="J69" s="884">
        <f t="shared" ref="J69:J71" si="32">I69*F69</f>
        <v>380</v>
      </c>
      <c r="K69" s="884">
        <f>$M$1</f>
        <v>358.32</v>
      </c>
      <c r="L69" s="885">
        <f t="shared" ref="L69:L71" si="33">J69/K69</f>
        <v>1.0605045769144898</v>
      </c>
      <c r="M69" s="915">
        <f>IF(SUM(L69)&gt;0,J69/H69,"")</f>
        <v>2.923076923076923E-2</v>
      </c>
    </row>
    <row r="70" spans="2:13" x14ac:dyDescent="0.25">
      <c r="B70" s="887" t="s">
        <v>1916</v>
      </c>
      <c r="C70" s="892">
        <f ca="1">IF(E70="","",MAX(INDIRECT(ADDRESS(ROW()-7,COLUMN())):INDIRECT(ADDRESS(ROW()-1,COLUMN())))+1)</f>
        <v>36</v>
      </c>
      <c r="D70" s="888" t="s">
        <v>203</v>
      </c>
      <c r="E70" s="883" t="s">
        <v>799</v>
      </c>
      <c r="F70" s="884">
        <v>900</v>
      </c>
      <c r="G70" s="884">
        <v>40</v>
      </c>
      <c r="H70" s="884">
        <f t="shared" si="31"/>
        <v>36000</v>
      </c>
      <c r="I70" s="884">
        <f>ROUND(Labour_perc_roads*G70,1)</f>
        <v>1.2</v>
      </c>
      <c r="J70" s="884">
        <f t="shared" si="32"/>
        <v>1080</v>
      </c>
      <c r="K70" s="884">
        <f>$M$1</f>
        <v>358.32</v>
      </c>
      <c r="L70" s="885">
        <f t="shared" si="33"/>
        <v>3.014065639651708</v>
      </c>
      <c r="M70" s="915">
        <f>IF(SUM(L70)&gt;0,J70/H70,"")</f>
        <v>0.03</v>
      </c>
    </row>
    <row r="71" spans="2:13" ht="25" x14ac:dyDescent="0.25">
      <c r="B71" s="887" t="s">
        <v>2047</v>
      </c>
      <c r="C71" s="892">
        <f ca="1">IF(E71="","",MAX(INDIRECT(ADDRESS(ROW()-7,COLUMN())):INDIRECT(ADDRESS(ROW()-1,COLUMN())))+1)</f>
        <v>37</v>
      </c>
      <c r="D71" s="888" t="s">
        <v>561</v>
      </c>
      <c r="E71" s="883" t="s">
        <v>799</v>
      </c>
      <c r="F71" s="884">
        <v>900</v>
      </c>
      <c r="G71" s="884">
        <v>90</v>
      </c>
      <c r="H71" s="884">
        <f t="shared" si="31"/>
        <v>81000</v>
      </c>
      <c r="I71" s="884">
        <f>ROUND(Labour_perc_roads*G71,1)</f>
        <v>2.6</v>
      </c>
      <c r="J71" s="884">
        <f t="shared" si="32"/>
        <v>2340</v>
      </c>
      <c r="K71" s="884">
        <f>$M$1</f>
        <v>358.32</v>
      </c>
      <c r="L71" s="885">
        <f t="shared" si="33"/>
        <v>6.530475552578701</v>
      </c>
      <c r="M71" s="915">
        <f>IF(SUM(L71)&gt;0,J71/H71,"")</f>
        <v>2.8888888888888888E-2</v>
      </c>
    </row>
    <row r="72" spans="2:13" ht="13" x14ac:dyDescent="0.25">
      <c r="B72" s="882" t="s">
        <v>204</v>
      </c>
      <c r="C72" s="911" t="str">
        <f ca="1">IF(E72="","",MAX(INDIRECT(ADDRESS(ROW()-7,COLUMN())):INDIRECT(ADDRESS(ROW()-1,COLUMN())))+1)</f>
        <v/>
      </c>
      <c r="D72" s="881" t="s">
        <v>205</v>
      </c>
      <c r="E72" s="883"/>
      <c r="F72" s="884"/>
      <c r="G72" s="884"/>
      <c r="H72" s="884"/>
      <c r="I72" s="884"/>
      <c r="J72" s="884"/>
      <c r="K72" s="884"/>
      <c r="L72" s="885"/>
      <c r="M72" s="915"/>
    </row>
    <row r="73" spans="2:13" x14ac:dyDescent="0.25">
      <c r="B73" s="887" t="s">
        <v>206</v>
      </c>
      <c r="C73" s="892" t="str">
        <f ca="1">IF(E73="","",MAX(INDIRECT(ADDRESS(ROW()-7,COLUMN())):INDIRECT(ADDRESS(ROW()-1,COLUMN())))+1)</f>
        <v/>
      </c>
      <c r="D73" s="888" t="s">
        <v>207</v>
      </c>
      <c r="E73" s="883"/>
      <c r="F73" s="884"/>
      <c r="G73" s="884"/>
      <c r="H73" s="884"/>
      <c r="I73" s="884"/>
      <c r="J73" s="884"/>
      <c r="K73" s="884"/>
      <c r="L73" s="885"/>
      <c r="M73" s="915"/>
    </row>
    <row r="74" spans="2:13" x14ac:dyDescent="0.25">
      <c r="B74" s="887" t="s">
        <v>39</v>
      </c>
      <c r="C74" s="892">
        <f ca="1">IF(E74="","",MAX(INDIRECT(ADDRESS(ROW()-7,COLUMN())):INDIRECT(ADDRESS(ROW()-1,COLUMN())))+1)</f>
        <v>38</v>
      </c>
      <c r="D74" s="888" t="s">
        <v>208</v>
      </c>
      <c r="E74" s="883" t="s">
        <v>799</v>
      </c>
      <c r="F74" s="884">
        <v>9000</v>
      </c>
      <c r="G74" s="884">
        <v>35</v>
      </c>
      <c r="H74" s="884">
        <f t="shared" ref="H74" si="34">F74*G74</f>
        <v>315000</v>
      </c>
      <c r="I74" s="884">
        <f>ROUND(Labour_perc_roads*G74,1)</f>
        <v>1</v>
      </c>
      <c r="J74" s="884">
        <f t="shared" ref="J74" si="35">I74*F74</f>
        <v>9000</v>
      </c>
      <c r="K74" s="884">
        <f>$M$1</f>
        <v>358.32</v>
      </c>
      <c r="L74" s="885">
        <f t="shared" ref="L74" si="36">J74/K74</f>
        <v>25.117213663764232</v>
      </c>
      <c r="M74" s="915">
        <f>IF(SUM(L74)&gt;0,J74/H74,"")</f>
        <v>2.8571428571428571E-2</v>
      </c>
    </row>
    <row r="75" spans="2:13" ht="13" x14ac:dyDescent="0.25">
      <c r="B75" s="882" t="s">
        <v>209</v>
      </c>
      <c r="C75" s="911" t="str">
        <f ca="1">IF(E75="","",MAX(INDIRECT(ADDRESS(ROW()-7,COLUMN())):INDIRECT(ADDRESS(ROW()-1,COLUMN())))+1)</f>
        <v/>
      </c>
      <c r="D75" s="881" t="s">
        <v>210</v>
      </c>
      <c r="E75" s="883"/>
      <c r="F75" s="884"/>
      <c r="G75" s="884"/>
      <c r="H75" s="884"/>
      <c r="I75" s="884"/>
      <c r="J75" s="884"/>
      <c r="K75" s="884"/>
      <c r="L75" s="885"/>
      <c r="M75" s="915"/>
    </row>
    <row r="76" spans="2:13" x14ac:dyDescent="0.25">
      <c r="B76" s="887" t="s">
        <v>213</v>
      </c>
      <c r="C76" s="892">
        <f ca="1">IF(E76="","",MAX(INDIRECT(ADDRESS(ROW()-7,COLUMN())):INDIRECT(ADDRESS(ROW()-1,COLUMN())))+1)</f>
        <v>39</v>
      </c>
      <c r="D76" s="888" t="s">
        <v>214</v>
      </c>
      <c r="E76" s="883" t="s">
        <v>799</v>
      </c>
      <c r="F76" s="884">
        <v>2000</v>
      </c>
      <c r="G76" s="884">
        <v>30</v>
      </c>
      <c r="H76" s="884">
        <f t="shared" ref="H76:H78" si="37">F76*G76</f>
        <v>60000</v>
      </c>
      <c r="I76" s="884">
        <f>ROUND(Labour_perc_roads*G76,1)</f>
        <v>0.9</v>
      </c>
      <c r="J76" s="884">
        <f t="shared" ref="J76:J78" si="38">I76*F76</f>
        <v>1800</v>
      </c>
      <c r="K76" s="884">
        <f>$M$1</f>
        <v>358.32</v>
      </c>
      <c r="L76" s="885">
        <f t="shared" ref="L76:L78" si="39">J76/K76</f>
        <v>5.023442732752847</v>
      </c>
      <c r="M76" s="915">
        <f>IF(SUM(L76)&gt;0,J76/H76,"")</f>
        <v>0.03</v>
      </c>
    </row>
    <row r="77" spans="2:13" ht="25" x14ac:dyDescent="0.25">
      <c r="B77" s="887" t="s">
        <v>2047</v>
      </c>
      <c r="C77" s="892">
        <f ca="1">IF(E77="","",MAX(INDIRECT(ADDRESS(ROW()-7,COLUMN())):INDIRECT(ADDRESS(ROW()-1,COLUMN())))+1)</f>
        <v>40</v>
      </c>
      <c r="D77" s="888" t="s">
        <v>561</v>
      </c>
      <c r="E77" s="883" t="s">
        <v>799</v>
      </c>
      <c r="F77" s="884">
        <v>2000</v>
      </c>
      <c r="G77" s="884">
        <v>90</v>
      </c>
      <c r="H77" s="884">
        <f t="shared" si="37"/>
        <v>180000</v>
      </c>
      <c r="I77" s="884">
        <f>ROUND(Labour_perc_roads*G77,1)</f>
        <v>2.6</v>
      </c>
      <c r="J77" s="884">
        <f t="shared" si="38"/>
        <v>5200</v>
      </c>
      <c r="K77" s="884">
        <f>$M$1</f>
        <v>358.32</v>
      </c>
      <c r="L77" s="885">
        <f t="shared" si="39"/>
        <v>14.512167894619335</v>
      </c>
      <c r="M77" s="915">
        <f>IF(SUM(L77)&gt;0,J77/H77,"")</f>
        <v>2.8888888888888888E-2</v>
      </c>
    </row>
    <row r="78" spans="2:13" ht="25" x14ac:dyDescent="0.25">
      <c r="B78" s="887" t="s">
        <v>215</v>
      </c>
      <c r="C78" s="892">
        <f ca="1">IF(E78="","",MAX(INDIRECT(ADDRESS(ROW()-7,COLUMN())):INDIRECT(ADDRESS(ROW()-1,COLUMN())))+1)</f>
        <v>41</v>
      </c>
      <c r="D78" s="888" t="s">
        <v>216</v>
      </c>
      <c r="E78" s="883" t="s">
        <v>799</v>
      </c>
      <c r="F78" s="884">
        <v>7000</v>
      </c>
      <c r="G78" s="884">
        <v>45</v>
      </c>
      <c r="H78" s="884">
        <f t="shared" si="37"/>
        <v>315000</v>
      </c>
      <c r="I78" s="884">
        <f>ROUND(Labour_perc_roads*G78,1)</f>
        <v>1.3</v>
      </c>
      <c r="J78" s="884">
        <f t="shared" si="38"/>
        <v>9100</v>
      </c>
      <c r="K78" s="884">
        <f>$M$1</f>
        <v>358.32</v>
      </c>
      <c r="L78" s="885">
        <f t="shared" si="39"/>
        <v>25.396293815583835</v>
      </c>
      <c r="M78" s="915">
        <f>IF(SUM(L78)&gt;0,J78/H78,"")</f>
        <v>2.8888888888888888E-2</v>
      </c>
    </row>
    <row r="79" spans="2:13" x14ac:dyDescent="0.25">
      <c r="B79" s="887"/>
      <c r="C79" s="892" t="str">
        <f ca="1">IF(E79="","",MAX(INDIRECT(ADDRESS(ROW()-7,COLUMN())):INDIRECT(ADDRESS(ROW()-1,COLUMN())))+1)</f>
        <v/>
      </c>
      <c r="D79" s="888"/>
      <c r="E79" s="883"/>
      <c r="F79" s="884"/>
      <c r="G79" s="884"/>
      <c r="H79" s="884"/>
      <c r="I79" s="884"/>
      <c r="J79" s="884"/>
      <c r="K79" s="884"/>
      <c r="L79" s="885"/>
      <c r="M79" s="915"/>
    </row>
    <row r="80" spans="2:13" ht="13" x14ac:dyDescent="0.25">
      <c r="B80" s="882" t="s">
        <v>219</v>
      </c>
      <c r="C80" s="911" t="str">
        <f ca="1">IF(E80="","",MAX(INDIRECT(ADDRESS(ROW()-7,COLUMN())):INDIRECT(ADDRESS(ROW()-1,COLUMN())))+1)</f>
        <v/>
      </c>
      <c r="D80" s="881" t="s">
        <v>220</v>
      </c>
      <c r="E80" s="883"/>
      <c r="F80" s="884"/>
      <c r="G80" s="884"/>
      <c r="H80" s="884"/>
      <c r="I80" s="884"/>
      <c r="J80" s="884"/>
      <c r="K80" s="884"/>
      <c r="L80" s="885"/>
      <c r="M80" s="915"/>
    </row>
    <row r="81" spans="2:13" ht="13" x14ac:dyDescent="0.25">
      <c r="B81" s="882" t="s">
        <v>221</v>
      </c>
      <c r="C81" s="911" t="str">
        <f ca="1">IF(E81="","",MAX(INDIRECT(ADDRESS(ROW()-7,COLUMN())):INDIRECT(ADDRESS(ROW()-1,COLUMN())))+1)</f>
        <v/>
      </c>
      <c r="D81" s="881" t="s">
        <v>222</v>
      </c>
      <c r="E81" s="883"/>
      <c r="F81" s="884"/>
      <c r="G81" s="884"/>
      <c r="H81" s="884"/>
      <c r="I81" s="884"/>
      <c r="J81" s="884"/>
      <c r="K81" s="884"/>
      <c r="L81" s="885"/>
      <c r="M81" s="915"/>
    </row>
    <row r="82" spans="2:13" ht="25" x14ac:dyDescent="0.25">
      <c r="B82" s="887" t="s">
        <v>1909</v>
      </c>
      <c r="C82" s="892" t="str">
        <f ca="1">IF(E82="","",MAX(INDIRECT(ADDRESS(ROW()-7,COLUMN())):INDIRECT(ADDRESS(ROW()-1,COLUMN())))+1)</f>
        <v/>
      </c>
      <c r="D82" s="888" t="s">
        <v>224</v>
      </c>
      <c r="E82" s="883"/>
      <c r="F82" s="884"/>
      <c r="G82" s="884"/>
      <c r="H82" s="884"/>
      <c r="I82" s="884"/>
      <c r="J82" s="884"/>
      <c r="K82" s="884"/>
      <c r="L82" s="885"/>
      <c r="M82" s="915"/>
    </row>
    <row r="83" spans="2:13" x14ac:dyDescent="0.25">
      <c r="B83" s="887" t="s">
        <v>39</v>
      </c>
      <c r="C83" s="892">
        <f ca="1">IF(E83="","",MAX(INDIRECT(ADDRESS(ROW()-7,COLUMN())):INDIRECT(ADDRESS(ROW()-1,COLUMN())))+1)</f>
        <v>42</v>
      </c>
      <c r="D83" s="888" t="s">
        <v>226</v>
      </c>
      <c r="E83" s="883" t="s">
        <v>799</v>
      </c>
      <c r="F83" s="884">
        <v>15000</v>
      </c>
      <c r="G83" s="884">
        <v>45</v>
      </c>
      <c r="H83" s="884">
        <f t="shared" ref="H83" si="40">F83*G83</f>
        <v>675000</v>
      </c>
      <c r="I83" s="884">
        <f>ROUND(Labour_perc_roads*G83,1)</f>
        <v>1.3</v>
      </c>
      <c r="J83" s="884">
        <f t="shared" ref="J83" si="41">I83*F83</f>
        <v>19500</v>
      </c>
      <c r="K83" s="884">
        <f>$M$1</f>
        <v>358.32</v>
      </c>
      <c r="L83" s="885">
        <f t="shared" ref="L83" si="42">J83/K83</f>
        <v>54.420629604822508</v>
      </c>
      <c r="M83" s="915">
        <f>IF(SUM(L83)&gt;0,J83/H83,"")</f>
        <v>2.8888888888888888E-2</v>
      </c>
    </row>
    <row r="84" spans="2:13" ht="26" x14ac:dyDescent="0.25">
      <c r="B84" s="882" t="s">
        <v>228</v>
      </c>
      <c r="C84" s="911" t="str">
        <f ca="1">IF(E84="","",MAX(INDIRECT(ADDRESS(ROW()-7,COLUMN())):INDIRECT(ADDRESS(ROW()-1,COLUMN())))+1)</f>
        <v/>
      </c>
      <c r="D84" s="881" t="s">
        <v>229</v>
      </c>
      <c r="E84" s="883"/>
      <c r="F84" s="884"/>
      <c r="G84" s="884"/>
      <c r="H84" s="884"/>
      <c r="I84" s="884"/>
      <c r="J84" s="884"/>
      <c r="K84" s="884"/>
      <c r="L84" s="885"/>
      <c r="M84" s="915"/>
    </row>
    <row r="85" spans="2:13" x14ac:dyDescent="0.25">
      <c r="B85" s="887" t="s">
        <v>230</v>
      </c>
      <c r="C85" s="892">
        <f ca="1">IF(E85="","",MAX(INDIRECT(ADDRESS(ROW()-7,COLUMN())):INDIRECT(ADDRESS(ROW()-1,COLUMN())))+1)</f>
        <v>43</v>
      </c>
      <c r="D85" s="888" t="s">
        <v>231</v>
      </c>
      <c r="E85" s="883" t="s">
        <v>555</v>
      </c>
      <c r="F85" s="884">
        <v>12000</v>
      </c>
      <c r="G85" s="884">
        <v>3</v>
      </c>
      <c r="H85" s="884">
        <f t="shared" ref="H85" si="43">F85*G85</f>
        <v>36000</v>
      </c>
      <c r="I85" s="884">
        <f>ROUND(Labour_perc_roads*G85,1)</f>
        <v>0.1</v>
      </c>
      <c r="J85" s="884">
        <f t="shared" ref="J85" si="44">I85*F85</f>
        <v>1200</v>
      </c>
      <c r="K85" s="884">
        <f>$M$1</f>
        <v>358.32</v>
      </c>
      <c r="L85" s="885">
        <f t="shared" ref="L85" si="45">J85/K85</f>
        <v>3.3489618218352311</v>
      </c>
      <c r="M85" s="915">
        <f>IF(SUM(L85)&gt;0,J85/H85,"")</f>
        <v>3.3333333333333333E-2</v>
      </c>
    </row>
    <row r="86" spans="2:13" x14ac:dyDescent="0.25">
      <c r="B86" s="887"/>
      <c r="C86" s="892" t="str">
        <f ca="1">IF(E86="","",MAX(INDIRECT(ADDRESS(ROW()-7,COLUMN())):INDIRECT(ADDRESS(ROW()-1,COLUMN())))+1)</f>
        <v/>
      </c>
      <c r="D86" s="888"/>
      <c r="E86" s="883"/>
      <c r="F86" s="884"/>
      <c r="G86" s="884"/>
      <c r="H86" s="884"/>
      <c r="I86" s="884"/>
      <c r="J86" s="884"/>
      <c r="K86" s="884"/>
      <c r="L86" s="885"/>
      <c r="M86" s="915"/>
    </row>
    <row r="87" spans="2:13" ht="13" x14ac:dyDescent="0.25">
      <c r="B87" s="882" t="s">
        <v>255</v>
      </c>
      <c r="C87" s="911" t="str">
        <f ca="1">IF(E87="","",MAX(INDIRECT(ADDRESS(ROW()-7,COLUMN())):INDIRECT(ADDRESS(ROW()-1,COLUMN())))+1)</f>
        <v/>
      </c>
      <c r="D87" s="881" t="s">
        <v>256</v>
      </c>
      <c r="E87" s="883"/>
      <c r="F87" s="884"/>
      <c r="G87" s="884"/>
      <c r="H87" s="884"/>
      <c r="I87" s="884"/>
      <c r="J87" s="884"/>
      <c r="K87" s="884"/>
      <c r="L87" s="885"/>
      <c r="M87" s="915"/>
    </row>
    <row r="88" spans="2:13" ht="39" x14ac:dyDescent="0.25">
      <c r="B88" s="882" t="s">
        <v>265</v>
      </c>
      <c r="C88" s="911">
        <f ca="1">IF(E88="","",MAX(INDIRECT(ADDRESS(ROW()-7,COLUMN())):INDIRECT(ADDRESS(ROW()-1,COLUMN())))+1)</f>
        <v>44</v>
      </c>
      <c r="D88" s="881" t="s">
        <v>266</v>
      </c>
      <c r="E88" s="883" t="s">
        <v>454</v>
      </c>
      <c r="F88" s="884">
        <v>500</v>
      </c>
      <c r="G88" s="884">
        <v>5</v>
      </c>
      <c r="H88" s="884">
        <f t="shared" ref="H88" si="46">F88*G88</f>
        <v>2500</v>
      </c>
      <c r="I88" s="884">
        <f>ROUND(12%*G88,2)</f>
        <v>0.6</v>
      </c>
      <c r="J88" s="884">
        <f t="shared" ref="J88" si="47">I88*F88</f>
        <v>300</v>
      </c>
      <c r="K88" s="884">
        <f>$M$1</f>
        <v>358.32</v>
      </c>
      <c r="L88" s="885">
        <f t="shared" ref="L88" si="48">J88/K88</f>
        <v>0.83724045545880776</v>
      </c>
      <c r="M88" s="915">
        <f>IF(SUM(L88)&gt;0,J88/H88,"")</f>
        <v>0.12</v>
      </c>
    </row>
    <row r="89" spans="2:13" x14ac:dyDescent="0.25">
      <c r="B89" s="887"/>
      <c r="C89" s="892" t="str">
        <f ca="1">IF(E89="","",MAX(INDIRECT(ADDRESS(ROW()-7,COLUMN())):INDIRECT(ADDRESS(ROW()-1,COLUMN())))+1)</f>
        <v/>
      </c>
      <c r="D89" s="888"/>
      <c r="E89" s="883"/>
      <c r="F89" s="884"/>
      <c r="G89" s="884"/>
      <c r="H89" s="884"/>
      <c r="I89" s="884"/>
      <c r="J89" s="884"/>
      <c r="K89" s="884"/>
      <c r="L89" s="885"/>
      <c r="M89" s="915"/>
    </row>
    <row r="90" spans="2:13" ht="26" x14ac:dyDescent="0.25">
      <c r="B90" s="882" t="s">
        <v>780</v>
      </c>
      <c r="C90" s="911" t="str">
        <f ca="1">IF(E90="","",MAX(INDIRECT(ADDRESS(ROW()-7,COLUMN())):INDIRECT(ADDRESS(ROW()-1,COLUMN())))+1)</f>
        <v/>
      </c>
      <c r="D90" s="881" t="s">
        <v>779</v>
      </c>
      <c r="E90" s="883"/>
      <c r="F90" s="884"/>
      <c r="G90" s="884"/>
      <c r="H90" s="884"/>
      <c r="I90" s="884"/>
      <c r="J90" s="884"/>
      <c r="K90" s="884"/>
      <c r="L90" s="885"/>
      <c r="M90" s="915" t="str">
        <f>IF(SUM(L90)&gt;0,J90/H90,"")</f>
        <v/>
      </c>
    </row>
    <row r="91" spans="2:13" ht="13" x14ac:dyDescent="0.25">
      <c r="B91" s="882" t="s">
        <v>1923</v>
      </c>
      <c r="C91" s="911" t="str">
        <f ca="1">IF(E91="","",MAX(INDIRECT(ADDRESS(ROW()-7,COLUMN())):INDIRECT(ADDRESS(ROW()-1,COLUMN())))+1)</f>
        <v/>
      </c>
      <c r="D91" s="881" t="s">
        <v>1924</v>
      </c>
      <c r="E91" s="883"/>
      <c r="F91" s="884"/>
      <c r="G91" s="884"/>
      <c r="H91" s="884"/>
      <c r="I91" s="884"/>
      <c r="J91" s="884"/>
      <c r="K91" s="884"/>
      <c r="L91" s="885"/>
      <c r="M91" s="915" t="str">
        <f>IF(SUM(L91)&gt;0,J91/H91,"")</f>
        <v/>
      </c>
    </row>
    <row r="92" spans="2:13" ht="25" x14ac:dyDescent="0.25">
      <c r="B92" s="887" t="s">
        <v>1925</v>
      </c>
      <c r="C92" s="892">
        <f ca="1">IF(E92="","",MAX(INDIRECT(ADDRESS(ROW()-7,COLUMN())):INDIRECT(ADDRESS(ROW()-1,COLUMN())))+1)</f>
        <v>45</v>
      </c>
      <c r="D92" s="888" t="s">
        <v>2130</v>
      </c>
      <c r="E92" s="883" t="s">
        <v>454</v>
      </c>
      <c r="F92" s="884">
        <v>1720</v>
      </c>
      <c r="G92" s="884">
        <v>25</v>
      </c>
      <c r="H92" s="884">
        <f t="shared" si="1"/>
        <v>43000</v>
      </c>
      <c r="I92" s="884">
        <f>ROUND(Labour_perc_roads*G92,4)</f>
        <v>0.72499999999999998</v>
      </c>
      <c r="J92" s="884">
        <f t="shared" ref="J92" si="49">I92*F92</f>
        <v>1247</v>
      </c>
      <c r="K92" s="884">
        <f>$M$1</f>
        <v>358.32</v>
      </c>
      <c r="L92" s="885">
        <f t="shared" ref="L92" si="50">J92/K92</f>
        <v>3.4801294931904443</v>
      </c>
      <c r="M92" s="915">
        <f>IF(SUM(L92)&gt;0,J92/H92,"")</f>
        <v>2.9000000000000001E-2</v>
      </c>
    </row>
    <row r="93" spans="2:13" x14ac:dyDescent="0.25">
      <c r="B93" s="887"/>
      <c r="C93" s="892" t="str">
        <f ca="1">IF(E93="","",MAX(INDIRECT(ADDRESS(ROW()-7,COLUMN())):INDIRECT(ADDRESS(ROW()-1,COLUMN())))+1)</f>
        <v/>
      </c>
      <c r="D93" s="888"/>
      <c r="E93" s="883"/>
      <c r="F93" s="884"/>
      <c r="G93" s="884"/>
      <c r="H93" s="884"/>
      <c r="I93" s="884"/>
      <c r="J93" s="884"/>
      <c r="K93" s="884"/>
      <c r="L93" s="885"/>
      <c r="M93" s="915" t="str">
        <f>IF(SUM(L93)&gt;0,J93/H93,"")</f>
        <v/>
      </c>
    </row>
    <row r="94" spans="2:13" ht="13" x14ac:dyDescent="0.25">
      <c r="B94" s="882" t="s">
        <v>765</v>
      </c>
      <c r="C94" s="911" t="str">
        <f ca="1">IF(E94="","",MAX(INDIRECT(ADDRESS(ROW()-7,COLUMN())):INDIRECT(ADDRESS(ROW()-1,COLUMN())))+1)</f>
        <v/>
      </c>
      <c r="D94" s="881" t="s">
        <v>764</v>
      </c>
      <c r="E94" s="883"/>
      <c r="F94" s="884"/>
      <c r="G94" s="884"/>
      <c r="H94" s="884"/>
      <c r="I94" s="884"/>
      <c r="J94" s="884"/>
      <c r="K94" s="884"/>
      <c r="L94" s="885"/>
      <c r="M94" s="915"/>
    </row>
    <row r="95" spans="2:13" ht="13" x14ac:dyDescent="0.25">
      <c r="B95" s="882" t="s">
        <v>763</v>
      </c>
      <c r="C95" s="911" t="str">
        <f ca="1">IF(E95="","",MAX(INDIRECT(ADDRESS(ROW()-7,COLUMN())):INDIRECT(ADDRESS(ROW()-1,COLUMN())))+1)</f>
        <v/>
      </c>
      <c r="D95" s="881" t="s">
        <v>762</v>
      </c>
      <c r="E95" s="883"/>
      <c r="F95" s="884"/>
      <c r="G95" s="884"/>
      <c r="H95" s="884"/>
      <c r="I95" s="884"/>
      <c r="J95" s="884"/>
      <c r="K95" s="884"/>
      <c r="L95" s="885"/>
      <c r="M95" s="915"/>
    </row>
    <row r="96" spans="2:13" x14ac:dyDescent="0.25">
      <c r="B96" s="887" t="s">
        <v>760</v>
      </c>
      <c r="C96" s="892">
        <f ca="1">IF(E96="","",MAX(INDIRECT(ADDRESS(ROW()-7,COLUMN())):INDIRECT(ADDRESS(ROW()-1,COLUMN())))+1)</f>
        <v>46</v>
      </c>
      <c r="D96" s="888" t="s">
        <v>759</v>
      </c>
      <c r="E96" s="883" t="s">
        <v>700</v>
      </c>
      <c r="F96" s="884">
        <v>24000</v>
      </c>
      <c r="G96" s="884">
        <v>10</v>
      </c>
      <c r="H96" s="884">
        <f t="shared" ref="H96" si="51">F96*G96</f>
        <v>240000</v>
      </c>
      <c r="I96" s="884">
        <f>ROUND(30%*G96,1)</f>
        <v>3</v>
      </c>
      <c r="J96" s="884">
        <f t="shared" ref="J96" si="52">I96*F96</f>
        <v>72000</v>
      </c>
      <c r="K96" s="884">
        <f>$M$1</f>
        <v>358.32</v>
      </c>
      <c r="L96" s="885">
        <f t="shared" ref="L96" si="53">J96/K96</f>
        <v>200.93770931011386</v>
      </c>
      <c r="M96" s="915">
        <f>IF(SUM(L96)&gt;0,J96/H96,"")</f>
        <v>0.3</v>
      </c>
    </row>
    <row r="97" spans="2:13" ht="13" x14ac:dyDescent="0.25">
      <c r="B97" s="882" t="s">
        <v>758</v>
      </c>
      <c r="C97" s="911" t="str">
        <f ca="1">IF(E97="","",MAX(INDIRECT(ADDRESS(ROW()-7,COLUMN())):INDIRECT(ADDRESS(ROW()-1,COLUMN())))+1)</f>
        <v/>
      </c>
      <c r="D97" s="881" t="s">
        <v>757</v>
      </c>
      <c r="E97" s="883"/>
      <c r="F97" s="884"/>
      <c r="G97" s="884"/>
      <c r="H97" s="884"/>
      <c r="I97" s="884"/>
      <c r="J97" s="884"/>
      <c r="K97" s="884"/>
      <c r="L97" s="885"/>
      <c r="M97" s="915"/>
    </row>
    <row r="98" spans="2:13" ht="25" x14ac:dyDescent="0.25">
      <c r="B98" s="887" t="s">
        <v>756</v>
      </c>
      <c r="C98" s="892" t="str">
        <f ca="1">IF(E98="","",MAX(INDIRECT(ADDRESS(ROW()-7,COLUMN())):INDIRECT(ADDRESS(ROW()-1,COLUMN())))+1)</f>
        <v/>
      </c>
      <c r="D98" s="888" t="s">
        <v>755</v>
      </c>
      <c r="E98" s="883"/>
      <c r="F98" s="884"/>
      <c r="G98" s="884"/>
      <c r="H98" s="884"/>
      <c r="I98" s="884"/>
      <c r="J98" s="884"/>
      <c r="K98" s="884"/>
      <c r="L98" s="885"/>
      <c r="M98" s="915"/>
    </row>
    <row r="99" spans="2:13" ht="25" x14ac:dyDescent="0.25">
      <c r="B99" s="887" t="s">
        <v>39</v>
      </c>
      <c r="C99" s="892">
        <f ca="1">IF(E99="","",MAX(INDIRECT(ADDRESS(ROW()-7,COLUMN())):INDIRECT(ADDRESS(ROW()-1,COLUMN())))+1)</f>
        <v>47</v>
      </c>
      <c r="D99" s="888" t="s">
        <v>754</v>
      </c>
      <c r="E99" s="883" t="s">
        <v>577</v>
      </c>
      <c r="F99" s="884">
        <v>400</v>
      </c>
      <c r="G99" s="884">
        <v>50</v>
      </c>
      <c r="H99" s="884">
        <f t="shared" ref="H99" si="54">F99*G99</f>
        <v>20000</v>
      </c>
      <c r="I99" s="884">
        <f>ROUND(20%*G99,1)</f>
        <v>10</v>
      </c>
      <c r="J99" s="884">
        <f t="shared" ref="J99" si="55">I99*F99</f>
        <v>4000</v>
      </c>
      <c r="K99" s="884">
        <f>$M$1</f>
        <v>358.32</v>
      </c>
      <c r="L99" s="885">
        <f t="shared" ref="L99" si="56">J99/K99</f>
        <v>11.163206072784103</v>
      </c>
      <c r="M99" s="915">
        <f>IF(SUM(L99)&gt;0,J99/H99,"")</f>
        <v>0.2</v>
      </c>
    </row>
    <row r="100" spans="2:13" ht="25" x14ac:dyDescent="0.25">
      <c r="B100" s="887" t="s">
        <v>753</v>
      </c>
      <c r="C100" s="892" t="str">
        <f ca="1">IF(E100="","",MAX(INDIRECT(ADDRESS(ROW()-7,COLUMN())):INDIRECT(ADDRESS(ROW()-1,COLUMN())))+1)</f>
        <v/>
      </c>
      <c r="D100" s="888" t="s">
        <v>752</v>
      </c>
      <c r="E100" s="883"/>
      <c r="F100" s="884"/>
      <c r="G100" s="884"/>
      <c r="H100" s="884"/>
      <c r="I100" s="884"/>
      <c r="J100" s="884"/>
      <c r="K100" s="884"/>
      <c r="L100" s="885"/>
      <c r="M100" s="915"/>
    </row>
    <row r="101" spans="2:13" x14ac:dyDescent="0.25">
      <c r="B101" s="887" t="s">
        <v>39</v>
      </c>
      <c r="C101" s="892">
        <f ca="1">IF(E101="","",MAX(INDIRECT(ADDRESS(ROW()-7,COLUMN())):INDIRECT(ADDRESS(ROW()-1,COLUMN())))+1)</f>
        <v>48</v>
      </c>
      <c r="D101" s="888" t="s">
        <v>751</v>
      </c>
      <c r="E101" s="883" t="s">
        <v>7</v>
      </c>
      <c r="F101" s="884">
        <v>0.5</v>
      </c>
      <c r="G101" s="884">
        <v>5700</v>
      </c>
      <c r="H101" s="884">
        <f t="shared" ref="H101:H102" si="57">F101*G101</f>
        <v>2850</v>
      </c>
      <c r="I101" s="884">
        <f>ROUND(20%*G101,1)</f>
        <v>1140</v>
      </c>
      <c r="J101" s="884">
        <f t="shared" ref="J101:J102" si="58">I101*F101</f>
        <v>570</v>
      </c>
      <c r="K101" s="884">
        <f>$M$1</f>
        <v>358.32</v>
      </c>
      <c r="L101" s="885">
        <f t="shared" ref="L101:L102" si="59">J101/K101</f>
        <v>1.5907568653717348</v>
      </c>
      <c r="M101" s="915">
        <f>IF(SUM(L101)&gt;0,J101/H101,"")</f>
        <v>0.2</v>
      </c>
    </row>
    <row r="102" spans="2:13" x14ac:dyDescent="0.25">
      <c r="B102" s="887" t="s">
        <v>43</v>
      </c>
      <c r="C102" s="892">
        <f ca="1">IF(E102="","",MAX(INDIRECT(ADDRESS(ROW()-7,COLUMN())):INDIRECT(ADDRESS(ROW()-1,COLUMN())))+1)</f>
        <v>49</v>
      </c>
      <c r="D102" s="888" t="s">
        <v>750</v>
      </c>
      <c r="E102" s="883" t="s">
        <v>7</v>
      </c>
      <c r="F102" s="884">
        <v>0.5</v>
      </c>
      <c r="G102" s="884">
        <v>5700</v>
      </c>
      <c r="H102" s="884">
        <f t="shared" si="57"/>
        <v>2850</v>
      </c>
      <c r="I102" s="884">
        <f>ROUND(20%*G102,1)</f>
        <v>1140</v>
      </c>
      <c r="J102" s="884">
        <f t="shared" si="58"/>
        <v>570</v>
      </c>
      <c r="K102" s="884">
        <f>$M$1</f>
        <v>358.32</v>
      </c>
      <c r="L102" s="885">
        <f t="shared" si="59"/>
        <v>1.5907568653717348</v>
      </c>
      <c r="M102" s="915">
        <f>IF(SUM(L102)&gt;0,J102/H102,"")</f>
        <v>0.2</v>
      </c>
    </row>
    <row r="103" spans="2:13" ht="13" x14ac:dyDescent="0.25">
      <c r="B103" s="882" t="s">
        <v>749</v>
      </c>
      <c r="C103" s="911" t="str">
        <f ca="1">IF(E103="","",MAX(INDIRECT(ADDRESS(ROW()-7,COLUMN())):INDIRECT(ADDRESS(ROW()-1,COLUMN())))+1)</f>
        <v/>
      </c>
      <c r="D103" s="881" t="s">
        <v>748</v>
      </c>
      <c r="E103" s="883"/>
      <c r="F103" s="884"/>
      <c r="G103" s="884"/>
      <c r="H103" s="884"/>
      <c r="I103" s="884"/>
      <c r="J103" s="884"/>
      <c r="K103" s="884"/>
      <c r="L103" s="885"/>
      <c r="M103" s="915"/>
    </row>
    <row r="104" spans="2:13" x14ac:dyDescent="0.25">
      <c r="B104" s="887" t="s">
        <v>747</v>
      </c>
      <c r="C104" s="892" t="str">
        <f ca="1">IF(E104="","",MAX(INDIRECT(ADDRESS(ROW()-7,COLUMN())):INDIRECT(ADDRESS(ROW()-1,COLUMN())))+1)</f>
        <v/>
      </c>
      <c r="D104" s="888" t="s">
        <v>746</v>
      </c>
      <c r="E104" s="883"/>
      <c r="F104" s="884"/>
      <c r="G104" s="884"/>
      <c r="H104" s="884"/>
      <c r="I104" s="884"/>
      <c r="J104" s="884"/>
      <c r="K104" s="884"/>
      <c r="L104" s="885"/>
      <c r="M104" s="915"/>
    </row>
    <row r="105" spans="2:13" x14ac:dyDescent="0.25">
      <c r="B105" s="887" t="s">
        <v>39</v>
      </c>
      <c r="C105" s="892">
        <f ca="1">IF(E105="","",MAX(INDIRECT(ADDRESS(ROW()-7,COLUMN())):INDIRECT(ADDRESS(ROW()-1,COLUMN())))+1)</f>
        <v>50</v>
      </c>
      <c r="D105" s="888" t="s">
        <v>745</v>
      </c>
      <c r="E105" s="883" t="s">
        <v>700</v>
      </c>
      <c r="F105" s="884">
        <v>400</v>
      </c>
      <c r="G105" s="884">
        <v>35</v>
      </c>
      <c r="H105" s="884">
        <f t="shared" ref="H105:H106" si="60">F105*G105</f>
        <v>14000</v>
      </c>
      <c r="I105" s="884">
        <f>ROUND(20%*G105,1)</f>
        <v>7</v>
      </c>
      <c r="J105" s="884">
        <f t="shared" ref="J105:J106" si="61">I105*F105</f>
        <v>2800</v>
      </c>
      <c r="K105" s="884">
        <f>$M$1</f>
        <v>358.32</v>
      </c>
      <c r="L105" s="885">
        <f t="shared" ref="L105:L106" si="62">J105/K105</f>
        <v>7.8142442509488728</v>
      </c>
      <c r="M105" s="915">
        <f>IF(SUM(L105)&gt;0,J105/H105,"")</f>
        <v>0.2</v>
      </c>
    </row>
    <row r="106" spans="2:13" ht="26" x14ac:dyDescent="0.25">
      <c r="B106" s="882" t="s">
        <v>744</v>
      </c>
      <c r="C106" s="892">
        <f ca="1">IF(E106="","",MAX(INDIRECT(ADDRESS(ROW()-7,COLUMN())):INDIRECT(ADDRESS(ROW()-1,COLUMN())))+1)</f>
        <v>51</v>
      </c>
      <c r="D106" s="881" t="s">
        <v>743</v>
      </c>
      <c r="E106" s="883" t="s">
        <v>513</v>
      </c>
      <c r="F106" s="884">
        <v>20</v>
      </c>
      <c r="G106" s="884">
        <v>60</v>
      </c>
      <c r="H106" s="884">
        <f t="shared" si="60"/>
        <v>1200</v>
      </c>
      <c r="I106" s="884">
        <f>ROUND(20%*G106,1)</f>
        <v>12</v>
      </c>
      <c r="J106" s="884">
        <f t="shared" si="61"/>
        <v>240</v>
      </c>
      <c r="K106" s="884">
        <f>$M$1</f>
        <v>358.32</v>
      </c>
      <c r="L106" s="885">
        <f t="shared" si="62"/>
        <v>0.66979236436704626</v>
      </c>
      <c r="M106" s="915">
        <f>IF(SUM(L106)&gt;0,J106/H106,"")</f>
        <v>0.2</v>
      </c>
    </row>
    <row r="107" spans="2:13" x14ac:dyDescent="0.25">
      <c r="B107" s="887"/>
      <c r="C107" s="892" t="str">
        <f ca="1">IF(E107="","",MAX(INDIRECT(ADDRESS(ROW()-7,COLUMN())):INDIRECT(ADDRESS(ROW()-1,COLUMN())))+1)</f>
        <v/>
      </c>
      <c r="D107" s="888"/>
      <c r="E107" s="883"/>
      <c r="F107" s="884"/>
      <c r="G107" s="884"/>
      <c r="H107" s="884"/>
      <c r="I107" s="884"/>
      <c r="J107" s="884"/>
      <c r="K107" s="884"/>
      <c r="L107" s="885"/>
      <c r="M107" s="915"/>
    </row>
    <row r="108" spans="2:13" ht="26" x14ac:dyDescent="0.25">
      <c r="B108" s="882" t="s">
        <v>771</v>
      </c>
      <c r="C108" s="911" t="str">
        <f ca="1">IF(E108="","",MAX(INDIRECT(ADDRESS(ROW()-7,COLUMN())):INDIRECT(ADDRESS(ROW()-1,COLUMN())))+1)</f>
        <v/>
      </c>
      <c r="D108" s="881" t="s">
        <v>1987</v>
      </c>
      <c r="E108" s="883"/>
      <c r="F108" s="884"/>
      <c r="G108" s="884"/>
      <c r="H108" s="884"/>
      <c r="I108" s="884"/>
      <c r="J108" s="884"/>
      <c r="K108" s="884"/>
      <c r="L108" s="885"/>
      <c r="M108" s="915" t="str">
        <f>IF(SUM(L108)&gt;0,J108/H108,"")</f>
        <v/>
      </c>
    </row>
    <row r="109" spans="2:13" x14ac:dyDescent="0.25">
      <c r="B109" s="887" t="s">
        <v>769</v>
      </c>
      <c r="C109" s="892" t="str">
        <f ca="1">IF(E109="","",MAX(INDIRECT(ADDRESS(ROW()-7,COLUMN())):INDIRECT(ADDRESS(ROW()-1,COLUMN())))+1)</f>
        <v/>
      </c>
      <c r="D109" s="888" t="s">
        <v>768</v>
      </c>
      <c r="E109" s="883"/>
      <c r="F109" s="884"/>
      <c r="G109" s="884"/>
      <c r="H109" s="884"/>
      <c r="I109" s="884"/>
      <c r="J109" s="884"/>
      <c r="K109" s="884"/>
      <c r="L109" s="885"/>
      <c r="M109" s="915" t="str">
        <f>IF(SUM(L109)&gt;0,J109/H109,"")</f>
        <v/>
      </c>
    </row>
    <row r="110" spans="2:13" x14ac:dyDescent="0.25">
      <c r="B110" s="887" t="s">
        <v>767</v>
      </c>
      <c r="C110" s="892">
        <f ca="1">IF(E110="","",MAX(INDIRECT(ADDRESS(ROW()-7,COLUMN())):INDIRECT(ADDRESS(ROW()-1,COLUMN())))+1)</f>
        <v>52</v>
      </c>
      <c r="D110" s="888" t="s">
        <v>766</v>
      </c>
      <c r="E110" s="883" t="s">
        <v>22</v>
      </c>
      <c r="F110" s="884">
        <v>2.4</v>
      </c>
      <c r="G110" s="884">
        <v>25000</v>
      </c>
      <c r="H110" s="884">
        <f t="shared" si="1"/>
        <v>60000</v>
      </c>
      <c r="I110" s="884">
        <f>ROUND(6%*G110,1)</f>
        <v>1500</v>
      </c>
      <c r="J110" s="884">
        <f t="shared" ref="J110" si="63">I110*F110</f>
        <v>3600</v>
      </c>
      <c r="K110" s="884">
        <f>$M$1</f>
        <v>358.32</v>
      </c>
      <c r="L110" s="885">
        <f t="shared" ref="L110" si="64">J110/K110</f>
        <v>10.046885465505694</v>
      </c>
      <c r="M110" s="915">
        <f>IF(SUM(L110)&gt;0,J110/H110,"")</f>
        <v>0.06</v>
      </c>
    </row>
    <row r="111" spans="2:13" x14ac:dyDescent="0.25">
      <c r="B111" s="887"/>
      <c r="C111" s="892" t="str">
        <f ca="1">IF(E111="","",MAX(INDIRECT(ADDRESS(ROW()-7,COLUMN())):INDIRECT(ADDRESS(ROW()-1,COLUMN())))+1)</f>
        <v/>
      </c>
      <c r="D111" s="888"/>
      <c r="E111" s="883"/>
      <c r="F111" s="884"/>
      <c r="G111" s="884"/>
      <c r="H111" s="884"/>
      <c r="I111" s="884"/>
      <c r="J111" s="884"/>
      <c r="K111" s="884"/>
      <c r="L111" s="885"/>
      <c r="M111" s="915" t="str">
        <f>IF(SUM(L111)&gt;0,J111/H111,"")</f>
        <v/>
      </c>
    </row>
    <row r="112" spans="2:13" ht="13" x14ac:dyDescent="0.25">
      <c r="B112" s="891" t="s">
        <v>1849</v>
      </c>
      <c r="C112" s="919"/>
      <c r="D112" s="910" t="s">
        <v>2058</v>
      </c>
      <c r="E112" s="920"/>
      <c r="F112" s="921"/>
      <c r="G112" s="921"/>
      <c r="H112" s="921"/>
      <c r="I112" s="921"/>
      <c r="J112" s="921"/>
      <c r="K112" s="921"/>
      <c r="L112" s="922"/>
      <c r="M112" s="923"/>
    </row>
    <row r="113" spans="2:13" ht="13" x14ac:dyDescent="0.25">
      <c r="B113" s="882" t="s">
        <v>277</v>
      </c>
      <c r="C113" s="911" t="str">
        <f ca="1">IF(E113="","",MAX(INDIRECT(ADDRESS(ROW()-7,COLUMN())):INDIRECT(ADDRESS(ROW()-1,COLUMN())))+1)</f>
        <v/>
      </c>
      <c r="D113" s="881" t="s">
        <v>278</v>
      </c>
      <c r="E113" s="883"/>
      <c r="F113" s="884"/>
      <c r="G113" s="884"/>
      <c r="H113" s="884"/>
      <c r="I113" s="884"/>
      <c r="J113" s="884"/>
      <c r="K113" s="884"/>
      <c r="L113" s="885"/>
      <c r="M113" s="915"/>
    </row>
    <row r="114" spans="2:13" ht="13" x14ac:dyDescent="0.25">
      <c r="B114" s="882" t="s">
        <v>286</v>
      </c>
      <c r="C114" s="911" t="str">
        <f ca="1">IF(E114="","",MAX(INDIRECT(ADDRESS(ROW()-7,COLUMN())):INDIRECT(ADDRESS(ROW()-1,COLUMN())))+1)</f>
        <v/>
      </c>
      <c r="D114" s="881" t="s">
        <v>279</v>
      </c>
      <c r="E114" s="883"/>
      <c r="F114" s="884"/>
      <c r="G114" s="884"/>
      <c r="H114" s="884"/>
      <c r="I114" s="884"/>
      <c r="J114" s="884"/>
      <c r="K114" s="884"/>
      <c r="L114" s="885"/>
      <c r="M114" s="915"/>
    </row>
    <row r="115" spans="2:13" ht="25" x14ac:dyDescent="0.25">
      <c r="B115" s="887" t="s">
        <v>287</v>
      </c>
      <c r="C115" s="892" t="str">
        <f ca="1">IF(E115="","",MAX(INDIRECT(ADDRESS(ROW()-7,COLUMN())):INDIRECT(ADDRESS(ROW()-1,COLUMN())))+1)</f>
        <v/>
      </c>
      <c r="D115" s="888" t="s">
        <v>280</v>
      </c>
      <c r="E115" s="883"/>
      <c r="F115" s="884"/>
      <c r="G115" s="884"/>
      <c r="H115" s="884"/>
      <c r="I115" s="884"/>
      <c r="J115" s="884"/>
      <c r="K115" s="884"/>
      <c r="L115" s="885"/>
      <c r="M115" s="915"/>
    </row>
    <row r="116" spans="2:13" x14ac:dyDescent="0.25">
      <c r="B116" s="887" t="s">
        <v>39</v>
      </c>
      <c r="C116" s="892">
        <f ca="1">IF(E116="","",MAX(INDIRECT(ADDRESS(ROW()-7,COLUMN())):INDIRECT(ADDRESS(ROW()-1,COLUMN())))+1)</f>
        <v>53</v>
      </c>
      <c r="D116" s="888" t="s">
        <v>281</v>
      </c>
      <c r="E116" s="883" t="s">
        <v>799</v>
      </c>
      <c r="F116" s="884">
        <v>500</v>
      </c>
      <c r="G116" s="884">
        <v>70</v>
      </c>
      <c r="H116" s="884">
        <f t="shared" ref="H116:H121" si="65">F116*G116</f>
        <v>35000</v>
      </c>
      <c r="I116" s="884">
        <f t="shared" ref="I116:I121" si="66">ROUND(Labour_perc_roads*G116,1)</f>
        <v>2</v>
      </c>
      <c r="J116" s="884">
        <f t="shared" ref="J116:J121" si="67">I116*F116</f>
        <v>1000</v>
      </c>
      <c r="K116" s="884">
        <f t="shared" ref="K116:K121" si="68">$M$1</f>
        <v>358.32</v>
      </c>
      <c r="L116" s="885">
        <f t="shared" ref="L116:L121" si="69">J116/K116</f>
        <v>2.7908015181960257</v>
      </c>
      <c r="M116" s="915">
        <f t="shared" ref="M116:M121" si="70">IF(SUM(L116)&gt;0,J116/H116,"")</f>
        <v>2.8571428571428571E-2</v>
      </c>
    </row>
    <row r="117" spans="2:13" x14ac:dyDescent="0.25">
      <c r="B117" s="887" t="s">
        <v>41</v>
      </c>
      <c r="C117" s="892">
        <f ca="1">IF(E117="","",MAX(INDIRECT(ADDRESS(ROW()-7,COLUMN())):INDIRECT(ADDRESS(ROW()-1,COLUMN())))+1)</f>
        <v>54</v>
      </c>
      <c r="D117" s="888" t="s">
        <v>282</v>
      </c>
      <c r="E117" s="883" t="s">
        <v>799</v>
      </c>
      <c r="F117" s="884">
        <v>350</v>
      </c>
      <c r="G117" s="884">
        <v>160</v>
      </c>
      <c r="H117" s="884">
        <f t="shared" si="65"/>
        <v>56000</v>
      </c>
      <c r="I117" s="884">
        <f t="shared" si="66"/>
        <v>4.5999999999999996</v>
      </c>
      <c r="J117" s="884">
        <f t="shared" si="67"/>
        <v>1609.9999999999998</v>
      </c>
      <c r="K117" s="884">
        <f t="shared" si="68"/>
        <v>358.32</v>
      </c>
      <c r="L117" s="885">
        <f t="shared" si="69"/>
        <v>4.4931904442956014</v>
      </c>
      <c r="M117" s="915">
        <f t="shared" si="70"/>
        <v>2.8749999999999994E-2</v>
      </c>
    </row>
    <row r="118" spans="2:13" x14ac:dyDescent="0.25">
      <c r="B118" s="887" t="s">
        <v>52</v>
      </c>
      <c r="C118" s="892">
        <f ca="1">IF(E118="","",MAX(INDIRECT(ADDRESS(ROW()-7,COLUMN())):INDIRECT(ADDRESS(ROW()-1,COLUMN())))+1)</f>
        <v>55</v>
      </c>
      <c r="D118" s="888" t="s">
        <v>1961</v>
      </c>
      <c r="E118" s="883" t="s">
        <v>799</v>
      </c>
      <c r="F118" s="884">
        <v>250</v>
      </c>
      <c r="G118" s="884">
        <v>320</v>
      </c>
      <c r="H118" s="884">
        <f t="shared" si="65"/>
        <v>80000</v>
      </c>
      <c r="I118" s="884">
        <f t="shared" si="66"/>
        <v>9.3000000000000007</v>
      </c>
      <c r="J118" s="884">
        <f t="shared" si="67"/>
        <v>2325</v>
      </c>
      <c r="K118" s="884">
        <f t="shared" si="68"/>
        <v>358.32</v>
      </c>
      <c r="L118" s="885">
        <f t="shared" si="69"/>
        <v>6.4886135298057601</v>
      </c>
      <c r="M118" s="915">
        <f t="shared" si="70"/>
        <v>2.9062500000000002E-2</v>
      </c>
    </row>
    <row r="119" spans="2:13" x14ac:dyDescent="0.25">
      <c r="B119" s="887" t="s">
        <v>43</v>
      </c>
      <c r="C119" s="892">
        <f ca="1">IF(E119="","",MAX(INDIRECT(ADDRESS(ROW()-7,COLUMN())):INDIRECT(ADDRESS(ROW()-1,COLUMN())))+1)</f>
        <v>56</v>
      </c>
      <c r="D119" s="888" t="s">
        <v>1962</v>
      </c>
      <c r="E119" s="883" t="s">
        <v>799</v>
      </c>
      <c r="F119" s="884">
        <v>100</v>
      </c>
      <c r="G119" s="884">
        <v>320</v>
      </c>
      <c r="H119" s="884">
        <f t="shared" si="65"/>
        <v>32000</v>
      </c>
      <c r="I119" s="884">
        <f t="shared" si="66"/>
        <v>9.3000000000000007</v>
      </c>
      <c r="J119" s="884">
        <f t="shared" si="67"/>
        <v>930.00000000000011</v>
      </c>
      <c r="K119" s="884">
        <f t="shared" si="68"/>
        <v>358.32</v>
      </c>
      <c r="L119" s="885">
        <f t="shared" si="69"/>
        <v>2.5954454119223045</v>
      </c>
      <c r="M119" s="915">
        <f t="shared" si="70"/>
        <v>2.9062500000000005E-2</v>
      </c>
    </row>
    <row r="120" spans="2:13" ht="25" x14ac:dyDescent="0.25">
      <c r="B120" s="887" t="s">
        <v>288</v>
      </c>
      <c r="C120" s="892">
        <f ca="1">IF(E120="","",MAX(INDIRECT(ADDRESS(ROW()-7,COLUMN())):INDIRECT(ADDRESS(ROW()-1,COLUMN())))+1)</f>
        <v>57</v>
      </c>
      <c r="D120" s="888" t="s">
        <v>283</v>
      </c>
      <c r="E120" s="883" t="s">
        <v>799</v>
      </c>
      <c r="F120" s="884">
        <v>400</v>
      </c>
      <c r="G120" s="884">
        <v>350</v>
      </c>
      <c r="H120" s="884">
        <f t="shared" si="65"/>
        <v>140000</v>
      </c>
      <c r="I120" s="884">
        <f t="shared" si="66"/>
        <v>10.199999999999999</v>
      </c>
      <c r="J120" s="884">
        <f t="shared" si="67"/>
        <v>4079.9999999999995</v>
      </c>
      <c r="K120" s="884">
        <f t="shared" si="68"/>
        <v>358.32</v>
      </c>
      <c r="L120" s="885">
        <f t="shared" si="69"/>
        <v>11.386470194239784</v>
      </c>
      <c r="M120" s="915">
        <f t="shared" si="70"/>
        <v>2.914285714285714E-2</v>
      </c>
    </row>
    <row r="121" spans="2:13" ht="37.5" x14ac:dyDescent="0.25">
      <c r="B121" s="887" t="s">
        <v>289</v>
      </c>
      <c r="C121" s="892">
        <f ca="1">IF(E121="","",MAX(INDIRECT(ADDRESS(ROW()-7,COLUMN())):INDIRECT(ADDRESS(ROW()-1,COLUMN())))+1)</f>
        <v>58</v>
      </c>
      <c r="D121" s="888" t="s">
        <v>284</v>
      </c>
      <c r="E121" s="883" t="s">
        <v>799</v>
      </c>
      <c r="F121" s="884">
        <v>40</v>
      </c>
      <c r="G121" s="884">
        <v>130</v>
      </c>
      <c r="H121" s="884">
        <f t="shared" si="65"/>
        <v>5200</v>
      </c>
      <c r="I121" s="884">
        <f t="shared" si="66"/>
        <v>3.8</v>
      </c>
      <c r="J121" s="884">
        <f t="shared" si="67"/>
        <v>152</v>
      </c>
      <c r="K121" s="884">
        <f t="shared" si="68"/>
        <v>358.32</v>
      </c>
      <c r="L121" s="885">
        <f t="shared" si="69"/>
        <v>0.42420183076579593</v>
      </c>
      <c r="M121" s="915">
        <f t="shared" si="70"/>
        <v>2.923076923076923E-2</v>
      </c>
    </row>
    <row r="122" spans="2:13" ht="13" x14ac:dyDescent="0.25">
      <c r="B122" s="882" t="s">
        <v>292</v>
      </c>
      <c r="C122" s="911" t="str">
        <f ca="1">IF(E122="","",MAX(INDIRECT(ADDRESS(ROW()-7,COLUMN())):INDIRECT(ADDRESS(ROW()-1,COLUMN())))+1)</f>
        <v/>
      </c>
      <c r="D122" s="881" t="s">
        <v>291</v>
      </c>
      <c r="E122" s="883"/>
      <c r="F122" s="884"/>
      <c r="G122" s="884"/>
      <c r="H122" s="884"/>
      <c r="I122" s="884"/>
      <c r="J122" s="884"/>
      <c r="K122" s="884"/>
      <c r="L122" s="885"/>
      <c r="M122" s="915"/>
    </row>
    <row r="123" spans="2:13" x14ac:dyDescent="0.25">
      <c r="B123" s="887" t="s">
        <v>293</v>
      </c>
      <c r="C123" s="892">
        <f ca="1">IF(E123="","",MAX(INDIRECT(ADDRESS(ROW()-7,COLUMN())):INDIRECT(ADDRESS(ROW()-1,COLUMN())))+1)</f>
        <v>59</v>
      </c>
      <c r="D123" s="888" t="s">
        <v>295</v>
      </c>
      <c r="E123" s="883" t="s">
        <v>11</v>
      </c>
      <c r="F123" s="884">
        <v>1</v>
      </c>
      <c r="G123" s="884">
        <v>15000</v>
      </c>
      <c r="H123" s="884">
        <f t="shared" ref="H123:H124" si="71">F123*G123</f>
        <v>15000</v>
      </c>
      <c r="I123" s="884">
        <f>ROUND(Labour_perc_roads*G123,4)</f>
        <v>435</v>
      </c>
      <c r="J123" s="884">
        <f t="shared" ref="J123:J124" si="72">I123*F123</f>
        <v>435</v>
      </c>
      <c r="K123" s="884">
        <f>$M$1</f>
        <v>358.32</v>
      </c>
      <c r="L123" s="885">
        <f t="shared" ref="L123:L124" si="73">J123/K123</f>
        <v>1.2139986604152713</v>
      </c>
      <c r="M123" s="915">
        <f>IF(SUM(L123)&gt;0,J123/H123,"")</f>
        <v>2.9000000000000001E-2</v>
      </c>
    </row>
    <row r="124" spans="2:13" x14ac:dyDescent="0.25">
      <c r="B124" s="887" t="s">
        <v>294</v>
      </c>
      <c r="C124" s="892">
        <f ca="1">IF(E124="","",MAX(INDIRECT(ADDRESS(ROW()-7,COLUMN())):INDIRECT(ADDRESS(ROW()-1,COLUMN())))+1)</f>
        <v>60</v>
      </c>
      <c r="D124" s="888" t="s">
        <v>296</v>
      </c>
      <c r="E124" s="883" t="s">
        <v>11</v>
      </c>
      <c r="F124" s="884">
        <v>1</v>
      </c>
      <c r="G124" s="884">
        <v>25000</v>
      </c>
      <c r="H124" s="884">
        <f t="shared" si="71"/>
        <v>25000</v>
      </c>
      <c r="I124" s="884">
        <f>ROUND(Labour_perc_roads*G124,4)</f>
        <v>725</v>
      </c>
      <c r="J124" s="884">
        <f t="shared" si="72"/>
        <v>725</v>
      </c>
      <c r="K124" s="884">
        <f>$M$1</f>
        <v>358.32</v>
      </c>
      <c r="L124" s="885">
        <f t="shared" si="73"/>
        <v>2.0233311006921189</v>
      </c>
      <c r="M124" s="915">
        <f>IF(SUM(L124)&gt;0,J124/H124,"")</f>
        <v>2.9000000000000001E-2</v>
      </c>
    </row>
    <row r="125" spans="2:13" ht="13" x14ac:dyDescent="0.25">
      <c r="B125" s="882" t="s">
        <v>299</v>
      </c>
      <c r="C125" s="911" t="str">
        <f ca="1">IF(E125="","",MAX(INDIRECT(ADDRESS(ROW()-7,COLUMN())):INDIRECT(ADDRESS(ROW()-1,COLUMN())))+1)</f>
        <v/>
      </c>
      <c r="D125" s="881" t="s">
        <v>297</v>
      </c>
      <c r="E125" s="883"/>
      <c r="F125" s="884"/>
      <c r="G125" s="884"/>
      <c r="H125" s="884"/>
      <c r="I125" s="884"/>
      <c r="J125" s="884"/>
      <c r="K125" s="884"/>
      <c r="L125" s="885"/>
      <c r="M125" s="915"/>
    </row>
    <row r="126" spans="2:13" x14ac:dyDescent="0.25">
      <c r="B126" s="887" t="s">
        <v>300</v>
      </c>
      <c r="C126" s="892">
        <f ca="1">IF(E126="","",MAX(INDIRECT(ADDRESS(ROW()-7,COLUMN())):INDIRECT(ADDRESS(ROW()-1,COLUMN())))+1)</f>
        <v>61</v>
      </c>
      <c r="D126" s="888" t="s">
        <v>298</v>
      </c>
      <c r="E126" s="883" t="s">
        <v>799</v>
      </c>
      <c r="F126" s="884">
        <v>1100</v>
      </c>
      <c r="G126" s="884">
        <v>42.5</v>
      </c>
      <c r="H126" s="884">
        <f t="shared" ref="H126:H129" si="74">F126*G126</f>
        <v>46750</v>
      </c>
      <c r="I126" s="884">
        <f>ROUND(Labour_perc_roads*G126,1)</f>
        <v>1.2</v>
      </c>
      <c r="J126" s="884">
        <f t="shared" ref="J126:J129" si="75">I126*F126</f>
        <v>1320</v>
      </c>
      <c r="K126" s="884">
        <f>$M$1</f>
        <v>358.32</v>
      </c>
      <c r="L126" s="885">
        <f t="shared" ref="L126:L129" si="76">J126/K126</f>
        <v>3.6838580040187541</v>
      </c>
      <c r="M126" s="915">
        <f>IF(SUM(L126)&gt;0,J126/H126,"")</f>
        <v>2.823529411764706E-2</v>
      </c>
    </row>
    <row r="127" spans="2:13" ht="25" x14ac:dyDescent="0.25">
      <c r="B127" s="887" t="s">
        <v>301</v>
      </c>
      <c r="C127" s="892">
        <f ca="1">IF(E127="","",MAX(INDIRECT(ADDRESS(ROW()-7,COLUMN())):INDIRECT(ADDRESS(ROW()-1,COLUMN())))+1)</f>
        <v>62</v>
      </c>
      <c r="D127" s="888" t="s">
        <v>2131</v>
      </c>
      <c r="E127" s="883" t="s">
        <v>799</v>
      </c>
      <c r="F127" s="884">
        <v>400</v>
      </c>
      <c r="G127" s="884">
        <v>55</v>
      </c>
      <c r="H127" s="884">
        <f t="shared" si="74"/>
        <v>22000</v>
      </c>
      <c r="I127" s="884">
        <f>ROUND(Labour_perc_roads*G127,1)</f>
        <v>1.6</v>
      </c>
      <c r="J127" s="884">
        <f t="shared" si="75"/>
        <v>640</v>
      </c>
      <c r="K127" s="884">
        <f>$M$1</f>
        <v>358.32</v>
      </c>
      <c r="L127" s="885">
        <f t="shared" si="76"/>
        <v>1.7861129716454567</v>
      </c>
      <c r="M127" s="915">
        <f>IF(SUM(L127)&gt;0,J127/H127,"")</f>
        <v>2.9090909090909091E-2</v>
      </c>
    </row>
    <row r="128" spans="2:13" ht="25" x14ac:dyDescent="0.25">
      <c r="B128" s="887" t="s">
        <v>1886</v>
      </c>
      <c r="C128" s="892">
        <f ca="1">IF(E128="","",MAX(INDIRECT(ADDRESS(ROW()-7,COLUMN())):INDIRECT(ADDRESS(ROW()-1,COLUMN())))+1)</f>
        <v>63</v>
      </c>
      <c r="D128" s="888" t="s">
        <v>302</v>
      </c>
      <c r="E128" s="883" t="s">
        <v>799</v>
      </c>
      <c r="F128" s="884">
        <v>100</v>
      </c>
      <c r="G128" s="884">
        <v>20</v>
      </c>
      <c r="H128" s="884">
        <f t="shared" si="74"/>
        <v>2000</v>
      </c>
      <c r="I128" s="884">
        <f>ROUND(Labour_perc_roads*G128,1)</f>
        <v>0.6</v>
      </c>
      <c r="J128" s="884">
        <f t="shared" si="75"/>
        <v>60</v>
      </c>
      <c r="K128" s="884">
        <f>$M$1</f>
        <v>358.32</v>
      </c>
      <c r="L128" s="885">
        <f t="shared" si="76"/>
        <v>0.16744809109176156</v>
      </c>
      <c r="M128" s="915">
        <f>IF(SUM(L128)&gt;0,J128/H128,"")</f>
        <v>0.03</v>
      </c>
    </row>
    <row r="129" spans="2:13" ht="37.5" x14ac:dyDescent="0.25">
      <c r="B129" s="887" t="s">
        <v>304</v>
      </c>
      <c r="C129" s="892">
        <f ca="1">IF(E129="","",MAX(INDIRECT(ADDRESS(ROW()-7,COLUMN())):INDIRECT(ADDRESS(ROW()-1,COLUMN())))+1)</f>
        <v>64</v>
      </c>
      <c r="D129" s="888" t="s">
        <v>303</v>
      </c>
      <c r="E129" s="883" t="s">
        <v>1245</v>
      </c>
      <c r="F129" s="884">
        <v>9000</v>
      </c>
      <c r="G129" s="884">
        <v>8</v>
      </c>
      <c r="H129" s="884">
        <f t="shared" si="74"/>
        <v>72000</v>
      </c>
      <c r="I129" s="884">
        <f>ROUND(Labour_perc_roads*G129,1)</f>
        <v>0.2</v>
      </c>
      <c r="J129" s="884">
        <f t="shared" si="75"/>
        <v>1800</v>
      </c>
      <c r="K129" s="884">
        <f>$M$1</f>
        <v>358.32</v>
      </c>
      <c r="L129" s="885">
        <f t="shared" si="76"/>
        <v>5.023442732752847</v>
      </c>
      <c r="M129" s="915">
        <f>IF(SUM(L129)&gt;0,J129/H129,"")</f>
        <v>2.5000000000000001E-2</v>
      </c>
    </row>
    <row r="130" spans="2:13" ht="13" x14ac:dyDescent="0.25">
      <c r="B130" s="882" t="s">
        <v>1887</v>
      </c>
      <c r="C130" s="911" t="str">
        <f ca="1">IF(E130="","",MAX(INDIRECT(ADDRESS(ROW()-7,COLUMN())):INDIRECT(ADDRESS(ROW()-1,COLUMN())))+1)</f>
        <v/>
      </c>
      <c r="D130" s="881" t="s">
        <v>309</v>
      </c>
      <c r="E130" s="883"/>
      <c r="F130" s="884"/>
      <c r="G130" s="884"/>
      <c r="H130" s="884"/>
      <c r="I130" s="884"/>
      <c r="J130" s="884"/>
      <c r="K130" s="884"/>
      <c r="L130" s="885"/>
      <c r="M130" s="915"/>
    </row>
    <row r="131" spans="2:13" x14ac:dyDescent="0.25">
      <c r="B131" s="887" t="s">
        <v>305</v>
      </c>
      <c r="C131" s="892">
        <f ca="1">IF(E131="","",MAX(INDIRECT(ADDRESS(ROW()-7,COLUMN())):INDIRECT(ADDRESS(ROW()-1,COLUMN())))+1)</f>
        <v>65</v>
      </c>
      <c r="D131" s="888" t="s">
        <v>227</v>
      </c>
      <c r="E131" s="883" t="s">
        <v>799</v>
      </c>
      <c r="F131" s="884">
        <v>80</v>
      </c>
      <c r="G131" s="884">
        <v>580</v>
      </c>
      <c r="H131" s="884">
        <f t="shared" ref="H131:H133" si="77">F131*G131</f>
        <v>46400</v>
      </c>
      <c r="I131" s="884">
        <f>ROUND(Labour_perc_roads*G131,1)</f>
        <v>16.8</v>
      </c>
      <c r="J131" s="884">
        <f t="shared" ref="J131:J133" si="78">I131*F131</f>
        <v>1344</v>
      </c>
      <c r="K131" s="884">
        <f>$M$1</f>
        <v>358.32</v>
      </c>
      <c r="L131" s="885">
        <f t="shared" ref="L131:L133" si="79">J131/K131</f>
        <v>3.7508372404554589</v>
      </c>
      <c r="M131" s="915">
        <f>IF(SUM(L131)&gt;0,J131/H131,"")</f>
        <v>2.8965517241379312E-2</v>
      </c>
    </row>
    <row r="132" spans="2:13" x14ac:dyDescent="0.25">
      <c r="B132" s="887" t="s">
        <v>307</v>
      </c>
      <c r="C132" s="892">
        <f ca="1">IF(E132="","",MAX(INDIRECT(ADDRESS(ROW()-7,COLUMN())):INDIRECT(ADDRESS(ROW()-1,COLUMN())))+1)</f>
        <v>66</v>
      </c>
      <c r="D132" s="888" t="s">
        <v>2132</v>
      </c>
      <c r="E132" s="883" t="s">
        <v>799</v>
      </c>
      <c r="F132" s="884">
        <v>120</v>
      </c>
      <c r="G132" s="884">
        <v>2100</v>
      </c>
      <c r="H132" s="884">
        <f t="shared" si="77"/>
        <v>252000</v>
      </c>
      <c r="I132" s="884">
        <f>ROUND(Labour_perc_roads*G132,1)</f>
        <v>60.9</v>
      </c>
      <c r="J132" s="884">
        <f t="shared" si="78"/>
        <v>7308</v>
      </c>
      <c r="K132" s="884">
        <f>$M$1</f>
        <v>358.32</v>
      </c>
      <c r="L132" s="885">
        <f t="shared" si="79"/>
        <v>20.395177494976558</v>
      </c>
      <c r="M132" s="915">
        <f>IF(SUM(L132)&gt;0,J132/H132,"")</f>
        <v>2.9000000000000001E-2</v>
      </c>
    </row>
    <row r="133" spans="2:13" x14ac:dyDescent="0.25">
      <c r="B133" s="887" t="s">
        <v>308</v>
      </c>
      <c r="C133" s="892">
        <f ca="1">IF(E133="","",MAX(INDIRECT(ADDRESS(ROW()-7,COLUMN())):INDIRECT(ADDRESS(ROW()-1,COLUMN())))+1)</f>
        <v>67</v>
      </c>
      <c r="D133" s="888" t="s">
        <v>2133</v>
      </c>
      <c r="E133" s="883" t="s">
        <v>799</v>
      </c>
      <c r="F133" s="884">
        <v>35</v>
      </c>
      <c r="G133" s="884">
        <v>1700</v>
      </c>
      <c r="H133" s="884">
        <f t="shared" si="77"/>
        <v>59500</v>
      </c>
      <c r="I133" s="884">
        <f>ROUND(_Mix+_Haul+_Place,1)*0.5</f>
        <v>396.35</v>
      </c>
      <c r="J133" s="884">
        <f t="shared" si="78"/>
        <v>13872.25</v>
      </c>
      <c r="K133" s="884">
        <f>$M$1</f>
        <v>358.32</v>
      </c>
      <c r="L133" s="885">
        <f t="shared" si="79"/>
        <v>38.714696360794818</v>
      </c>
      <c r="M133" s="915">
        <f>IF(SUM(L133)&gt;0,J133/H133,"")</f>
        <v>0.2331470588235294</v>
      </c>
    </row>
    <row r="134" spans="2:13" x14ac:dyDescent="0.25">
      <c r="B134" s="887"/>
      <c r="C134" s="892" t="str">
        <f ca="1">IF(E134="","",MAX(INDIRECT(ADDRESS(ROW()-7,COLUMN())):INDIRECT(ADDRESS(ROW()-1,COLUMN())))+1)</f>
        <v/>
      </c>
      <c r="D134" s="888"/>
      <c r="E134" s="883"/>
      <c r="F134" s="884"/>
      <c r="G134" s="884"/>
      <c r="H134" s="884"/>
      <c r="I134" s="884"/>
      <c r="J134" s="884"/>
      <c r="K134" s="884"/>
      <c r="L134" s="885"/>
      <c r="M134" s="915"/>
    </row>
    <row r="135" spans="2:13" ht="13" x14ac:dyDescent="0.25">
      <c r="B135" s="882" t="s">
        <v>335</v>
      </c>
      <c r="C135" s="911" t="str">
        <f ca="1">IF(E135="","",MAX(INDIRECT(ADDRESS(ROW()-7,COLUMN())):INDIRECT(ADDRESS(ROW()-1,COLUMN())))+1)</f>
        <v/>
      </c>
      <c r="D135" s="881" t="s">
        <v>334</v>
      </c>
      <c r="E135" s="883"/>
      <c r="F135" s="884"/>
      <c r="G135" s="884"/>
      <c r="H135" s="884"/>
      <c r="I135" s="884"/>
      <c r="J135" s="884"/>
      <c r="K135" s="884"/>
      <c r="L135" s="885"/>
      <c r="M135" s="915"/>
    </row>
    <row r="136" spans="2:13" ht="13" x14ac:dyDescent="0.25">
      <c r="B136" s="882" t="s">
        <v>339</v>
      </c>
      <c r="C136" s="911" t="str">
        <f ca="1">IF(E136="","",MAX(INDIRECT(ADDRESS(ROW()-7,COLUMN())):INDIRECT(ADDRESS(ROW()-1,COLUMN())))+1)</f>
        <v/>
      </c>
      <c r="D136" s="881" t="s">
        <v>1837</v>
      </c>
      <c r="E136" s="883"/>
      <c r="F136" s="884"/>
      <c r="G136" s="884"/>
      <c r="H136" s="884"/>
      <c r="I136" s="884"/>
      <c r="J136" s="884"/>
      <c r="K136" s="884"/>
      <c r="L136" s="885"/>
      <c r="M136" s="915"/>
    </row>
    <row r="137" spans="2:13" ht="25" x14ac:dyDescent="0.25">
      <c r="B137" s="887" t="s">
        <v>39</v>
      </c>
      <c r="C137" s="892">
        <f ca="1">IF(E137="","",MAX(INDIRECT(ADDRESS(ROW()-7,COLUMN())):INDIRECT(ADDRESS(ROW()-1,COLUMN())))+1)</f>
        <v>68</v>
      </c>
      <c r="D137" s="888" t="s">
        <v>1699</v>
      </c>
      <c r="E137" s="883" t="s">
        <v>34</v>
      </c>
      <c r="F137" s="884">
        <v>25</v>
      </c>
      <c r="G137" s="884">
        <v>2500</v>
      </c>
      <c r="H137" s="884">
        <f t="shared" ref="H137:H138" si="80">F137*G137</f>
        <v>62500</v>
      </c>
      <c r="I137" s="884">
        <f>ROUND(6%*G137,1)</f>
        <v>150</v>
      </c>
      <c r="J137" s="884">
        <f t="shared" ref="J137:J138" si="81">I137*F137</f>
        <v>3750</v>
      </c>
      <c r="K137" s="884">
        <f>$M$1</f>
        <v>358.32</v>
      </c>
      <c r="L137" s="885">
        <f t="shared" ref="L137:L138" si="82">J137/K137</f>
        <v>10.465505693235098</v>
      </c>
      <c r="M137" s="915">
        <f>IF(SUM(L137)&gt;0,J137/H137,"")</f>
        <v>0.06</v>
      </c>
    </row>
    <row r="138" spans="2:13" ht="37.5" x14ac:dyDescent="0.25">
      <c r="B138" s="887" t="s">
        <v>41</v>
      </c>
      <c r="C138" s="892">
        <f ca="1">IF(E138="","",MAX(INDIRECT(ADDRESS(ROW()-7,COLUMN())):INDIRECT(ADDRESS(ROW()-1,COLUMN())))+1)</f>
        <v>69</v>
      </c>
      <c r="D138" s="888" t="s">
        <v>1700</v>
      </c>
      <c r="E138" s="883" t="s">
        <v>34</v>
      </c>
      <c r="F138" s="884">
        <v>36</v>
      </c>
      <c r="G138" s="884">
        <v>150</v>
      </c>
      <c r="H138" s="884">
        <f t="shared" si="80"/>
        <v>5400</v>
      </c>
      <c r="I138" s="884">
        <f>ROUND(6%*G138,1)</f>
        <v>9</v>
      </c>
      <c r="J138" s="884">
        <f t="shared" si="81"/>
        <v>324</v>
      </c>
      <c r="K138" s="884">
        <f>$M$1</f>
        <v>358.32</v>
      </c>
      <c r="L138" s="885">
        <f t="shared" si="82"/>
        <v>0.90421969189551243</v>
      </c>
      <c r="M138" s="915">
        <f>IF(SUM(L138)&gt;0,J138/H138,"")</f>
        <v>0.06</v>
      </c>
    </row>
    <row r="139" spans="2:13" ht="13" x14ac:dyDescent="0.25">
      <c r="B139" s="882" t="s">
        <v>343</v>
      </c>
      <c r="C139" s="911" t="str">
        <f ca="1">IF(E139="","",MAX(INDIRECT(ADDRESS(ROW()-7,COLUMN())):INDIRECT(ADDRESS(ROW()-1,COLUMN())))+1)</f>
        <v/>
      </c>
      <c r="D139" s="881" t="s">
        <v>1838</v>
      </c>
      <c r="E139" s="883"/>
      <c r="F139" s="884"/>
      <c r="G139" s="884"/>
      <c r="H139" s="884"/>
      <c r="I139" s="884"/>
      <c r="J139" s="884"/>
      <c r="K139" s="884"/>
      <c r="L139" s="885"/>
      <c r="M139" s="915"/>
    </row>
    <row r="140" spans="2:13" x14ac:dyDescent="0.25">
      <c r="B140" s="887" t="s">
        <v>39</v>
      </c>
      <c r="C140" s="892" t="str">
        <f ca="1">IF(E140="","",MAX(INDIRECT(ADDRESS(ROW()-7,COLUMN())):INDIRECT(ADDRESS(ROW()-1,COLUMN())))+1)</f>
        <v/>
      </c>
      <c r="D140" s="888" t="s">
        <v>1698</v>
      </c>
      <c r="E140" s="883"/>
      <c r="F140" s="884"/>
      <c r="G140" s="884"/>
      <c r="H140" s="884"/>
      <c r="I140" s="884"/>
      <c r="J140" s="884"/>
      <c r="K140" s="884"/>
      <c r="L140" s="885"/>
      <c r="M140" s="915"/>
    </row>
    <row r="141" spans="2:13" x14ac:dyDescent="0.25">
      <c r="B141" s="887" t="s">
        <v>990</v>
      </c>
      <c r="C141" s="892">
        <f ca="1">IF(E141="","",MAX(INDIRECT(ADDRESS(ROW()-7,COLUMN())):INDIRECT(ADDRESS(ROW()-1,COLUMN())))+1)</f>
        <v>70</v>
      </c>
      <c r="D141" s="888" t="s">
        <v>1782</v>
      </c>
      <c r="E141" s="883" t="s">
        <v>34</v>
      </c>
      <c r="F141" s="884">
        <v>36</v>
      </c>
      <c r="G141" s="884">
        <v>400</v>
      </c>
      <c r="H141" s="884">
        <f t="shared" ref="H141" si="83">F141*G141</f>
        <v>14400</v>
      </c>
      <c r="I141" s="884">
        <f>ROUND(6%*G141,1)</f>
        <v>24</v>
      </c>
      <c r="J141" s="884">
        <f t="shared" ref="J141" si="84">I141*F141</f>
        <v>864</v>
      </c>
      <c r="K141" s="884">
        <f>$M$1</f>
        <v>358.32</v>
      </c>
      <c r="L141" s="885">
        <f t="shared" ref="L141" si="85">J141/K141</f>
        <v>2.4112525117213663</v>
      </c>
      <c r="M141" s="915">
        <f>IF(SUM(L141)&gt;0,J141/H141,"")</f>
        <v>0.06</v>
      </c>
    </row>
    <row r="142" spans="2:13" x14ac:dyDescent="0.25">
      <c r="B142" s="887"/>
      <c r="C142" s="892" t="str">
        <f ca="1">IF(E142="","",MAX(INDIRECT(ADDRESS(ROW()-7,COLUMN())):INDIRECT(ADDRESS(ROW()-1,COLUMN())))+1)</f>
        <v/>
      </c>
      <c r="D142" s="888"/>
      <c r="E142" s="883"/>
      <c r="F142" s="884"/>
      <c r="G142" s="884"/>
      <c r="H142" s="884"/>
      <c r="I142" s="884"/>
      <c r="J142" s="884"/>
      <c r="K142" s="884"/>
      <c r="L142" s="885"/>
      <c r="M142" s="915"/>
    </row>
    <row r="143" spans="2:13" ht="13" x14ac:dyDescent="0.25">
      <c r="B143" s="882" t="s">
        <v>345</v>
      </c>
      <c r="C143" s="911" t="str">
        <f ca="1">IF(E143="","",MAX(INDIRECT(ADDRESS(ROW()-7,COLUMN())):INDIRECT(ADDRESS(ROW()-1,COLUMN())))+1)</f>
        <v/>
      </c>
      <c r="D143" s="881" t="s">
        <v>344</v>
      </c>
      <c r="E143" s="883"/>
      <c r="F143" s="884"/>
      <c r="G143" s="884"/>
      <c r="H143" s="884"/>
      <c r="I143" s="884"/>
      <c r="J143" s="884"/>
      <c r="K143" s="884"/>
      <c r="L143" s="885"/>
      <c r="M143" s="915"/>
    </row>
    <row r="144" spans="2:13" ht="13" x14ac:dyDescent="0.25">
      <c r="B144" s="882" t="s">
        <v>346</v>
      </c>
      <c r="C144" s="911" t="str">
        <f ca="1">IF(E144="","",MAX(INDIRECT(ADDRESS(ROW()-7,COLUMN())):INDIRECT(ADDRESS(ROW()-1,COLUMN())))+1)</f>
        <v/>
      </c>
      <c r="D144" s="881" t="s">
        <v>347</v>
      </c>
      <c r="E144" s="883"/>
      <c r="F144" s="884"/>
      <c r="G144" s="884"/>
      <c r="H144" s="884"/>
      <c r="I144" s="884"/>
      <c r="J144" s="884"/>
      <c r="K144" s="884"/>
      <c r="L144" s="885"/>
      <c r="M144" s="915"/>
    </row>
    <row r="145" spans="2:13" ht="25" x14ac:dyDescent="0.25">
      <c r="B145" s="887" t="s">
        <v>351</v>
      </c>
      <c r="C145" s="892">
        <f ca="1">IF(E145="","",MAX(INDIRECT(ADDRESS(ROW()-7,COLUMN())):INDIRECT(ADDRESS(ROW()-1,COLUMN())))+1)</f>
        <v>71</v>
      </c>
      <c r="D145" s="888" t="s">
        <v>1693</v>
      </c>
      <c r="E145" s="883" t="s">
        <v>6</v>
      </c>
      <c r="F145" s="884">
        <v>24</v>
      </c>
      <c r="G145" s="884">
        <v>540</v>
      </c>
      <c r="H145" s="884">
        <f t="shared" ref="H145" si="86">F145*G145</f>
        <v>12960</v>
      </c>
      <c r="I145" s="884">
        <f>ROUND(6%*G145,1)</f>
        <v>32.4</v>
      </c>
      <c r="J145" s="884">
        <f t="shared" ref="J145" si="87">I145*F145</f>
        <v>777.59999999999991</v>
      </c>
      <c r="K145" s="884">
        <f>$M$1</f>
        <v>358.32</v>
      </c>
      <c r="L145" s="885">
        <f t="shared" ref="L145" si="88">J145/K145</f>
        <v>2.1701272605492297</v>
      </c>
      <c r="M145" s="915">
        <f>IF(SUM(L145)&gt;0,J145/H145,"")</f>
        <v>5.9999999999999991E-2</v>
      </c>
    </row>
    <row r="146" spans="2:13" ht="13" x14ac:dyDescent="0.25">
      <c r="B146" s="882" t="s">
        <v>353</v>
      </c>
      <c r="C146" s="911" t="str">
        <f ca="1">IF(E146="","",MAX(INDIRECT(ADDRESS(ROW()-7,COLUMN())):INDIRECT(ADDRESS(ROW()-1,COLUMN())))+1)</f>
        <v/>
      </c>
      <c r="D146" s="881" t="s">
        <v>348</v>
      </c>
      <c r="E146" s="883"/>
      <c r="F146" s="884"/>
      <c r="G146" s="884"/>
      <c r="H146" s="884"/>
      <c r="I146" s="884"/>
      <c r="J146" s="884"/>
      <c r="K146" s="884"/>
      <c r="L146" s="885"/>
      <c r="M146" s="915"/>
    </row>
    <row r="147" spans="2:13" x14ac:dyDescent="0.25">
      <c r="B147" s="887" t="s">
        <v>352</v>
      </c>
      <c r="C147" s="892" t="str">
        <f ca="1">IF(E147="","",MAX(INDIRECT(ADDRESS(ROW()-7,COLUMN())):INDIRECT(ADDRESS(ROW()-1,COLUMN())))+1)</f>
        <v/>
      </c>
      <c r="D147" s="888" t="s">
        <v>1694</v>
      </c>
      <c r="E147" s="883"/>
      <c r="F147" s="884"/>
      <c r="G147" s="884"/>
      <c r="H147" s="884"/>
      <c r="I147" s="884"/>
      <c r="J147" s="884"/>
      <c r="K147" s="884"/>
      <c r="L147" s="885"/>
      <c r="M147" s="915"/>
    </row>
    <row r="148" spans="2:13" x14ac:dyDescent="0.25">
      <c r="B148" s="887" t="s">
        <v>990</v>
      </c>
      <c r="C148" s="892">
        <f ca="1">IF(E148="","",MAX(INDIRECT(ADDRESS(ROW()-7,COLUMN())):INDIRECT(ADDRESS(ROW()-1,COLUMN())))+1)</f>
        <v>72</v>
      </c>
      <c r="D148" s="888" t="s">
        <v>1858</v>
      </c>
      <c r="E148" s="883" t="s">
        <v>555</v>
      </c>
      <c r="F148" s="884">
        <v>15</v>
      </c>
      <c r="G148" s="884">
        <v>550</v>
      </c>
      <c r="H148" s="884">
        <f t="shared" ref="H148:H149" si="89">F148*G148</f>
        <v>8250</v>
      </c>
      <c r="I148" s="884">
        <f>ROUND(6%*G148,1)</f>
        <v>33</v>
      </c>
      <c r="J148" s="884">
        <f t="shared" ref="J148:J149" si="90">I148*F148</f>
        <v>495</v>
      </c>
      <c r="K148" s="884">
        <f>$M$1</f>
        <v>358.32</v>
      </c>
      <c r="L148" s="885">
        <f t="shared" ref="L148:L149" si="91">J148/K148</f>
        <v>1.3814467515070328</v>
      </c>
      <c r="M148" s="915">
        <f>IF(SUM(L148)&gt;0,J148/H148,"")</f>
        <v>0.06</v>
      </c>
    </row>
    <row r="149" spans="2:13" ht="25" x14ac:dyDescent="0.25">
      <c r="B149" s="887" t="s">
        <v>991</v>
      </c>
      <c r="C149" s="892">
        <f ca="1">IF(E149="","",MAX(INDIRECT(ADDRESS(ROW()-7,COLUMN())):INDIRECT(ADDRESS(ROW()-1,COLUMN())))+1)</f>
        <v>73</v>
      </c>
      <c r="D149" s="888" t="s">
        <v>1859</v>
      </c>
      <c r="E149" s="883" t="s">
        <v>555</v>
      </c>
      <c r="F149" s="884">
        <v>10</v>
      </c>
      <c r="G149" s="884">
        <v>550</v>
      </c>
      <c r="H149" s="884">
        <f t="shared" si="89"/>
        <v>5500</v>
      </c>
      <c r="I149" s="884">
        <f>ROUND(6%*G149,1)</f>
        <v>33</v>
      </c>
      <c r="J149" s="884">
        <f t="shared" si="90"/>
        <v>330</v>
      </c>
      <c r="K149" s="884">
        <f>$M$1</f>
        <v>358.32</v>
      </c>
      <c r="L149" s="885">
        <f t="shared" si="91"/>
        <v>0.92096450100468852</v>
      </c>
      <c r="M149" s="915">
        <f>IF(SUM(L149)&gt;0,J149/H149,"")</f>
        <v>0.06</v>
      </c>
    </row>
    <row r="150" spans="2:13" ht="13" x14ac:dyDescent="0.25">
      <c r="B150" s="882" t="s">
        <v>355</v>
      </c>
      <c r="C150" s="911" t="str">
        <f ca="1">IF(E150="","",MAX(INDIRECT(ADDRESS(ROW()-7,COLUMN())):INDIRECT(ADDRESS(ROW()-1,COLUMN())))+1)</f>
        <v/>
      </c>
      <c r="D150" s="881" t="s">
        <v>349</v>
      </c>
      <c r="E150" s="883"/>
      <c r="F150" s="884"/>
      <c r="G150" s="884"/>
      <c r="H150" s="884"/>
      <c r="I150" s="884"/>
      <c r="J150" s="884"/>
      <c r="K150" s="884"/>
      <c r="L150" s="885"/>
      <c r="M150" s="915"/>
    </row>
    <row r="151" spans="2:13" ht="25" x14ac:dyDescent="0.25">
      <c r="B151" s="887" t="s">
        <v>356</v>
      </c>
      <c r="C151" s="892">
        <f ca="1">IF(E151="","",MAX(INDIRECT(ADDRESS(ROW()-7,COLUMN())):INDIRECT(ADDRESS(ROW()-1,COLUMN())))+1)</f>
        <v>74</v>
      </c>
      <c r="D151" s="888" t="s">
        <v>1697</v>
      </c>
      <c r="E151" s="883" t="s">
        <v>555</v>
      </c>
      <c r="F151" s="884">
        <v>2.5</v>
      </c>
      <c r="G151" s="884">
        <v>200</v>
      </c>
      <c r="H151" s="884">
        <f t="shared" ref="H151" si="92">F151*G151</f>
        <v>500</v>
      </c>
      <c r="I151" s="884">
        <f>ROUND(6%*G151,1)</f>
        <v>12</v>
      </c>
      <c r="J151" s="884">
        <f t="shared" ref="J151" si="93">I151*F151</f>
        <v>30</v>
      </c>
      <c r="K151" s="884">
        <f>$M$1</f>
        <v>358.32</v>
      </c>
      <c r="L151" s="885">
        <f t="shared" ref="L151" si="94">J151/K151</f>
        <v>8.3724045545880782E-2</v>
      </c>
      <c r="M151" s="915">
        <f>IF(SUM(L151)&gt;0,J151/H151,"")</f>
        <v>0.06</v>
      </c>
    </row>
    <row r="152" spans="2:13" ht="13" x14ac:dyDescent="0.25">
      <c r="B152" s="882" t="s">
        <v>357</v>
      </c>
      <c r="C152" s="911" t="str">
        <f ca="1">IF(E152="","",MAX(INDIRECT(ADDRESS(ROW()-7,COLUMN())):INDIRECT(ADDRESS(ROW()-1,COLUMN())))+1)</f>
        <v/>
      </c>
      <c r="D152" s="881" t="s">
        <v>350</v>
      </c>
      <c r="E152" s="883"/>
      <c r="F152" s="884"/>
      <c r="G152" s="884"/>
      <c r="H152" s="884"/>
      <c r="I152" s="884"/>
      <c r="J152" s="884"/>
      <c r="K152" s="884"/>
      <c r="L152" s="885"/>
      <c r="M152" s="915"/>
    </row>
    <row r="153" spans="2:13" x14ac:dyDescent="0.25">
      <c r="B153" s="887" t="s">
        <v>358</v>
      </c>
      <c r="C153" s="892" t="str">
        <f ca="1">IF(E153="","",MAX(INDIRECT(ADDRESS(ROW()-7,COLUMN())):INDIRECT(ADDRESS(ROW()-1,COLUMN())))+1)</f>
        <v/>
      </c>
      <c r="D153" s="888" t="s">
        <v>1843</v>
      </c>
      <c r="E153" s="883"/>
      <c r="F153" s="884"/>
      <c r="G153" s="884"/>
      <c r="H153" s="884"/>
      <c r="I153" s="884"/>
      <c r="J153" s="884"/>
      <c r="K153" s="884"/>
      <c r="L153" s="885"/>
      <c r="M153" s="915"/>
    </row>
    <row r="154" spans="2:13" ht="37.5" x14ac:dyDescent="0.25">
      <c r="B154" s="887" t="s">
        <v>990</v>
      </c>
      <c r="C154" s="892">
        <f ca="1">IF(E154="","",MAX(INDIRECT(ADDRESS(ROW()-7,COLUMN())):INDIRECT(ADDRESS(ROW()-1,COLUMN())))+1)</f>
        <v>75</v>
      </c>
      <c r="D154" s="888" t="s">
        <v>1844</v>
      </c>
      <c r="E154" s="883" t="s">
        <v>6</v>
      </c>
      <c r="F154" s="884">
        <v>13</v>
      </c>
      <c r="G154" s="884">
        <v>75</v>
      </c>
      <c r="H154" s="884">
        <f t="shared" ref="H154:H155" si="95">F154*G154</f>
        <v>975</v>
      </c>
      <c r="I154" s="884">
        <f>ROUND(6%*G154,1)</f>
        <v>4.5</v>
      </c>
      <c r="J154" s="884">
        <f t="shared" ref="J154:J155" si="96">I154*F154</f>
        <v>58.5</v>
      </c>
      <c r="K154" s="884">
        <f>$M$1</f>
        <v>358.32</v>
      </c>
      <c r="L154" s="885">
        <f t="shared" ref="L154:L155" si="97">J154/K154</f>
        <v>0.16326188881446752</v>
      </c>
      <c r="M154" s="915">
        <f>IF(SUM(L154)&gt;0,J154/H154,"")</f>
        <v>0.06</v>
      </c>
    </row>
    <row r="155" spans="2:13" ht="37.5" x14ac:dyDescent="0.25">
      <c r="B155" s="887" t="s">
        <v>991</v>
      </c>
      <c r="C155" s="892">
        <f ca="1">IF(E155="","",MAX(INDIRECT(ADDRESS(ROW()-7,COLUMN())):INDIRECT(ADDRESS(ROW()-1,COLUMN())))+1)</f>
        <v>76</v>
      </c>
      <c r="D155" s="888" t="s">
        <v>1845</v>
      </c>
      <c r="E155" s="883" t="s">
        <v>6</v>
      </c>
      <c r="F155" s="884">
        <v>13</v>
      </c>
      <c r="G155" s="884">
        <v>75</v>
      </c>
      <c r="H155" s="884">
        <f t="shared" si="95"/>
        <v>975</v>
      </c>
      <c r="I155" s="884">
        <f>ROUND(6%*G155,1)</f>
        <v>4.5</v>
      </c>
      <c r="J155" s="884">
        <f t="shared" si="96"/>
        <v>58.5</v>
      </c>
      <c r="K155" s="884">
        <f>$M$1</f>
        <v>358.32</v>
      </c>
      <c r="L155" s="885">
        <f t="shared" si="97"/>
        <v>0.16326188881446752</v>
      </c>
      <c r="M155" s="915">
        <f>IF(SUM(L155)&gt;0,J155/H155,"")</f>
        <v>0.06</v>
      </c>
    </row>
    <row r="156" spans="2:13" x14ac:dyDescent="0.25">
      <c r="B156" s="887"/>
      <c r="C156" s="892" t="str">
        <f ca="1">IF(E156="","",MAX(INDIRECT(ADDRESS(ROW()-7,COLUMN())):INDIRECT(ADDRESS(ROW()-1,COLUMN())))+1)</f>
        <v/>
      </c>
      <c r="D156" s="888"/>
      <c r="E156" s="883"/>
      <c r="F156" s="884"/>
      <c r="G156" s="884"/>
      <c r="H156" s="884"/>
      <c r="I156" s="884"/>
      <c r="J156" s="884"/>
      <c r="K156" s="884"/>
      <c r="L156" s="885"/>
      <c r="M156" s="915"/>
    </row>
    <row r="157" spans="2:13" ht="13" x14ac:dyDescent="0.25">
      <c r="B157" s="882" t="s">
        <v>359</v>
      </c>
      <c r="C157" s="911" t="str">
        <f ca="1">IF(E157="","",MAX(INDIRECT(ADDRESS(ROW()-7,COLUMN())):INDIRECT(ADDRESS(ROW()-1,COLUMN())))+1)</f>
        <v/>
      </c>
      <c r="D157" s="881" t="s">
        <v>360</v>
      </c>
      <c r="E157" s="883"/>
      <c r="F157" s="884"/>
      <c r="G157" s="884"/>
      <c r="H157" s="884"/>
      <c r="I157" s="884"/>
      <c r="J157" s="884"/>
      <c r="K157" s="884"/>
      <c r="L157" s="885"/>
      <c r="M157" s="915"/>
    </row>
    <row r="158" spans="2:13" ht="26" x14ac:dyDescent="0.25">
      <c r="B158" s="882" t="s">
        <v>361</v>
      </c>
      <c r="C158" s="911" t="str">
        <f ca="1">IF(E158="","",MAX(INDIRECT(ADDRESS(ROW()-7,COLUMN())):INDIRECT(ADDRESS(ROW()-1,COLUMN())))+1)</f>
        <v/>
      </c>
      <c r="D158" s="881" t="s">
        <v>362</v>
      </c>
      <c r="E158" s="883"/>
      <c r="F158" s="884"/>
      <c r="G158" s="884"/>
      <c r="H158" s="884"/>
      <c r="I158" s="884"/>
      <c r="J158" s="884"/>
      <c r="K158" s="884"/>
      <c r="L158" s="885"/>
      <c r="M158" s="915"/>
    </row>
    <row r="159" spans="2:13" ht="25" x14ac:dyDescent="0.25">
      <c r="B159" s="887" t="s">
        <v>1888</v>
      </c>
      <c r="C159" s="892" t="str">
        <f ca="1">IF(E159="","",MAX(INDIRECT(ADDRESS(ROW()-7,COLUMN())):INDIRECT(ADDRESS(ROW()-1,COLUMN())))+1)</f>
        <v/>
      </c>
      <c r="D159" s="888" t="s">
        <v>2134</v>
      </c>
      <c r="E159" s="883"/>
      <c r="F159" s="884"/>
      <c r="G159" s="884"/>
      <c r="H159" s="884"/>
      <c r="I159" s="884"/>
      <c r="J159" s="884"/>
      <c r="K159" s="884"/>
      <c r="L159" s="885"/>
      <c r="M159" s="915"/>
    </row>
    <row r="160" spans="2:13" ht="37.5" x14ac:dyDescent="0.25">
      <c r="B160" s="887" t="s">
        <v>39</v>
      </c>
      <c r="C160" s="892">
        <f ca="1">IF(E160="","",MAX(INDIRECT(ADDRESS(ROW()-7,COLUMN())):INDIRECT(ADDRESS(ROW()-1,COLUMN())))+1)</f>
        <v>77</v>
      </c>
      <c r="D160" s="888" t="s">
        <v>1701</v>
      </c>
      <c r="E160" s="883" t="s">
        <v>6</v>
      </c>
      <c r="F160" s="884">
        <v>40</v>
      </c>
      <c r="G160" s="884">
        <v>4000</v>
      </c>
      <c r="H160" s="884">
        <f t="shared" ref="H160:H161" si="98">F160*G160</f>
        <v>160000</v>
      </c>
      <c r="I160" s="884">
        <f>ROUND(6%*G160,1)</f>
        <v>240</v>
      </c>
      <c r="J160" s="884">
        <f t="shared" ref="J160:J161" si="99">I160*F160</f>
        <v>9600</v>
      </c>
      <c r="K160" s="884">
        <f>$M$1</f>
        <v>358.32</v>
      </c>
      <c r="L160" s="885">
        <f t="shared" ref="L160:L161" si="100">J160/K160</f>
        <v>26.791694574681848</v>
      </c>
      <c r="M160" s="915">
        <f>IF(SUM(L160)&gt;0,J160/H160,"")</f>
        <v>0.06</v>
      </c>
    </row>
    <row r="161" spans="2:13" ht="25" x14ac:dyDescent="0.25">
      <c r="B161" s="887" t="s">
        <v>41</v>
      </c>
      <c r="C161" s="892">
        <f ca="1">IF(E161="","",MAX(INDIRECT(ADDRESS(ROW()-7,COLUMN())):INDIRECT(ADDRESS(ROW()-1,COLUMN())))+1)</f>
        <v>78</v>
      </c>
      <c r="D161" s="888" t="s">
        <v>1956</v>
      </c>
      <c r="E161" s="883" t="s">
        <v>6</v>
      </c>
      <c r="F161" s="884">
        <v>40</v>
      </c>
      <c r="G161" s="884">
        <v>4000</v>
      </c>
      <c r="H161" s="884">
        <f t="shared" si="98"/>
        <v>160000</v>
      </c>
      <c r="I161" s="884">
        <f>ROUND(6%*G161,1)</f>
        <v>240</v>
      </c>
      <c r="J161" s="884">
        <f t="shared" si="99"/>
        <v>9600</v>
      </c>
      <c r="K161" s="884">
        <f>$M$1</f>
        <v>358.32</v>
      </c>
      <c r="L161" s="885">
        <f t="shared" si="100"/>
        <v>26.791694574681848</v>
      </c>
      <c r="M161" s="915">
        <f>IF(SUM(L161)&gt;0,J161/H161,"")</f>
        <v>0.06</v>
      </c>
    </row>
    <row r="162" spans="2:13" ht="25" x14ac:dyDescent="0.25">
      <c r="B162" s="887" t="s">
        <v>1889</v>
      </c>
      <c r="C162" s="892" t="str">
        <f ca="1">IF(E162="","",MAX(INDIRECT(ADDRESS(ROW()-7,COLUMN())):INDIRECT(ADDRESS(ROW()-1,COLUMN())))+1)</f>
        <v/>
      </c>
      <c r="D162" s="888" t="s">
        <v>2155</v>
      </c>
      <c r="E162" s="883"/>
      <c r="F162" s="884"/>
      <c r="G162" s="884"/>
      <c r="H162" s="884"/>
      <c r="I162" s="884"/>
      <c r="J162" s="884"/>
      <c r="K162" s="884"/>
      <c r="L162" s="885"/>
      <c r="M162" s="915"/>
    </row>
    <row r="163" spans="2:13" ht="37.5" x14ac:dyDescent="0.25">
      <c r="B163" s="887" t="s">
        <v>39</v>
      </c>
      <c r="C163" s="892">
        <f ca="1">IF(E163="","",MAX(INDIRECT(ADDRESS(ROW()-7,COLUMN())):INDIRECT(ADDRESS(ROW()-1,COLUMN())))+1)</f>
        <v>79</v>
      </c>
      <c r="D163" s="888" t="s">
        <v>1703</v>
      </c>
      <c r="E163" s="883" t="s">
        <v>34</v>
      </c>
      <c r="F163" s="884">
        <v>2</v>
      </c>
      <c r="G163" s="884">
        <v>12500</v>
      </c>
      <c r="H163" s="884">
        <f t="shared" ref="H163:H164" si="101">F163*G163</f>
        <v>25000</v>
      </c>
      <c r="I163" s="884">
        <f>ROUND(6%*G163,1)</f>
        <v>750</v>
      </c>
      <c r="J163" s="884">
        <f t="shared" ref="J163:J164" si="102">I163*F163</f>
        <v>1500</v>
      </c>
      <c r="K163" s="884">
        <f>$M$1</f>
        <v>358.32</v>
      </c>
      <c r="L163" s="885">
        <f t="shared" ref="L163:L164" si="103">J163/K163</f>
        <v>4.186202277294039</v>
      </c>
      <c r="M163" s="915">
        <f>IF(SUM(L163)&gt;0,J163/H163,"")</f>
        <v>0.06</v>
      </c>
    </row>
    <row r="164" spans="2:13" ht="37.5" x14ac:dyDescent="0.25">
      <c r="B164" s="887" t="s">
        <v>41</v>
      </c>
      <c r="C164" s="892">
        <f ca="1">IF(E164="","",MAX(INDIRECT(ADDRESS(ROW()-7,COLUMN())):INDIRECT(ADDRESS(ROW()-1,COLUMN())))+1)</f>
        <v>80</v>
      </c>
      <c r="D164" s="888" t="s">
        <v>1704</v>
      </c>
      <c r="E164" s="883" t="s">
        <v>34</v>
      </c>
      <c r="F164" s="884">
        <v>2</v>
      </c>
      <c r="G164" s="884">
        <v>12500</v>
      </c>
      <c r="H164" s="884">
        <f t="shared" si="101"/>
        <v>25000</v>
      </c>
      <c r="I164" s="884">
        <f>ROUND(6%*G164,1)</f>
        <v>750</v>
      </c>
      <c r="J164" s="884">
        <f t="shared" si="102"/>
        <v>1500</v>
      </c>
      <c r="K164" s="884">
        <f>$M$1</f>
        <v>358.32</v>
      </c>
      <c r="L164" s="885">
        <f t="shared" si="103"/>
        <v>4.186202277294039</v>
      </c>
      <c r="M164" s="915">
        <f>IF(SUM(L164)&gt;0,J164/H164,"")</f>
        <v>0.06</v>
      </c>
    </row>
    <row r="165" spans="2:13" x14ac:dyDescent="0.25">
      <c r="B165" s="887" t="s">
        <v>1890</v>
      </c>
      <c r="C165" s="892" t="str">
        <f ca="1">IF(E165="","",MAX(INDIRECT(ADDRESS(ROW()-7,COLUMN())):INDIRECT(ADDRESS(ROW()-1,COLUMN())))+1)</f>
        <v/>
      </c>
      <c r="D165" s="888" t="s">
        <v>364</v>
      </c>
      <c r="E165" s="883"/>
      <c r="F165" s="884"/>
      <c r="G165" s="884"/>
      <c r="H165" s="884"/>
      <c r="I165" s="884"/>
      <c r="J165" s="884"/>
      <c r="K165" s="884"/>
      <c r="L165" s="885"/>
      <c r="M165" s="915"/>
    </row>
    <row r="166" spans="2:13" x14ac:dyDescent="0.25">
      <c r="B166" s="887" t="s">
        <v>370</v>
      </c>
      <c r="C166" s="892">
        <f ca="1">IF(E166="","",MAX(INDIRECT(ADDRESS(ROW()-7,COLUMN())):INDIRECT(ADDRESS(ROW()-1,COLUMN())))+1)</f>
        <v>81</v>
      </c>
      <c r="D166" s="888" t="s">
        <v>1957</v>
      </c>
      <c r="E166" s="883" t="s">
        <v>34</v>
      </c>
      <c r="F166" s="884">
        <v>2</v>
      </c>
      <c r="G166" s="884">
        <v>6000</v>
      </c>
      <c r="H166" s="884">
        <f t="shared" ref="H166" si="104">F166*G166</f>
        <v>12000</v>
      </c>
      <c r="I166" s="884">
        <f>ROUND(6%*G166,1)</f>
        <v>360</v>
      </c>
      <c r="J166" s="884">
        <f t="shared" ref="J166" si="105">I166*F166</f>
        <v>720</v>
      </c>
      <c r="K166" s="884">
        <f>$M$1</f>
        <v>358.32</v>
      </c>
      <c r="L166" s="885">
        <f t="shared" ref="L166" si="106">J166/K166</f>
        <v>2.0093770931011385</v>
      </c>
      <c r="M166" s="915">
        <f>IF(SUM(L166)&gt;0,J166/H166,"")</f>
        <v>0.06</v>
      </c>
    </row>
    <row r="167" spans="2:13" x14ac:dyDescent="0.25">
      <c r="B167" s="887"/>
      <c r="C167" s="892" t="str">
        <f ca="1">IF(E167="","",MAX(INDIRECT(ADDRESS(ROW()-7,COLUMN())):INDIRECT(ADDRESS(ROW()-1,COLUMN())))+1)</f>
        <v/>
      </c>
      <c r="D167" s="888"/>
      <c r="E167" s="883"/>
      <c r="F167" s="884"/>
      <c r="G167" s="884"/>
      <c r="H167" s="884"/>
      <c r="I167" s="884"/>
      <c r="J167" s="884"/>
      <c r="K167" s="884"/>
      <c r="L167" s="885"/>
      <c r="M167" s="915"/>
    </row>
    <row r="168" spans="2:13" ht="13" x14ac:dyDescent="0.25">
      <c r="B168" s="882" t="s">
        <v>277</v>
      </c>
      <c r="C168" s="911" t="str">
        <f ca="1">IF(E168="","",MAX(INDIRECT(ADDRESS(ROW()-7,COLUMN())):INDIRECT(ADDRESS(ROW()-1,COLUMN())))+1)</f>
        <v/>
      </c>
      <c r="D168" s="881" t="s">
        <v>2156</v>
      </c>
      <c r="E168" s="883"/>
      <c r="F168" s="884"/>
      <c r="G168" s="884"/>
      <c r="H168" s="884"/>
      <c r="I168" s="884"/>
      <c r="J168" s="884"/>
      <c r="K168" s="884"/>
      <c r="L168" s="885"/>
      <c r="M168" s="915"/>
    </row>
    <row r="169" spans="2:13" ht="13" x14ac:dyDescent="0.25">
      <c r="B169" s="882" t="s">
        <v>292</v>
      </c>
      <c r="C169" s="911" t="str">
        <f ca="1">IF(E169="","",MAX(INDIRECT(ADDRESS(ROW()-7,COLUMN())):INDIRECT(ADDRESS(ROW()-1,COLUMN())))+1)</f>
        <v/>
      </c>
      <c r="D169" s="881" t="s">
        <v>291</v>
      </c>
      <c r="E169" s="883"/>
      <c r="F169" s="884"/>
      <c r="G169" s="884"/>
      <c r="H169" s="884"/>
      <c r="I169" s="884"/>
      <c r="J169" s="884"/>
      <c r="K169" s="884"/>
      <c r="L169" s="885"/>
      <c r="M169" s="915"/>
    </row>
    <row r="170" spans="2:13" x14ac:dyDescent="0.25">
      <c r="B170" s="887" t="s">
        <v>293</v>
      </c>
      <c r="C170" s="892">
        <f ca="1">IF(E170="","",MAX(INDIRECT(ADDRESS(ROW()-7,COLUMN())):INDIRECT(ADDRESS(ROW()-1,COLUMN())))+1)</f>
        <v>82</v>
      </c>
      <c r="D170" s="888" t="s">
        <v>295</v>
      </c>
      <c r="E170" s="883" t="s">
        <v>11</v>
      </c>
      <c r="F170" s="884">
        <v>1</v>
      </c>
      <c r="G170" s="884">
        <v>15000</v>
      </c>
      <c r="H170" s="884">
        <f t="shared" ref="H170:H171" si="107">F170*G170</f>
        <v>15000</v>
      </c>
      <c r="I170" s="884">
        <f>ROUND(Labour_perc_roads*G170,1)</f>
        <v>435</v>
      </c>
      <c r="J170" s="884">
        <f t="shared" ref="J170:J171" si="108">I170*F170</f>
        <v>435</v>
      </c>
      <c r="K170" s="884">
        <f>$M$1</f>
        <v>358.32</v>
      </c>
      <c r="L170" s="885">
        <f t="shared" ref="L170:L171" si="109">J170/K170</f>
        <v>1.2139986604152713</v>
      </c>
      <c r="M170" s="915">
        <f>IF(SUM(L170)&gt;0,J170/H170,"")</f>
        <v>2.9000000000000001E-2</v>
      </c>
    </row>
    <row r="171" spans="2:13" x14ac:dyDescent="0.25">
      <c r="B171" s="887" t="s">
        <v>294</v>
      </c>
      <c r="C171" s="892">
        <f ca="1">IF(E171="","",MAX(INDIRECT(ADDRESS(ROW()-7,COLUMN())):INDIRECT(ADDRESS(ROW()-1,COLUMN())))+1)</f>
        <v>83</v>
      </c>
      <c r="D171" s="888" t="s">
        <v>296</v>
      </c>
      <c r="E171" s="883" t="s">
        <v>11</v>
      </c>
      <c r="F171" s="884">
        <v>1</v>
      </c>
      <c r="G171" s="884">
        <v>15000</v>
      </c>
      <c r="H171" s="884">
        <f t="shared" si="107"/>
        <v>15000</v>
      </c>
      <c r="I171" s="884">
        <f>ROUND(Labour_perc_roads*G171,1)</f>
        <v>435</v>
      </c>
      <c r="J171" s="884">
        <f t="shared" si="108"/>
        <v>435</v>
      </c>
      <c r="K171" s="884">
        <f>$M$1</f>
        <v>358.32</v>
      </c>
      <c r="L171" s="885">
        <f t="shared" si="109"/>
        <v>1.2139986604152713</v>
      </c>
      <c r="M171" s="915">
        <f>IF(SUM(L171)&gt;0,J171/H171,"")</f>
        <v>2.9000000000000001E-2</v>
      </c>
    </row>
    <row r="172" spans="2:13" x14ac:dyDescent="0.25">
      <c r="B172" s="887"/>
      <c r="C172" s="892" t="str">
        <f ca="1">IF(E172="","",MAX(INDIRECT(ADDRESS(ROW()-7,COLUMN())):INDIRECT(ADDRESS(ROW()-1,COLUMN())))+1)</f>
        <v/>
      </c>
      <c r="D172" s="888"/>
      <c r="E172" s="883"/>
      <c r="F172" s="884"/>
      <c r="G172" s="884"/>
      <c r="H172" s="884"/>
      <c r="I172" s="884"/>
      <c r="J172" s="884"/>
      <c r="K172" s="884"/>
      <c r="L172" s="885"/>
      <c r="M172" s="915"/>
    </row>
    <row r="173" spans="2:13" ht="13" x14ac:dyDescent="0.25">
      <c r="B173" s="882" t="s">
        <v>277</v>
      </c>
      <c r="C173" s="911" t="str">
        <f ca="1">IF(E173="","",MAX(INDIRECT(ADDRESS(ROW()-7,COLUMN())):INDIRECT(ADDRESS(ROW()-1,COLUMN())))+1)</f>
        <v/>
      </c>
      <c r="D173" s="881" t="s">
        <v>2157</v>
      </c>
      <c r="E173" s="883"/>
      <c r="F173" s="884"/>
      <c r="G173" s="884"/>
      <c r="H173" s="884"/>
      <c r="I173" s="884"/>
      <c r="J173" s="884"/>
      <c r="K173" s="884"/>
      <c r="L173" s="885"/>
      <c r="M173" s="915"/>
    </row>
    <row r="174" spans="2:13" ht="13" x14ac:dyDescent="0.25">
      <c r="B174" s="882" t="s">
        <v>292</v>
      </c>
      <c r="C174" s="911" t="str">
        <f ca="1">IF(E174="","",MAX(INDIRECT(ADDRESS(ROW()-7,COLUMN())):INDIRECT(ADDRESS(ROW()-1,COLUMN())))+1)</f>
        <v/>
      </c>
      <c r="D174" s="881" t="s">
        <v>291</v>
      </c>
      <c r="E174" s="883"/>
      <c r="F174" s="884"/>
      <c r="G174" s="884"/>
      <c r="H174" s="884"/>
      <c r="I174" s="884"/>
      <c r="J174" s="884"/>
      <c r="K174" s="884"/>
      <c r="L174" s="885"/>
      <c r="M174" s="915"/>
    </row>
    <row r="175" spans="2:13" x14ac:dyDescent="0.25">
      <c r="B175" s="887" t="s">
        <v>293</v>
      </c>
      <c r="C175" s="892">
        <f ca="1">IF(E175="","",MAX(INDIRECT(ADDRESS(ROW()-7,COLUMN())):INDIRECT(ADDRESS(ROW()-1,COLUMN())))+1)</f>
        <v>84</v>
      </c>
      <c r="D175" s="888" t="s">
        <v>295</v>
      </c>
      <c r="E175" s="883" t="s">
        <v>11</v>
      </c>
      <c r="F175" s="884">
        <v>1</v>
      </c>
      <c r="G175" s="884">
        <v>15000</v>
      </c>
      <c r="H175" s="884">
        <f t="shared" ref="H175:H176" si="110">F175*G175</f>
        <v>15000</v>
      </c>
      <c r="I175" s="884">
        <f>ROUND(Labour_perc_roads*G175,1)</f>
        <v>435</v>
      </c>
      <c r="J175" s="884">
        <f t="shared" ref="J175:J176" si="111">I175*F175</f>
        <v>435</v>
      </c>
      <c r="K175" s="884">
        <f>$M$1</f>
        <v>358.32</v>
      </c>
      <c r="L175" s="885">
        <f t="shared" ref="L175:L176" si="112">J175/K175</f>
        <v>1.2139986604152713</v>
      </c>
      <c r="M175" s="915">
        <f>IF(SUM(L175)&gt;0,J175/H175,"")</f>
        <v>2.9000000000000001E-2</v>
      </c>
    </row>
    <row r="176" spans="2:13" x14ac:dyDescent="0.25">
      <c r="B176" s="887" t="s">
        <v>294</v>
      </c>
      <c r="C176" s="892">
        <f ca="1">IF(E176="","",MAX(INDIRECT(ADDRESS(ROW()-7,COLUMN())):INDIRECT(ADDRESS(ROW()-1,COLUMN())))+1)</f>
        <v>85</v>
      </c>
      <c r="D176" s="888" t="s">
        <v>296</v>
      </c>
      <c r="E176" s="883" t="s">
        <v>11</v>
      </c>
      <c r="F176" s="884">
        <v>1</v>
      </c>
      <c r="G176" s="884">
        <v>15000</v>
      </c>
      <c r="H176" s="884">
        <f t="shared" si="110"/>
        <v>15000</v>
      </c>
      <c r="I176" s="884">
        <f>ROUND(Labour_perc_roads*G176,1)</f>
        <v>435</v>
      </c>
      <c r="J176" s="884">
        <f t="shared" si="111"/>
        <v>435</v>
      </c>
      <c r="K176" s="884">
        <f>$M$1</f>
        <v>358.32</v>
      </c>
      <c r="L176" s="885">
        <f t="shared" si="112"/>
        <v>1.2139986604152713</v>
      </c>
      <c r="M176" s="915">
        <f>IF(SUM(L176)&gt;0,J176/H176,"")</f>
        <v>2.9000000000000001E-2</v>
      </c>
    </row>
    <row r="177" spans="2:13" x14ac:dyDescent="0.25">
      <c r="B177" s="887"/>
      <c r="C177" s="892" t="str">
        <f ca="1">IF(E177="","",MAX(INDIRECT(ADDRESS(ROW()-7,COLUMN())):INDIRECT(ADDRESS(ROW()-1,COLUMN())))+1)</f>
        <v/>
      </c>
      <c r="D177" s="888"/>
      <c r="E177" s="883"/>
      <c r="F177" s="884"/>
      <c r="G177" s="884"/>
      <c r="H177" s="884"/>
      <c r="I177" s="884"/>
      <c r="J177" s="884"/>
      <c r="K177" s="884"/>
      <c r="L177" s="885"/>
      <c r="M177" s="915"/>
    </row>
    <row r="178" spans="2:13" ht="13" x14ac:dyDescent="0.25">
      <c r="B178" s="891" t="s">
        <v>1072</v>
      </c>
      <c r="C178" s="919"/>
      <c r="D178" s="924"/>
      <c r="E178" s="920"/>
      <c r="F178" s="921"/>
      <c r="G178" s="921"/>
      <c r="H178" s="921"/>
      <c r="I178" s="921"/>
      <c r="J178" s="921"/>
      <c r="K178" s="921"/>
      <c r="L178" s="922"/>
      <c r="M178" s="923"/>
    </row>
    <row r="179" spans="2:13" ht="13" x14ac:dyDescent="0.25">
      <c r="B179" s="882" t="s">
        <v>14</v>
      </c>
      <c r="C179" s="911" t="str">
        <f ca="1">IF(E179="","",MAX(INDIRECT(ADDRESS(ROW()-7,COLUMN())):INDIRECT(ADDRESS(ROW()-1,COLUMN())))+1)</f>
        <v/>
      </c>
      <c r="D179" s="881" t="s">
        <v>13</v>
      </c>
      <c r="E179" s="883"/>
      <c r="F179" s="884"/>
      <c r="G179" s="884"/>
      <c r="H179" s="884"/>
      <c r="I179" s="884"/>
      <c r="J179" s="884"/>
      <c r="K179" s="884"/>
      <c r="L179" s="885"/>
      <c r="M179" s="915"/>
    </row>
    <row r="180" spans="2:13" ht="13" x14ac:dyDescent="0.25">
      <c r="B180" s="882" t="s">
        <v>35</v>
      </c>
      <c r="C180" s="911" t="str">
        <f ca="1">IF(E180="","",MAX(INDIRECT(ADDRESS(ROW()-7,COLUMN())):INDIRECT(ADDRESS(ROW()-1,COLUMN())))+1)</f>
        <v/>
      </c>
      <c r="D180" s="881" t="s">
        <v>36</v>
      </c>
      <c r="E180" s="883"/>
      <c r="F180" s="884"/>
      <c r="G180" s="884"/>
      <c r="H180" s="884"/>
      <c r="I180" s="884"/>
      <c r="J180" s="884"/>
      <c r="K180" s="884"/>
      <c r="L180" s="885"/>
      <c r="M180" s="915"/>
    </row>
    <row r="181" spans="2:13" x14ac:dyDescent="0.25">
      <c r="B181" s="887" t="s">
        <v>37</v>
      </c>
      <c r="C181" s="892" t="str">
        <f ca="1">IF(E181="","",MAX(INDIRECT(ADDRESS(ROW()-7,COLUMN())):INDIRECT(ADDRESS(ROW()-1,COLUMN())))+1)</f>
        <v/>
      </c>
      <c r="D181" s="888" t="s">
        <v>38</v>
      </c>
      <c r="E181" s="883"/>
      <c r="F181" s="884"/>
      <c r="G181" s="884"/>
      <c r="H181" s="884"/>
      <c r="I181" s="884"/>
      <c r="J181" s="884"/>
      <c r="K181" s="884"/>
      <c r="L181" s="885"/>
      <c r="M181" s="915"/>
    </row>
    <row r="182" spans="2:13" x14ac:dyDescent="0.25">
      <c r="B182" s="887" t="s">
        <v>39</v>
      </c>
      <c r="C182" s="892">
        <f ca="1">IF(E182="","",MAX(INDIRECT(ADDRESS(ROW()-7,COLUMN())):INDIRECT(ADDRESS(ROW()-1,COLUMN())))+1)</f>
        <v>86</v>
      </c>
      <c r="D182" s="888" t="s">
        <v>40</v>
      </c>
      <c r="E182" s="883" t="s">
        <v>191</v>
      </c>
      <c r="F182" s="884">
        <v>180</v>
      </c>
      <c r="G182" s="884">
        <v>40</v>
      </c>
      <c r="H182" s="884">
        <f t="shared" ref="H182" si="113">F182*G182</f>
        <v>7200</v>
      </c>
      <c r="I182" s="884">
        <f>G182*97/100</f>
        <v>38.799999999999997</v>
      </c>
      <c r="J182" s="884">
        <f t="shared" ref="J182" si="114">I182*F182</f>
        <v>6983.9999999999991</v>
      </c>
      <c r="K182" s="884">
        <f>$M$1</f>
        <v>358.32</v>
      </c>
      <c r="L182" s="885">
        <f t="shared" ref="L182" si="115">J182/K182</f>
        <v>19.490957803081042</v>
      </c>
      <c r="M182" s="915">
        <f>IF(SUM(L182)&gt;0,J182/H182,"")</f>
        <v>0.96999999999999986</v>
      </c>
    </row>
    <row r="183" spans="2:13" x14ac:dyDescent="0.25">
      <c r="B183" s="887"/>
      <c r="C183" s="892" t="str">
        <f ca="1">IF(E183="","",MAX(INDIRECT(ADDRESS(ROW()-7,COLUMN())):INDIRECT(ADDRESS(ROW()-1,COLUMN())))+1)</f>
        <v/>
      </c>
      <c r="D183" s="888"/>
      <c r="E183" s="883"/>
      <c r="F183" s="884"/>
      <c r="G183" s="884"/>
      <c r="H183" s="884"/>
      <c r="I183" s="884"/>
      <c r="J183" s="884"/>
      <c r="K183" s="884"/>
      <c r="L183" s="885"/>
      <c r="M183" s="915"/>
    </row>
    <row r="184" spans="2:13" ht="13" x14ac:dyDescent="0.25">
      <c r="B184" s="882" t="s">
        <v>1064</v>
      </c>
      <c r="C184" s="911" t="str">
        <f ca="1">IF(E184="","",MAX(INDIRECT(ADDRESS(ROW()-7,COLUMN())):INDIRECT(ADDRESS(ROW()-1,COLUMN())))+1)</f>
        <v/>
      </c>
      <c r="D184" s="881" t="s">
        <v>134</v>
      </c>
      <c r="E184" s="883"/>
      <c r="F184" s="884"/>
      <c r="G184" s="884"/>
      <c r="H184" s="884"/>
      <c r="I184" s="884"/>
      <c r="J184" s="884"/>
      <c r="K184" s="884"/>
      <c r="L184" s="885"/>
      <c r="M184" s="915"/>
    </row>
    <row r="185" spans="2:13" ht="13" x14ac:dyDescent="0.25">
      <c r="B185" s="882" t="s">
        <v>143</v>
      </c>
      <c r="C185" s="911" t="str">
        <f ca="1">IF(E185="","",MAX(INDIRECT(ADDRESS(ROW()-7,COLUMN())):INDIRECT(ADDRESS(ROW()-1,COLUMN())))+1)</f>
        <v/>
      </c>
      <c r="D185" s="881" t="s">
        <v>144</v>
      </c>
      <c r="E185" s="883"/>
      <c r="F185" s="884"/>
      <c r="G185" s="884"/>
      <c r="H185" s="884"/>
      <c r="I185" s="884"/>
      <c r="J185" s="884"/>
      <c r="K185" s="884"/>
      <c r="L185" s="885"/>
      <c r="M185" s="915"/>
    </row>
    <row r="186" spans="2:13" ht="25" x14ac:dyDescent="0.25">
      <c r="B186" s="887" t="s">
        <v>145</v>
      </c>
      <c r="C186" s="892" t="str">
        <f ca="1">IF(E186="","",MAX(INDIRECT(ADDRESS(ROW()-7,COLUMN())):INDIRECT(ADDRESS(ROW()-1,COLUMN())))+1)</f>
        <v/>
      </c>
      <c r="D186" s="888" t="s">
        <v>148</v>
      </c>
      <c r="E186" s="883"/>
      <c r="F186" s="884"/>
      <c r="G186" s="884"/>
      <c r="H186" s="884"/>
      <c r="I186" s="884"/>
      <c r="J186" s="884"/>
      <c r="K186" s="884"/>
      <c r="L186" s="885"/>
      <c r="M186" s="915"/>
    </row>
    <row r="187" spans="2:13" ht="25" x14ac:dyDescent="0.25">
      <c r="B187" s="887" t="s">
        <v>39</v>
      </c>
      <c r="C187" s="892">
        <f ca="1">IF(E187="","",MAX(INDIRECT(ADDRESS(ROW()-7,COLUMN())):INDIRECT(ADDRESS(ROW()-1,COLUMN())))+1)</f>
        <v>87</v>
      </c>
      <c r="D187" s="888" t="s">
        <v>1779</v>
      </c>
      <c r="E187" s="883" t="s">
        <v>34</v>
      </c>
      <c r="F187" s="884">
        <v>40</v>
      </c>
      <c r="G187" s="884">
        <v>150</v>
      </c>
      <c r="H187" s="884">
        <f t="shared" ref="H187:H189" si="116">F187*G187</f>
        <v>6000</v>
      </c>
      <c r="I187" s="884">
        <f>ROUND(Labour_perc_roads*G187,1)</f>
        <v>4.4000000000000004</v>
      </c>
      <c r="J187" s="884">
        <f t="shared" ref="J187:J189" si="117">I187*F187</f>
        <v>176</v>
      </c>
      <c r="K187" s="884">
        <f>$M$1</f>
        <v>358.32</v>
      </c>
      <c r="L187" s="885">
        <f t="shared" ref="L187:L189" si="118">J187/K187</f>
        <v>0.49118106720250054</v>
      </c>
      <c r="M187" s="915">
        <f>IF(SUM(L187)&gt;0,J187/H187,"")</f>
        <v>2.9333333333333333E-2</v>
      </c>
    </row>
    <row r="188" spans="2:13" ht="25" x14ac:dyDescent="0.25">
      <c r="B188" s="887" t="s">
        <v>41</v>
      </c>
      <c r="C188" s="892">
        <f ca="1">IF(E188="","",MAX(INDIRECT(ADDRESS(ROW()-7,COLUMN())):INDIRECT(ADDRESS(ROW()-1,COLUMN())))+1)</f>
        <v>88</v>
      </c>
      <c r="D188" s="888" t="s">
        <v>1780</v>
      </c>
      <c r="E188" s="883" t="s">
        <v>34</v>
      </c>
      <c r="F188" s="884">
        <v>40</v>
      </c>
      <c r="G188" s="884">
        <v>200</v>
      </c>
      <c r="H188" s="884">
        <f t="shared" si="116"/>
        <v>8000</v>
      </c>
      <c r="I188" s="884">
        <f>ROUND(Labour_perc_roads*G188,1)</f>
        <v>5.8</v>
      </c>
      <c r="J188" s="884">
        <f t="shared" si="117"/>
        <v>232</v>
      </c>
      <c r="K188" s="884">
        <f>$M$1</f>
        <v>358.32</v>
      </c>
      <c r="L188" s="885">
        <f t="shared" si="118"/>
        <v>0.64746595222147807</v>
      </c>
      <c r="M188" s="915">
        <f>IF(SUM(L188)&gt;0,J188/H188,"")</f>
        <v>2.9000000000000001E-2</v>
      </c>
    </row>
    <row r="189" spans="2:13" x14ac:dyDescent="0.25">
      <c r="B189" s="887" t="s">
        <v>146</v>
      </c>
      <c r="C189" s="892">
        <f ca="1">IF(E189="","",MAX(INDIRECT(ADDRESS(ROW()-7,COLUMN())):INDIRECT(ADDRESS(ROW()-1,COLUMN())))+1)</f>
        <v>89</v>
      </c>
      <c r="D189" s="888" t="s">
        <v>149</v>
      </c>
      <c r="E189" s="883" t="s">
        <v>192</v>
      </c>
      <c r="F189" s="884">
        <v>1760</v>
      </c>
      <c r="G189" s="884">
        <v>414</v>
      </c>
      <c r="H189" s="884">
        <f t="shared" si="116"/>
        <v>728640</v>
      </c>
      <c r="I189" s="884">
        <f>_LabourDaily</f>
        <v>358.32</v>
      </c>
      <c r="J189" s="884">
        <f t="shared" si="117"/>
        <v>630643.19999999995</v>
      </c>
      <c r="K189" s="884">
        <f>$M$1</f>
        <v>358.32</v>
      </c>
      <c r="L189" s="885">
        <f t="shared" si="118"/>
        <v>1760</v>
      </c>
      <c r="M189" s="915">
        <f>IF(SUM(L189)&gt;0,J189/H189,"")</f>
        <v>0.86550724637681153</v>
      </c>
    </row>
    <row r="190" spans="2:13" x14ac:dyDescent="0.25">
      <c r="B190" s="887" t="s">
        <v>147</v>
      </c>
      <c r="C190" s="892" t="str">
        <f ca="1">IF(E190="","",MAX(INDIRECT(ADDRESS(ROW()-7,COLUMN())):INDIRECT(ADDRESS(ROW()-1,COLUMN())))+1)</f>
        <v/>
      </c>
      <c r="D190" s="888" t="s">
        <v>150</v>
      </c>
      <c r="E190" s="883"/>
      <c r="F190" s="884"/>
      <c r="G190" s="884"/>
      <c r="H190" s="884"/>
      <c r="I190" s="884"/>
      <c r="J190" s="884"/>
      <c r="K190" s="884"/>
      <c r="L190" s="885"/>
      <c r="M190" s="915"/>
    </row>
    <row r="191" spans="2:13" ht="37.5" x14ac:dyDescent="0.25">
      <c r="B191" s="887" t="s">
        <v>39</v>
      </c>
      <c r="C191" s="892" t="str">
        <f ca="1">IF(E191="","",MAX(INDIRECT(ADDRESS(ROW()-7,COLUMN())):INDIRECT(ADDRESS(ROW()-1,COLUMN())))+1)</f>
        <v/>
      </c>
      <c r="D191" s="888" t="s">
        <v>151</v>
      </c>
      <c r="E191" s="883"/>
      <c r="F191" s="884"/>
      <c r="G191" s="884"/>
      <c r="H191" s="884"/>
      <c r="I191" s="884"/>
      <c r="J191" s="884"/>
      <c r="K191" s="884"/>
      <c r="L191" s="885"/>
      <c r="M191" s="915"/>
    </row>
    <row r="192" spans="2:13" ht="13" x14ac:dyDescent="0.25">
      <c r="B192" s="882" t="s">
        <v>1876</v>
      </c>
      <c r="C192" s="892">
        <f ca="1">IF(E192="","",MAX(INDIRECT(ADDRESS(ROW()-7,COLUMN())):INDIRECT(ADDRESS(ROW()-1,COLUMN())))+1)</f>
        <v>90</v>
      </c>
      <c r="D192" s="881" t="s">
        <v>155</v>
      </c>
      <c r="E192" s="883" t="s">
        <v>18</v>
      </c>
      <c r="F192" s="884">
        <v>21</v>
      </c>
      <c r="G192" s="884">
        <v>20000</v>
      </c>
      <c r="H192" s="884">
        <f t="shared" ref="H192:H193" si="119">F192*G192</f>
        <v>420000</v>
      </c>
      <c r="I192" s="884">
        <f>ROUND(Labour_perc_roads*G192,1)</f>
        <v>580</v>
      </c>
      <c r="J192" s="884">
        <f t="shared" ref="J192:J193" si="120">I192*F192</f>
        <v>12180</v>
      </c>
      <c r="K192" s="884">
        <f>$M$1</f>
        <v>358.32</v>
      </c>
      <c r="L192" s="885">
        <f t="shared" ref="L192:L193" si="121">J192/K192</f>
        <v>33.991962491627596</v>
      </c>
      <c r="M192" s="915">
        <f>IF(SUM(L192)&gt;0,J192/H192,"")</f>
        <v>2.9000000000000001E-2</v>
      </c>
    </row>
    <row r="193" spans="2:13" ht="13" x14ac:dyDescent="0.25">
      <c r="B193" s="882" t="s">
        <v>1906</v>
      </c>
      <c r="C193" s="892">
        <f ca="1">IF(E193="","",MAX(INDIRECT(ADDRESS(ROW()-7,COLUMN())):INDIRECT(ADDRESS(ROW()-1,COLUMN())))+1)</f>
        <v>91</v>
      </c>
      <c r="D193" s="881" t="s">
        <v>1907</v>
      </c>
      <c r="E193" s="883" t="s">
        <v>18</v>
      </c>
      <c r="F193" s="884">
        <v>21</v>
      </c>
      <c r="G193" s="884">
        <v>1000</v>
      </c>
      <c r="H193" s="884">
        <f t="shared" si="119"/>
        <v>21000</v>
      </c>
      <c r="I193" s="884">
        <f>_LabourDaily*2</f>
        <v>716.64</v>
      </c>
      <c r="J193" s="884">
        <f t="shared" si="120"/>
        <v>15049.44</v>
      </c>
      <c r="K193" s="884">
        <f>$M$1</f>
        <v>358.32</v>
      </c>
      <c r="L193" s="885">
        <f t="shared" si="121"/>
        <v>42</v>
      </c>
      <c r="M193" s="915">
        <f>IF(SUM(L193)&gt;0,J193/H193,"")</f>
        <v>0.71664000000000005</v>
      </c>
    </row>
    <row r="194" spans="2:13" ht="13" x14ac:dyDescent="0.25">
      <c r="B194" s="882" t="s">
        <v>1958</v>
      </c>
      <c r="C194" s="911" t="str">
        <f ca="1">IF(E194="","",MAX(INDIRECT(ADDRESS(ROW()-7,COLUMN())):INDIRECT(ADDRESS(ROW()-1,COLUMN())))+1)</f>
        <v/>
      </c>
      <c r="D194" s="881" t="s">
        <v>668</v>
      </c>
      <c r="E194" s="883"/>
      <c r="F194" s="884"/>
      <c r="G194" s="884"/>
      <c r="H194" s="884"/>
      <c r="I194" s="884"/>
      <c r="J194" s="884"/>
      <c r="K194" s="884"/>
      <c r="L194" s="885"/>
      <c r="M194" s="915"/>
    </row>
    <row r="195" spans="2:13" ht="25" x14ac:dyDescent="0.25">
      <c r="B195" s="887" t="s">
        <v>650</v>
      </c>
      <c r="C195" s="892" t="str">
        <f ca="1">IF(E195="","",MAX(INDIRECT(ADDRESS(ROW()-7,COLUMN())):INDIRECT(ADDRESS(ROW()-1,COLUMN())))+1)</f>
        <v/>
      </c>
      <c r="D195" s="888" t="s">
        <v>667</v>
      </c>
      <c r="E195" s="883"/>
      <c r="F195" s="884"/>
      <c r="G195" s="884"/>
      <c r="H195" s="884"/>
      <c r="I195" s="884"/>
      <c r="J195" s="884"/>
      <c r="K195" s="884"/>
      <c r="L195" s="885"/>
      <c r="M195" s="915"/>
    </row>
    <row r="196" spans="2:13" x14ac:dyDescent="0.25">
      <c r="B196" s="887" t="s">
        <v>39</v>
      </c>
      <c r="C196" s="892">
        <f ca="1">IF(E196="","",MAX(INDIRECT(ADDRESS(ROW()-7,COLUMN())):INDIRECT(ADDRESS(ROW()-1,COLUMN())))+1)</f>
        <v>92</v>
      </c>
      <c r="D196" s="888" t="s">
        <v>649</v>
      </c>
      <c r="E196" s="883" t="s">
        <v>6</v>
      </c>
      <c r="F196" s="884">
        <v>20</v>
      </c>
      <c r="G196" s="884">
        <v>475</v>
      </c>
      <c r="H196" s="884">
        <f t="shared" ref="H196" si="122">F196*G196</f>
        <v>9500</v>
      </c>
      <c r="I196" s="884">
        <f>ROUND(Labour_perc_roads*G196,1)</f>
        <v>13.8</v>
      </c>
      <c r="J196" s="884">
        <f t="shared" ref="J196" si="123">I196*F196</f>
        <v>276</v>
      </c>
      <c r="K196" s="884">
        <f>$M$1</f>
        <v>358.32</v>
      </c>
      <c r="L196" s="885">
        <f t="shared" ref="L196" si="124">J196/K196</f>
        <v>0.77026121902210321</v>
      </c>
      <c r="M196" s="915">
        <f>IF(SUM(L196)&gt;0,J196/H196,"")</f>
        <v>2.9052631578947368E-2</v>
      </c>
    </row>
    <row r="197" spans="2:13" ht="25" x14ac:dyDescent="0.25">
      <c r="B197" s="887" t="s">
        <v>666</v>
      </c>
      <c r="C197" s="892" t="str">
        <f ca="1">IF(E197="","",MAX(INDIRECT(ADDRESS(ROW()-7,COLUMN())):INDIRECT(ADDRESS(ROW()-1,COLUMN())))+1)</f>
        <v/>
      </c>
      <c r="D197" s="888" t="s">
        <v>665</v>
      </c>
      <c r="E197" s="883"/>
      <c r="F197" s="884"/>
      <c r="G197" s="884"/>
      <c r="H197" s="884"/>
      <c r="I197" s="884"/>
      <c r="J197" s="884"/>
      <c r="K197" s="884"/>
      <c r="L197" s="885"/>
      <c r="M197" s="915"/>
    </row>
    <row r="198" spans="2:13" x14ac:dyDescent="0.25">
      <c r="B198" s="887" t="s">
        <v>39</v>
      </c>
      <c r="C198" s="892">
        <f ca="1">IF(E198="","",MAX(INDIRECT(ADDRESS(ROW()-7,COLUMN())):INDIRECT(ADDRESS(ROW()-1,COLUMN())))+1)</f>
        <v>93</v>
      </c>
      <c r="D198" s="888" t="s">
        <v>664</v>
      </c>
      <c r="E198" s="883" t="s">
        <v>34</v>
      </c>
      <c r="F198" s="884">
        <v>4</v>
      </c>
      <c r="G198" s="884">
        <v>750</v>
      </c>
      <c r="H198" s="884">
        <f t="shared" ref="H198" si="125">F198*G198</f>
        <v>3000</v>
      </c>
      <c r="I198" s="884">
        <f>ROUND(Labour_perc_roads*G198,1)</f>
        <v>21.8</v>
      </c>
      <c r="J198" s="884">
        <f t="shared" ref="J198" si="126">I198*F198</f>
        <v>87.2</v>
      </c>
      <c r="K198" s="884">
        <f>$M$1</f>
        <v>358.32</v>
      </c>
      <c r="L198" s="885">
        <f t="shared" ref="L198" si="127">J198/K198</f>
        <v>0.24335789238669348</v>
      </c>
      <c r="M198" s="915">
        <f>IF(SUM(L198)&gt;0,J198/H198,"")</f>
        <v>2.9066666666666668E-2</v>
      </c>
    </row>
    <row r="199" spans="2:13" ht="65" x14ac:dyDescent="0.25">
      <c r="B199" s="882" t="s">
        <v>1930</v>
      </c>
      <c r="C199" s="911" t="str">
        <f ca="1">IF(E199="","",MAX(INDIRECT(ADDRESS(ROW()-7,COLUMN())):INDIRECT(ADDRESS(ROW()-1,COLUMN())))+1)</f>
        <v/>
      </c>
      <c r="D199" s="881" t="s">
        <v>716</v>
      </c>
      <c r="E199" s="883"/>
      <c r="F199" s="884"/>
      <c r="G199" s="884"/>
      <c r="H199" s="884"/>
      <c r="I199" s="884"/>
      <c r="J199" s="884"/>
      <c r="K199" s="884"/>
      <c r="L199" s="885"/>
      <c r="M199" s="915"/>
    </row>
    <row r="200" spans="2:13" ht="25" x14ac:dyDescent="0.25">
      <c r="B200" s="887" t="s">
        <v>715</v>
      </c>
      <c r="C200" s="892" t="str">
        <f ca="1">IF(E200="","",MAX(INDIRECT(ADDRESS(ROW()-7,COLUMN())):INDIRECT(ADDRESS(ROW()-1,COLUMN())))+1)</f>
        <v/>
      </c>
      <c r="D200" s="888" t="s">
        <v>1931</v>
      </c>
      <c r="E200" s="883"/>
      <c r="F200" s="884"/>
      <c r="G200" s="884"/>
      <c r="H200" s="884"/>
      <c r="I200" s="884"/>
      <c r="J200" s="884"/>
      <c r="K200" s="884"/>
      <c r="L200" s="885"/>
      <c r="M200" s="915"/>
    </row>
    <row r="201" spans="2:13" x14ac:dyDescent="0.25">
      <c r="B201" s="887" t="s">
        <v>39</v>
      </c>
      <c r="C201" s="892">
        <f ca="1">IF(E201="","",MAX(INDIRECT(ADDRESS(ROW()-7,COLUMN())):INDIRECT(ADDRESS(ROW()-1,COLUMN())))+1)</f>
        <v>94</v>
      </c>
      <c r="D201" s="888" t="s">
        <v>1932</v>
      </c>
      <c r="E201" s="883" t="s">
        <v>700</v>
      </c>
      <c r="F201" s="884">
        <v>2</v>
      </c>
      <c r="G201" s="884">
        <v>1500</v>
      </c>
      <c r="H201" s="884">
        <f t="shared" ref="H201:H203" si="128">F201*G201</f>
        <v>3000</v>
      </c>
      <c r="I201" s="884">
        <f>_Sign</f>
        <v>90</v>
      </c>
      <c r="J201" s="884">
        <f t="shared" ref="J201:J203" si="129">I201*F201</f>
        <v>180</v>
      </c>
      <c r="K201" s="884">
        <f>$M$1</f>
        <v>358.32</v>
      </c>
      <c r="L201" s="885">
        <f t="shared" ref="L201:L203" si="130">J201/K201</f>
        <v>0.50234427327528464</v>
      </c>
      <c r="M201" s="915">
        <f>IF(SUM(L201)&gt;0,J201/H201,"")</f>
        <v>0.06</v>
      </c>
    </row>
    <row r="202" spans="2:13" x14ac:dyDescent="0.25">
      <c r="B202" s="887" t="s">
        <v>41</v>
      </c>
      <c r="C202" s="892">
        <f ca="1">IF(E202="","",MAX(INDIRECT(ADDRESS(ROW()-7,COLUMN())):INDIRECT(ADDRESS(ROW()-1,COLUMN())))+1)</f>
        <v>95</v>
      </c>
      <c r="D202" s="888" t="s">
        <v>1933</v>
      </c>
      <c r="E202" s="883" t="s">
        <v>700</v>
      </c>
      <c r="F202" s="884">
        <v>3</v>
      </c>
      <c r="G202" s="884">
        <v>1000</v>
      </c>
      <c r="H202" s="884">
        <f t="shared" si="128"/>
        <v>3000</v>
      </c>
      <c r="I202" s="884">
        <f>_Sign</f>
        <v>90</v>
      </c>
      <c r="J202" s="884">
        <f t="shared" si="129"/>
        <v>270</v>
      </c>
      <c r="K202" s="884">
        <f>$M$1</f>
        <v>358.32</v>
      </c>
      <c r="L202" s="885">
        <f t="shared" si="130"/>
        <v>0.75351640991292701</v>
      </c>
      <c r="M202" s="915">
        <f>IF(SUM(L202)&gt;0,J202/H202,"")</f>
        <v>0.09</v>
      </c>
    </row>
    <row r="203" spans="2:13" x14ac:dyDescent="0.25">
      <c r="B203" s="887" t="s">
        <v>52</v>
      </c>
      <c r="C203" s="892">
        <f ca="1">IF(E203="","",MAX(INDIRECT(ADDRESS(ROW()-7,COLUMN())):INDIRECT(ADDRESS(ROW()-1,COLUMN())))+1)</f>
        <v>96</v>
      </c>
      <c r="D203" s="888" t="s">
        <v>1934</v>
      </c>
      <c r="E203" s="883" t="s">
        <v>700</v>
      </c>
      <c r="F203" s="884">
        <v>3</v>
      </c>
      <c r="G203" s="884">
        <v>1200</v>
      </c>
      <c r="H203" s="884">
        <f t="shared" si="128"/>
        <v>3600</v>
      </c>
      <c r="I203" s="884">
        <f>_Sign</f>
        <v>90</v>
      </c>
      <c r="J203" s="884">
        <f t="shared" si="129"/>
        <v>270</v>
      </c>
      <c r="K203" s="884">
        <f>$M$1</f>
        <v>358.32</v>
      </c>
      <c r="L203" s="885">
        <f t="shared" si="130"/>
        <v>0.75351640991292701</v>
      </c>
      <c r="M203" s="915">
        <f>IF(SUM(L203)&gt;0,J203/H203,"")</f>
        <v>7.4999999999999997E-2</v>
      </c>
    </row>
    <row r="204" spans="2:13" x14ac:dyDescent="0.25">
      <c r="B204" s="887" t="s">
        <v>710</v>
      </c>
      <c r="C204" s="892" t="str">
        <f ca="1">IF(E204="","",MAX(INDIRECT(ADDRESS(ROW()-7,COLUMN())):INDIRECT(ADDRESS(ROW()-1,COLUMN())))+1)</f>
        <v/>
      </c>
      <c r="D204" s="888" t="s">
        <v>709</v>
      </c>
      <c r="E204" s="883"/>
      <c r="F204" s="884"/>
      <c r="G204" s="884"/>
      <c r="H204" s="884"/>
      <c r="I204" s="884"/>
      <c r="J204" s="884"/>
      <c r="K204" s="884"/>
      <c r="L204" s="885"/>
      <c r="M204" s="915"/>
    </row>
    <row r="205" spans="2:13" ht="25" x14ac:dyDescent="0.25">
      <c r="B205" s="887" t="s">
        <v>41</v>
      </c>
      <c r="C205" s="892">
        <f ca="1">IF(E205="","",MAX(INDIRECT(ADDRESS(ROW()-7,COLUMN())):INDIRECT(ADDRESS(ROW()-1,COLUMN())))+1)</f>
        <v>97</v>
      </c>
      <c r="D205" s="888" t="s">
        <v>1935</v>
      </c>
      <c r="E205" s="883" t="s">
        <v>34</v>
      </c>
      <c r="F205" s="884">
        <v>8</v>
      </c>
      <c r="G205" s="884">
        <v>500</v>
      </c>
      <c r="H205" s="884">
        <f t="shared" ref="H205" si="131">F205*G205</f>
        <v>4000</v>
      </c>
      <c r="I205" s="884">
        <f>_Sign</f>
        <v>90</v>
      </c>
      <c r="J205" s="884">
        <f t="shared" ref="J205" si="132">I205*F205</f>
        <v>720</v>
      </c>
      <c r="K205" s="884">
        <f>$M$1</f>
        <v>358.32</v>
      </c>
      <c r="L205" s="885">
        <f t="shared" ref="L205" si="133">J205/K205</f>
        <v>2.0093770931011385</v>
      </c>
      <c r="M205" s="915">
        <f>IF(SUM(L205)&gt;0,J205/H205,"")</f>
        <v>0.18</v>
      </c>
    </row>
    <row r="206" spans="2:13" x14ac:dyDescent="0.25">
      <c r="B206" s="887" t="s">
        <v>706</v>
      </c>
      <c r="C206" s="892" t="str">
        <f ca="1">IF(E206="","",MAX(INDIRECT(ADDRESS(ROW()-7,COLUMN())):INDIRECT(ADDRESS(ROW()-1,COLUMN())))+1)</f>
        <v/>
      </c>
      <c r="D206" s="888" t="s">
        <v>705</v>
      </c>
      <c r="E206" s="883"/>
      <c r="F206" s="884"/>
      <c r="G206" s="884"/>
      <c r="H206" s="884"/>
      <c r="I206" s="884"/>
      <c r="J206" s="884"/>
      <c r="K206" s="884"/>
      <c r="L206" s="885"/>
      <c r="M206" s="915"/>
    </row>
    <row r="207" spans="2:13" ht="25" x14ac:dyDescent="0.25">
      <c r="B207" s="887" t="s">
        <v>52</v>
      </c>
      <c r="C207" s="892">
        <f ca="1">IF(E207="","",MAX(INDIRECT(ADDRESS(ROW()-7,COLUMN())):INDIRECT(ADDRESS(ROW()-1,COLUMN())))+1)</f>
        <v>98</v>
      </c>
      <c r="D207" s="888" t="s">
        <v>1936</v>
      </c>
      <c r="E207" s="883" t="s">
        <v>34</v>
      </c>
      <c r="F207" s="884">
        <v>8</v>
      </c>
      <c r="G207" s="884">
        <v>500</v>
      </c>
      <c r="H207" s="884">
        <f t="shared" ref="H207:H208" si="134">F207*G207</f>
        <v>4000</v>
      </c>
      <c r="I207" s="884">
        <f>_Sign</f>
        <v>90</v>
      </c>
      <c r="J207" s="884">
        <f t="shared" ref="J207:J208" si="135">I207*F207</f>
        <v>720</v>
      </c>
      <c r="K207" s="884">
        <f>$M$1</f>
        <v>358.32</v>
      </c>
      <c r="L207" s="885">
        <f t="shared" ref="L207:L208" si="136">J207/K207</f>
        <v>2.0093770931011385</v>
      </c>
      <c r="M207" s="915">
        <f>IF(SUM(L207)&gt;0,J207/H207,"")</f>
        <v>0.18</v>
      </c>
    </row>
    <row r="208" spans="2:13" ht="37.5" x14ac:dyDescent="0.25">
      <c r="B208" s="887" t="s">
        <v>704</v>
      </c>
      <c r="C208" s="892">
        <f ca="1">IF(E208="","",MAX(INDIRECT(ADDRESS(ROW()-7,COLUMN())):INDIRECT(ADDRESS(ROW()-1,COLUMN())))+1)</f>
        <v>99</v>
      </c>
      <c r="D208" s="888" t="s">
        <v>1937</v>
      </c>
      <c r="E208" s="883" t="s">
        <v>700</v>
      </c>
      <c r="F208" s="884">
        <v>8</v>
      </c>
      <c r="G208" s="884">
        <v>1000</v>
      </c>
      <c r="H208" s="884">
        <f t="shared" si="134"/>
        <v>8000</v>
      </c>
      <c r="I208" s="884">
        <f>_Sign</f>
        <v>90</v>
      </c>
      <c r="J208" s="884">
        <f t="shared" si="135"/>
        <v>720</v>
      </c>
      <c r="K208" s="884">
        <f>$M$1</f>
        <v>358.32</v>
      </c>
      <c r="L208" s="885">
        <f t="shared" si="136"/>
        <v>2.0093770931011385</v>
      </c>
      <c r="M208" s="915">
        <f>IF(SUM(L208)&gt;0,J208/H208,"")</f>
        <v>0.09</v>
      </c>
    </row>
    <row r="209" spans="2:15" x14ac:dyDescent="0.25">
      <c r="B209" s="887"/>
      <c r="C209" s="892" t="str">
        <f ca="1">IF(E209="","",MAX(INDIRECT(ADDRESS(ROW()-7,COLUMN())):INDIRECT(ADDRESS(ROW()-1,COLUMN())))+1)</f>
        <v/>
      </c>
      <c r="D209" s="888"/>
      <c r="E209" s="883"/>
      <c r="F209" s="884"/>
      <c r="G209" s="884"/>
      <c r="H209" s="884"/>
      <c r="I209" s="884"/>
      <c r="J209" s="884"/>
      <c r="K209" s="884"/>
      <c r="L209" s="885"/>
      <c r="M209" s="915"/>
    </row>
    <row r="210" spans="2:15" ht="13" x14ac:dyDescent="0.25">
      <c r="B210" s="882" t="s">
        <v>163</v>
      </c>
      <c r="C210" s="911" t="str">
        <f ca="1">IF(E210="","",MAX(INDIRECT(ADDRESS(ROW()-7,COLUMN())):INDIRECT(ADDRESS(ROW()-1,COLUMN())))+1)</f>
        <v/>
      </c>
      <c r="D210" s="881" t="s">
        <v>164</v>
      </c>
      <c r="E210" s="883"/>
      <c r="F210" s="884"/>
      <c r="G210" s="884"/>
      <c r="H210" s="884"/>
      <c r="I210" s="884"/>
      <c r="J210" s="884"/>
      <c r="K210" s="884"/>
      <c r="L210" s="885"/>
      <c r="M210" s="915"/>
    </row>
    <row r="211" spans="2:15" ht="13" x14ac:dyDescent="0.25">
      <c r="B211" s="882" t="s">
        <v>165</v>
      </c>
      <c r="C211" s="911" t="str">
        <f ca="1">IF(E211="","",MAX(INDIRECT(ADDRESS(ROW()-7,COLUMN())):INDIRECT(ADDRESS(ROW()-1,COLUMN())))+1)</f>
        <v/>
      </c>
      <c r="D211" s="881" t="s">
        <v>166</v>
      </c>
      <c r="E211" s="883"/>
      <c r="F211" s="884"/>
      <c r="G211" s="884"/>
      <c r="H211" s="884"/>
      <c r="I211" s="884"/>
      <c r="J211" s="884"/>
      <c r="K211" s="884"/>
      <c r="L211" s="885"/>
      <c r="M211" s="915"/>
    </row>
    <row r="212" spans="2:15" ht="25" x14ac:dyDescent="0.25">
      <c r="B212" s="887" t="s">
        <v>167</v>
      </c>
      <c r="C212" s="892">
        <f ca="1">IF(E212="","",MAX(INDIRECT(ADDRESS(ROW()-7,COLUMN())):INDIRECT(ADDRESS(ROW()-1,COLUMN())))+1)</f>
        <v>100</v>
      </c>
      <c r="D212" s="888" t="s">
        <v>169</v>
      </c>
      <c r="E212" s="883" t="s">
        <v>21</v>
      </c>
      <c r="F212" s="884">
        <v>3</v>
      </c>
      <c r="G212" s="884">
        <v>4000</v>
      </c>
      <c r="H212" s="884">
        <f t="shared" ref="H212:H213" si="137">F212*G212</f>
        <v>12000</v>
      </c>
      <c r="I212" s="884">
        <f>ROUND(3%*G212,0)</f>
        <v>120</v>
      </c>
      <c r="J212" s="884">
        <f t="shared" ref="J212:J213" si="138">I212*F212</f>
        <v>360</v>
      </c>
      <c r="K212" s="884">
        <f>$M$1</f>
        <v>358.32</v>
      </c>
      <c r="L212" s="885">
        <f t="shared" ref="L212:L213" si="139">J212/K212</f>
        <v>1.0046885465505693</v>
      </c>
      <c r="M212" s="915">
        <f>IF(SUM(L212)&gt;0,J212/H212,"")</f>
        <v>0.03</v>
      </c>
    </row>
    <row r="213" spans="2:15" ht="25" x14ac:dyDescent="0.25">
      <c r="B213" s="887" t="s">
        <v>168</v>
      </c>
      <c r="C213" s="892">
        <f ca="1">IF(E213="","",MAX(INDIRECT(ADDRESS(ROW()-7,COLUMN())):INDIRECT(ADDRESS(ROW()-1,COLUMN())))+1)</f>
        <v>101</v>
      </c>
      <c r="D213" s="888" t="s">
        <v>170</v>
      </c>
      <c r="E213" s="883" t="s">
        <v>21</v>
      </c>
      <c r="F213" s="884">
        <v>6</v>
      </c>
      <c r="G213" s="884">
        <v>16500</v>
      </c>
      <c r="H213" s="884">
        <f t="shared" si="137"/>
        <v>99000</v>
      </c>
      <c r="I213" s="884">
        <f>G213*97/100</f>
        <v>16005</v>
      </c>
      <c r="J213" s="884">
        <f t="shared" si="138"/>
        <v>96030</v>
      </c>
      <c r="K213" s="884">
        <f>$M$1</f>
        <v>358.32</v>
      </c>
      <c r="L213" s="885">
        <f t="shared" si="139"/>
        <v>268.00066979236436</v>
      </c>
      <c r="M213" s="915">
        <f>IF(SUM(L213)&gt;0,J213/H213,"")</f>
        <v>0.97</v>
      </c>
    </row>
    <row r="214" spans="2:15" ht="13" x14ac:dyDescent="0.25">
      <c r="B214" s="882" t="s">
        <v>171</v>
      </c>
      <c r="C214" s="911" t="str">
        <f ca="1">IF(E214="","",MAX(INDIRECT(ADDRESS(ROW()-7,COLUMN())):INDIRECT(ADDRESS(ROW()-1,COLUMN())))+1)</f>
        <v/>
      </c>
      <c r="D214" s="881" t="s">
        <v>172</v>
      </c>
      <c r="E214" s="883"/>
      <c r="F214" s="884"/>
      <c r="G214" s="884"/>
      <c r="H214" s="884"/>
      <c r="I214" s="884"/>
      <c r="J214" s="884"/>
      <c r="K214" s="884"/>
      <c r="L214" s="885"/>
      <c r="M214" s="915"/>
      <c r="O214" s="866"/>
    </row>
    <row r="215" spans="2:15" ht="25" x14ac:dyDescent="0.25">
      <c r="B215" s="887" t="s">
        <v>173</v>
      </c>
      <c r="C215" s="892">
        <f ca="1">IF(E215="","",MAX(INDIRECT(ADDRESS(ROW()-7,COLUMN())):INDIRECT(ADDRESS(ROW()-1,COLUMN())))+1)</f>
        <v>102</v>
      </c>
      <c r="D215" s="888" t="s">
        <v>2176</v>
      </c>
      <c r="E215" s="883" t="s">
        <v>21</v>
      </c>
      <c r="F215" s="884">
        <v>3</v>
      </c>
      <c r="G215" s="884">
        <v>4000</v>
      </c>
      <c r="H215" s="884">
        <f t="shared" ref="H215:H216" si="140">F215*G215</f>
        <v>12000</v>
      </c>
      <c r="I215" s="884">
        <f>ROUND(3%*G215,0)</f>
        <v>120</v>
      </c>
      <c r="J215" s="884">
        <f t="shared" ref="J215:J216" si="141">I215*F215</f>
        <v>360</v>
      </c>
      <c r="K215" s="884">
        <f>$M$1</f>
        <v>358.32</v>
      </c>
      <c r="L215" s="885">
        <f t="shared" ref="L215:L216" si="142">J215/K215</f>
        <v>1.0046885465505693</v>
      </c>
      <c r="M215" s="915">
        <f>IF(SUM(L215)&gt;0,J215/H215,"")</f>
        <v>0.03</v>
      </c>
    </row>
    <row r="216" spans="2:15" ht="37.5" x14ac:dyDescent="0.25">
      <c r="B216" s="887" t="s">
        <v>175</v>
      </c>
      <c r="C216" s="892">
        <f ca="1">IF(E216="","",MAX(INDIRECT(ADDRESS(ROW()-7,COLUMN())):INDIRECT(ADDRESS(ROW()-1,COLUMN())))+1)</f>
        <v>103</v>
      </c>
      <c r="D216" s="888" t="s">
        <v>2177</v>
      </c>
      <c r="E216" s="883" t="s">
        <v>21</v>
      </c>
      <c r="F216" s="884">
        <v>6</v>
      </c>
      <c r="G216" s="884">
        <v>16500</v>
      </c>
      <c r="H216" s="884">
        <f t="shared" si="140"/>
        <v>99000</v>
      </c>
      <c r="I216" s="884">
        <f>G216*97/100</f>
        <v>16005</v>
      </c>
      <c r="J216" s="884">
        <f t="shared" si="141"/>
        <v>96030</v>
      </c>
      <c r="K216" s="884">
        <f>$M$1</f>
        <v>358.32</v>
      </c>
      <c r="L216" s="885">
        <f t="shared" si="142"/>
        <v>268.00066979236436</v>
      </c>
      <c r="M216" s="915">
        <f>IF(SUM(L216)&gt;0,J216/H216,"")</f>
        <v>0.97</v>
      </c>
    </row>
    <row r="217" spans="2:15" ht="25" x14ac:dyDescent="0.25">
      <c r="B217" s="887" t="s">
        <v>176</v>
      </c>
      <c r="C217" s="892" t="str">
        <f ca="1">IF(E217="","",MAX(INDIRECT(ADDRESS(ROW()-7,COLUMN())):INDIRECT(ADDRESS(ROW()-1,COLUMN())))+1)</f>
        <v/>
      </c>
      <c r="D217" s="888" t="s">
        <v>177</v>
      </c>
      <c r="E217" s="883"/>
      <c r="F217" s="884"/>
      <c r="G217" s="884"/>
      <c r="H217" s="884"/>
      <c r="I217" s="884"/>
      <c r="J217" s="884"/>
      <c r="K217" s="884"/>
      <c r="L217" s="885"/>
      <c r="M217" s="915"/>
    </row>
    <row r="218" spans="2:15" ht="25" x14ac:dyDescent="0.25">
      <c r="B218" s="887" t="s">
        <v>176</v>
      </c>
      <c r="C218" s="892">
        <f ca="1">IF(E218="","",MAX(INDIRECT(ADDRESS(ROW()-7,COLUMN())):INDIRECT(ADDRESS(ROW()-1,COLUMN())))+1)</f>
        <v>104</v>
      </c>
      <c r="D218" s="888" t="s">
        <v>178</v>
      </c>
      <c r="E218" s="883" t="s">
        <v>34</v>
      </c>
      <c r="F218" s="884">
        <v>30</v>
      </c>
      <c r="G218" s="884">
        <v>1500</v>
      </c>
      <c r="H218" s="884">
        <f t="shared" ref="H218:H219" si="143">F218*G218</f>
        <v>45000</v>
      </c>
      <c r="I218" s="884">
        <f>ROUND(2*_LabourDaily,2)</f>
        <v>716.64</v>
      </c>
      <c r="J218" s="884">
        <f t="shared" ref="J218:J219" si="144">I218*F218</f>
        <v>21499.200000000001</v>
      </c>
      <c r="K218" s="884">
        <f>$M$1</f>
        <v>358.32</v>
      </c>
      <c r="L218" s="885">
        <f t="shared" ref="L218:L219" si="145">J218/K218</f>
        <v>60</v>
      </c>
      <c r="M218" s="915">
        <f>IF(SUM(L218)&gt;0,J218/H218,"")</f>
        <v>0.47776000000000002</v>
      </c>
    </row>
    <row r="219" spans="2:15" x14ac:dyDescent="0.25">
      <c r="B219" s="887" t="s">
        <v>179</v>
      </c>
      <c r="C219" s="892">
        <f ca="1">IF(E219="","",MAX(INDIRECT(ADDRESS(ROW()-7,COLUMN())):INDIRECT(ADDRESS(ROW()-1,COLUMN())))+1)</f>
        <v>105</v>
      </c>
      <c r="D219" s="888" t="s">
        <v>180</v>
      </c>
      <c r="E219" s="883" t="s">
        <v>34</v>
      </c>
      <c r="F219" s="884">
        <v>15</v>
      </c>
      <c r="G219" s="884">
        <v>1200</v>
      </c>
      <c r="H219" s="884">
        <f t="shared" si="143"/>
        <v>18000</v>
      </c>
      <c r="I219" s="884">
        <f>ROUND(3%*G219,0)</f>
        <v>36</v>
      </c>
      <c r="J219" s="884">
        <f t="shared" si="144"/>
        <v>540</v>
      </c>
      <c r="K219" s="884">
        <f>$M$1</f>
        <v>358.32</v>
      </c>
      <c r="L219" s="885">
        <f t="shared" si="145"/>
        <v>1.507032819825854</v>
      </c>
      <c r="M219" s="915">
        <f>IF(SUM(L219)&gt;0,J219/H219,"")</f>
        <v>0.03</v>
      </c>
    </row>
    <row r="220" spans="2:15" x14ac:dyDescent="0.25">
      <c r="B220" s="887"/>
      <c r="C220" s="892" t="str">
        <f ca="1">IF(E220="","",MAX(INDIRECT(ADDRESS(ROW()-7,COLUMN())):INDIRECT(ADDRESS(ROW()-1,COLUMN())))+1)</f>
        <v/>
      </c>
      <c r="D220" s="888"/>
      <c r="E220" s="883"/>
      <c r="F220" s="884"/>
      <c r="G220" s="884"/>
      <c r="H220" s="884"/>
      <c r="I220" s="884"/>
      <c r="J220" s="884"/>
      <c r="K220" s="884"/>
      <c r="L220" s="885"/>
      <c r="M220" s="915"/>
    </row>
    <row r="221" spans="2:15" ht="26" x14ac:dyDescent="0.25">
      <c r="B221" s="882" t="s">
        <v>605</v>
      </c>
      <c r="C221" s="911" t="str">
        <f ca="1">IF(E221="","",MAX(INDIRECT(ADDRESS(ROW()-7,COLUMN())):INDIRECT(ADDRESS(ROW()-1,COLUMN())))+1)</f>
        <v/>
      </c>
      <c r="D221" s="881" t="s">
        <v>604</v>
      </c>
      <c r="E221" s="883"/>
      <c r="F221" s="884"/>
      <c r="G221" s="884"/>
      <c r="H221" s="884"/>
      <c r="I221" s="884"/>
      <c r="J221" s="884"/>
      <c r="K221" s="884"/>
      <c r="L221" s="885"/>
      <c r="M221" s="915"/>
    </row>
    <row r="222" spans="2:15" ht="13" x14ac:dyDescent="0.25">
      <c r="B222" s="882" t="s">
        <v>597</v>
      </c>
      <c r="C222" s="911" t="str">
        <f ca="1">IF(E222="","",MAX(INDIRECT(ADDRESS(ROW()-7,COLUMN())):INDIRECT(ADDRESS(ROW()-1,COLUMN())))+1)</f>
        <v/>
      </c>
      <c r="D222" s="881" t="s">
        <v>2158</v>
      </c>
      <c r="E222" s="883"/>
      <c r="F222" s="884"/>
      <c r="G222" s="884"/>
      <c r="H222" s="884"/>
      <c r="I222" s="884"/>
      <c r="J222" s="884"/>
      <c r="K222" s="884"/>
      <c r="L222" s="885"/>
      <c r="M222" s="915"/>
    </row>
    <row r="223" spans="2:15" x14ac:dyDescent="0.25">
      <c r="B223" s="887" t="s">
        <v>596</v>
      </c>
      <c r="C223" s="892" t="str">
        <f ca="1">IF(E223="","",MAX(INDIRECT(ADDRESS(ROW()-7,COLUMN())):INDIRECT(ADDRESS(ROW()-1,COLUMN())))+1)</f>
        <v/>
      </c>
      <c r="D223" s="888" t="s">
        <v>595</v>
      </c>
      <c r="E223" s="883"/>
      <c r="F223" s="884"/>
      <c r="G223" s="884"/>
      <c r="H223" s="884"/>
      <c r="I223" s="884"/>
      <c r="J223" s="884"/>
      <c r="K223" s="884"/>
      <c r="L223" s="885"/>
      <c r="M223" s="915"/>
    </row>
    <row r="224" spans="2:15" x14ac:dyDescent="0.25">
      <c r="B224" s="887" t="s">
        <v>39</v>
      </c>
      <c r="C224" s="892">
        <f ca="1">IF(E224="","",MAX(INDIRECT(ADDRESS(ROW()-7,COLUMN())):INDIRECT(ADDRESS(ROW()-1,COLUMN())))+1)</f>
        <v>106</v>
      </c>
      <c r="D224" s="888" t="s">
        <v>585</v>
      </c>
      <c r="E224" s="883" t="s">
        <v>577</v>
      </c>
      <c r="F224" s="884">
        <v>360.00000000000006</v>
      </c>
      <c r="G224" s="884">
        <v>50</v>
      </c>
      <c r="H224" s="884">
        <f t="shared" ref="H224:H225" si="146">F224*G224</f>
        <v>18000.000000000004</v>
      </c>
      <c r="I224" s="884">
        <f>ROUND(Labour_perc_roads*G224,1)</f>
        <v>1.5</v>
      </c>
      <c r="J224" s="884">
        <f t="shared" ref="J224:J225" si="147">I224*F224</f>
        <v>540.00000000000011</v>
      </c>
      <c r="K224" s="884">
        <f>$M$1</f>
        <v>358.32</v>
      </c>
      <c r="L224" s="885">
        <f t="shared" ref="L224:L225" si="148">J224/K224</f>
        <v>1.5070328198258542</v>
      </c>
      <c r="M224" s="915">
        <f>IF(SUM(L224)&gt;0,J224/H224,"")</f>
        <v>0.03</v>
      </c>
    </row>
    <row r="225" spans="2:13" x14ac:dyDescent="0.25">
      <c r="B225" s="887" t="s">
        <v>41</v>
      </c>
      <c r="C225" s="892">
        <f ca="1">IF(E225="","",MAX(INDIRECT(ADDRESS(ROW()-7,COLUMN())):INDIRECT(ADDRESS(ROW()-1,COLUMN())))+1)</f>
        <v>107</v>
      </c>
      <c r="D225" s="888" t="s">
        <v>594</v>
      </c>
      <c r="E225" s="883" t="s">
        <v>577</v>
      </c>
      <c r="F225" s="884">
        <v>90.000000000000014</v>
      </c>
      <c r="G225" s="884">
        <v>70</v>
      </c>
      <c r="H225" s="884">
        <f t="shared" si="146"/>
        <v>6300.0000000000009</v>
      </c>
      <c r="I225" s="884">
        <f>ROUND(Labour_perc_roads*G225,1)</f>
        <v>2</v>
      </c>
      <c r="J225" s="884">
        <f t="shared" si="147"/>
        <v>180.00000000000003</v>
      </c>
      <c r="K225" s="884">
        <f>$M$1</f>
        <v>358.32</v>
      </c>
      <c r="L225" s="885">
        <f t="shared" si="148"/>
        <v>0.50234427327528475</v>
      </c>
      <c r="M225" s="915">
        <f>IF(SUM(L225)&gt;0,J225/H225,"")</f>
        <v>2.8571428571428571E-2</v>
      </c>
    </row>
    <row r="226" spans="2:13" ht="26" x14ac:dyDescent="0.25">
      <c r="B226" s="882" t="s">
        <v>593</v>
      </c>
      <c r="C226" s="911" t="str">
        <f ca="1">IF(E226="","",MAX(INDIRECT(ADDRESS(ROW()-7,COLUMN())):INDIRECT(ADDRESS(ROW()-1,COLUMN())))+1)</f>
        <v/>
      </c>
      <c r="D226" s="881" t="s">
        <v>592</v>
      </c>
      <c r="E226" s="883"/>
      <c r="F226" s="884"/>
      <c r="G226" s="884"/>
      <c r="H226" s="884"/>
      <c r="I226" s="884"/>
      <c r="J226" s="884"/>
      <c r="K226" s="884"/>
      <c r="L226" s="885"/>
      <c r="M226" s="915"/>
    </row>
    <row r="227" spans="2:13" x14ac:dyDescent="0.25">
      <c r="B227" s="887" t="s">
        <v>591</v>
      </c>
      <c r="C227" s="892">
        <f ca="1">IF(E227="","",MAX(INDIRECT(ADDRESS(ROW()-7,COLUMN())):INDIRECT(ADDRESS(ROW()-1,COLUMN())))+1)</f>
        <v>108</v>
      </c>
      <c r="D227" s="888" t="s">
        <v>590</v>
      </c>
      <c r="E227" s="883" t="s">
        <v>577</v>
      </c>
      <c r="F227" s="884">
        <v>450.00000000000006</v>
      </c>
      <c r="G227" s="884">
        <v>250</v>
      </c>
      <c r="H227" s="884">
        <f t="shared" ref="H227" si="149">F227*G227</f>
        <v>112500.00000000001</v>
      </c>
      <c r="I227" s="884">
        <f>ROUND(Labour_perc_roads*G227,1)</f>
        <v>7.3</v>
      </c>
      <c r="J227" s="884">
        <f t="shared" ref="J227" si="150">I227*F227</f>
        <v>3285.0000000000005</v>
      </c>
      <c r="K227" s="884">
        <f>$M$1</f>
        <v>358.32</v>
      </c>
      <c r="L227" s="885">
        <f t="shared" ref="L227" si="151">J227/K227</f>
        <v>9.1677829872739469</v>
      </c>
      <c r="M227" s="915">
        <f>IF(SUM(L227)&gt;0,J227/H227,"")</f>
        <v>2.92E-2</v>
      </c>
    </row>
    <row r="228" spans="2:13" ht="26" x14ac:dyDescent="0.25">
      <c r="B228" s="882" t="s">
        <v>589</v>
      </c>
      <c r="C228" s="911" t="str">
        <f ca="1">IF(E228="","",MAX(INDIRECT(ADDRESS(ROW()-7,COLUMN())):INDIRECT(ADDRESS(ROW()-1,COLUMN())))+1)</f>
        <v/>
      </c>
      <c r="D228" s="881" t="s">
        <v>588</v>
      </c>
      <c r="E228" s="883"/>
      <c r="F228" s="884"/>
      <c r="G228" s="884"/>
      <c r="H228" s="884"/>
      <c r="I228" s="884"/>
      <c r="J228" s="884"/>
      <c r="K228" s="884"/>
      <c r="L228" s="885"/>
      <c r="M228" s="915"/>
    </row>
    <row r="229" spans="2:13" x14ac:dyDescent="0.25">
      <c r="B229" s="887" t="s">
        <v>587</v>
      </c>
      <c r="C229" s="892" t="str">
        <f ca="1">IF(E229="","",MAX(INDIRECT(ADDRESS(ROW()-7,COLUMN())):INDIRECT(ADDRESS(ROW()-1,COLUMN())))+1)</f>
        <v/>
      </c>
      <c r="D229" s="888" t="s">
        <v>586</v>
      </c>
      <c r="E229" s="883"/>
      <c r="F229" s="884"/>
      <c r="G229" s="884"/>
      <c r="H229" s="884"/>
      <c r="I229" s="884"/>
      <c r="J229" s="884"/>
      <c r="K229" s="884"/>
      <c r="L229" s="885"/>
      <c r="M229" s="915"/>
    </row>
    <row r="230" spans="2:13" x14ac:dyDescent="0.25">
      <c r="B230" s="887" t="s">
        <v>39</v>
      </c>
      <c r="C230" s="892">
        <f ca="1">IF(E230="","",MAX(INDIRECT(ADDRESS(ROW()-7,COLUMN())):INDIRECT(ADDRESS(ROW()-1,COLUMN())))+1)</f>
        <v>109</v>
      </c>
      <c r="D230" s="888" t="s">
        <v>585</v>
      </c>
      <c r="E230" s="883" t="s">
        <v>577</v>
      </c>
      <c r="F230" s="884">
        <v>450.00000000000006</v>
      </c>
      <c r="G230" s="884">
        <v>190</v>
      </c>
      <c r="H230" s="884">
        <f t="shared" ref="H230" si="152">F230*G230</f>
        <v>85500.000000000015</v>
      </c>
      <c r="I230" s="884">
        <f>_Excavation</f>
        <v>151</v>
      </c>
      <c r="J230" s="884">
        <f t="shared" ref="J230" si="153">I230*F230</f>
        <v>67950.000000000015</v>
      </c>
      <c r="K230" s="884">
        <f>$M$1</f>
        <v>358.32</v>
      </c>
      <c r="L230" s="885">
        <f t="shared" ref="L230" si="154">J230/K230</f>
        <v>189.63496316142002</v>
      </c>
      <c r="M230" s="915">
        <f>IF(SUM(L230)&gt;0,J230/H230,"")</f>
        <v>0.79473684210526319</v>
      </c>
    </row>
    <row r="231" spans="2:13" ht="13" x14ac:dyDescent="0.25">
      <c r="B231" s="882" t="s">
        <v>584</v>
      </c>
      <c r="C231" s="911" t="str">
        <f ca="1">IF(E231="","",MAX(INDIRECT(ADDRESS(ROW()-7,COLUMN())):INDIRECT(ADDRESS(ROW()-1,COLUMN())))+1)</f>
        <v/>
      </c>
      <c r="D231" s="881" t="s">
        <v>583</v>
      </c>
      <c r="E231" s="883"/>
      <c r="F231" s="884"/>
      <c r="G231" s="884"/>
      <c r="H231" s="884"/>
      <c r="I231" s="884"/>
      <c r="J231" s="884"/>
      <c r="K231" s="884"/>
      <c r="L231" s="885"/>
      <c r="M231" s="915"/>
    </row>
    <row r="232" spans="2:13" ht="37.5" x14ac:dyDescent="0.25">
      <c r="B232" s="887" t="s">
        <v>582</v>
      </c>
      <c r="C232" s="892" t="str">
        <f ca="1">IF(E232="","",MAX(INDIRECT(ADDRESS(ROW()-7,COLUMN())):INDIRECT(ADDRESS(ROW()-1,COLUMN())))+1)</f>
        <v/>
      </c>
      <c r="D232" s="888" t="s">
        <v>581</v>
      </c>
      <c r="E232" s="883"/>
      <c r="F232" s="884"/>
      <c r="G232" s="884"/>
      <c r="H232" s="884"/>
      <c r="I232" s="884"/>
      <c r="J232" s="884"/>
      <c r="K232" s="884"/>
      <c r="L232" s="885"/>
      <c r="M232" s="915"/>
    </row>
    <row r="233" spans="2:13" x14ac:dyDescent="0.25">
      <c r="B233" s="887" t="s">
        <v>39</v>
      </c>
      <c r="C233" s="892">
        <f ca="1">IF(E233="","",MAX(INDIRECT(ADDRESS(ROW()-7,COLUMN())):INDIRECT(ADDRESS(ROW()-1,COLUMN())))+1)</f>
        <v>110</v>
      </c>
      <c r="D233" s="888" t="s">
        <v>578</v>
      </c>
      <c r="E233" s="883" t="s">
        <v>577</v>
      </c>
      <c r="F233" s="884">
        <v>180.00000000000003</v>
      </c>
      <c r="G233" s="884">
        <v>75</v>
      </c>
      <c r="H233" s="884">
        <f t="shared" ref="H233" si="155">F233*G233</f>
        <v>13500.000000000002</v>
      </c>
      <c r="I233" s="884">
        <f>_Backfill</f>
        <v>51</v>
      </c>
      <c r="J233" s="884">
        <f t="shared" ref="J233" si="156">I233*F233</f>
        <v>9180.0000000000018</v>
      </c>
      <c r="K233" s="884">
        <f>$M$1</f>
        <v>358.32</v>
      </c>
      <c r="L233" s="885">
        <f t="shared" ref="L233" si="157">J233/K233</f>
        <v>25.619557937039524</v>
      </c>
      <c r="M233" s="915">
        <f>IF(SUM(L233)&gt;0,J233/H233,"")</f>
        <v>0.68</v>
      </c>
    </row>
    <row r="234" spans="2:13" ht="50" x14ac:dyDescent="0.25">
      <c r="B234" s="887" t="s">
        <v>580</v>
      </c>
      <c r="C234" s="892" t="str">
        <f ca="1">IF(E234="","",MAX(INDIRECT(ADDRESS(ROW()-7,COLUMN())):INDIRECT(ADDRESS(ROW()-1,COLUMN())))+1)</f>
        <v/>
      </c>
      <c r="D234" s="888" t="s">
        <v>579</v>
      </c>
      <c r="E234" s="883"/>
      <c r="F234" s="884"/>
      <c r="G234" s="884"/>
      <c r="H234" s="884"/>
      <c r="I234" s="884"/>
      <c r="J234" s="884"/>
      <c r="K234" s="884"/>
      <c r="L234" s="885"/>
      <c r="M234" s="915"/>
    </row>
    <row r="235" spans="2:13" x14ac:dyDescent="0.25">
      <c r="B235" s="887" t="s">
        <v>39</v>
      </c>
      <c r="C235" s="892">
        <f ca="1">IF(E235="","",MAX(INDIRECT(ADDRESS(ROW()-7,COLUMN())):INDIRECT(ADDRESS(ROW()-1,COLUMN())))+1)</f>
        <v>111</v>
      </c>
      <c r="D235" s="888" t="s">
        <v>578</v>
      </c>
      <c r="E235" s="883" t="s">
        <v>577</v>
      </c>
      <c r="F235" s="884">
        <v>720.00000000000011</v>
      </c>
      <c r="G235" s="884">
        <v>75</v>
      </c>
      <c r="H235" s="884">
        <f t="shared" ref="H235" si="158">F235*G235</f>
        <v>54000.000000000007</v>
      </c>
      <c r="I235" s="884">
        <f>_Backfill</f>
        <v>51</v>
      </c>
      <c r="J235" s="884">
        <f t="shared" ref="J235" si="159">I235*F235</f>
        <v>36720.000000000007</v>
      </c>
      <c r="K235" s="884">
        <f>$M$1</f>
        <v>358.32</v>
      </c>
      <c r="L235" s="885">
        <f t="shared" ref="L235" si="160">J235/K235</f>
        <v>102.47823174815809</v>
      </c>
      <c r="M235" s="915">
        <f>IF(SUM(L235)&gt;0,J235/H235,"")</f>
        <v>0.68</v>
      </c>
    </row>
    <row r="236" spans="2:13" x14ac:dyDescent="0.25">
      <c r="B236" s="887"/>
      <c r="C236" s="892" t="str">
        <f ca="1">IF(E236="","",MAX(INDIRECT(ADDRESS(ROW()-7,COLUMN())):INDIRECT(ADDRESS(ROW()-1,COLUMN())))+1)</f>
        <v/>
      </c>
      <c r="D236" s="888"/>
      <c r="E236" s="883"/>
      <c r="F236" s="884"/>
      <c r="G236" s="884"/>
      <c r="H236" s="884"/>
      <c r="I236" s="884"/>
      <c r="J236" s="884"/>
      <c r="K236" s="884"/>
      <c r="L236" s="885"/>
      <c r="M236" s="915"/>
    </row>
    <row r="237" spans="2:13" ht="13" x14ac:dyDescent="0.25">
      <c r="B237" s="882" t="s">
        <v>453</v>
      </c>
      <c r="C237" s="911" t="str">
        <f ca="1">IF(E237="","",MAX(INDIRECT(ADDRESS(ROW()-7,COLUMN())):INDIRECT(ADDRESS(ROW()-1,COLUMN())))+1)</f>
        <v/>
      </c>
      <c r="D237" s="881" t="s">
        <v>452</v>
      </c>
      <c r="E237" s="883"/>
      <c r="F237" s="884"/>
      <c r="G237" s="884"/>
      <c r="H237" s="884"/>
      <c r="I237" s="884"/>
      <c r="J237" s="884"/>
      <c r="K237" s="884"/>
      <c r="L237" s="885"/>
      <c r="M237" s="915"/>
    </row>
    <row r="238" spans="2:13" ht="13" x14ac:dyDescent="0.25">
      <c r="B238" s="882" t="s">
        <v>451</v>
      </c>
      <c r="C238" s="911" t="str">
        <f ca="1">IF(E238="","",MAX(INDIRECT(ADDRESS(ROW()-7,COLUMN())):INDIRECT(ADDRESS(ROW()-1,COLUMN())))+1)</f>
        <v/>
      </c>
      <c r="D238" s="881" t="s">
        <v>450</v>
      </c>
      <c r="E238" s="883"/>
      <c r="F238" s="884"/>
      <c r="G238" s="884"/>
      <c r="H238" s="884"/>
      <c r="I238" s="884"/>
      <c r="J238" s="884"/>
      <c r="K238" s="884"/>
      <c r="L238" s="885"/>
      <c r="M238" s="915"/>
    </row>
    <row r="239" spans="2:13" ht="37.5" x14ac:dyDescent="0.25">
      <c r="B239" s="887" t="s">
        <v>449</v>
      </c>
      <c r="C239" s="892" t="str">
        <f ca="1">IF(E239="","",MAX(INDIRECT(ADDRESS(ROW()-7,COLUMN())):INDIRECT(ADDRESS(ROW()-1,COLUMN())))+1)</f>
        <v/>
      </c>
      <c r="D239" s="888" t="s">
        <v>448</v>
      </c>
      <c r="E239" s="883"/>
      <c r="F239" s="884"/>
      <c r="G239" s="884"/>
      <c r="H239" s="884"/>
      <c r="I239" s="884"/>
      <c r="J239" s="884"/>
      <c r="K239" s="884"/>
      <c r="L239" s="885"/>
      <c r="M239" s="915"/>
    </row>
    <row r="240" spans="2:13" x14ac:dyDescent="0.25">
      <c r="B240" s="887" t="s">
        <v>39</v>
      </c>
      <c r="C240" s="892">
        <f ca="1">IF(E240="","",MAX(INDIRECT(ADDRESS(ROW()-7,COLUMN())):INDIRECT(ADDRESS(ROW()-1,COLUMN())))+1)</f>
        <v>112</v>
      </c>
      <c r="D240" s="888" t="s">
        <v>436</v>
      </c>
      <c r="E240" s="883" t="s">
        <v>799</v>
      </c>
      <c r="F240" s="884">
        <v>80</v>
      </c>
      <c r="G240" s="884">
        <v>70</v>
      </c>
      <c r="H240" s="884">
        <f t="shared" ref="H240:H242" si="161">F240*G240</f>
        <v>5600</v>
      </c>
      <c r="I240" s="884">
        <f>Labour_perc_roads*G240</f>
        <v>2.0300000000000002</v>
      </c>
      <c r="J240" s="884">
        <f t="shared" ref="J240:J242" si="162">I240*F240</f>
        <v>162.40000000000003</v>
      </c>
      <c r="K240" s="884">
        <f>$M$1</f>
        <v>358.32</v>
      </c>
      <c r="L240" s="885">
        <f t="shared" ref="L240:L242" si="163">J240/K240</f>
        <v>0.45322616655503473</v>
      </c>
      <c r="M240" s="915">
        <f>IF(SUM(L240)&gt;0,J240/H240,"")</f>
        <v>2.9000000000000005E-2</v>
      </c>
    </row>
    <row r="241" spans="2:13" ht="25" x14ac:dyDescent="0.25">
      <c r="B241" s="887" t="s">
        <v>447</v>
      </c>
      <c r="C241" s="892">
        <f ca="1">IF(E241="","",MAX(INDIRECT(ADDRESS(ROW()-7,COLUMN())):INDIRECT(ADDRESS(ROW()-1,COLUMN())))+1)</f>
        <v>113</v>
      </c>
      <c r="D241" s="888" t="s">
        <v>446</v>
      </c>
      <c r="E241" s="883" t="s">
        <v>799</v>
      </c>
      <c r="F241" s="884">
        <v>80</v>
      </c>
      <c r="G241" s="884">
        <v>250</v>
      </c>
      <c r="H241" s="884">
        <f t="shared" si="161"/>
        <v>20000</v>
      </c>
      <c r="I241" s="884">
        <f>Labour_perc_roads*G241</f>
        <v>7.25</v>
      </c>
      <c r="J241" s="884">
        <f t="shared" si="162"/>
        <v>580</v>
      </c>
      <c r="K241" s="884">
        <f>$M$1</f>
        <v>358.32</v>
      </c>
      <c r="L241" s="885">
        <f t="shared" si="163"/>
        <v>1.618664880553695</v>
      </c>
      <c r="M241" s="915">
        <f>IF(SUM(L241)&gt;0,J241/H241,"")</f>
        <v>2.9000000000000001E-2</v>
      </c>
    </row>
    <row r="242" spans="2:13" ht="37.5" x14ac:dyDescent="0.25">
      <c r="B242" s="887" t="s">
        <v>445</v>
      </c>
      <c r="C242" s="892">
        <f ca="1">IF(E242="","",MAX(INDIRECT(ADDRESS(ROW()-7,COLUMN())):INDIRECT(ADDRESS(ROW()-1,COLUMN())))+1)</f>
        <v>114</v>
      </c>
      <c r="D242" s="888" t="s">
        <v>444</v>
      </c>
      <c r="E242" s="883" t="s">
        <v>799</v>
      </c>
      <c r="F242" s="884">
        <v>80</v>
      </c>
      <c r="G242" s="884">
        <v>210</v>
      </c>
      <c r="H242" s="884">
        <f t="shared" si="161"/>
        <v>16800</v>
      </c>
      <c r="I242" s="884">
        <f>ROUND(_Excavation+_Haul,1)</f>
        <v>159.69999999999999</v>
      </c>
      <c r="J242" s="884">
        <f t="shared" si="162"/>
        <v>12776</v>
      </c>
      <c r="K242" s="884">
        <f>$M$1</f>
        <v>358.32</v>
      </c>
      <c r="L242" s="885">
        <f t="shared" si="163"/>
        <v>35.655280196472425</v>
      </c>
      <c r="M242" s="915">
        <f>IF(SUM(L242)&gt;0,J242/H242,"")</f>
        <v>0.76047619047619053</v>
      </c>
    </row>
    <row r="243" spans="2:13" ht="39" x14ac:dyDescent="0.25">
      <c r="B243" s="882" t="s">
        <v>443</v>
      </c>
      <c r="C243" s="911" t="str">
        <f ca="1">IF(E243="","",MAX(INDIRECT(ADDRESS(ROW()-7,COLUMN())):INDIRECT(ADDRESS(ROW()-1,COLUMN())))+1)</f>
        <v/>
      </c>
      <c r="D243" s="881" t="s">
        <v>1988</v>
      </c>
      <c r="E243" s="883"/>
      <c r="F243" s="884"/>
      <c r="G243" s="884"/>
      <c r="H243" s="884"/>
      <c r="I243" s="884"/>
      <c r="J243" s="884"/>
      <c r="K243" s="884"/>
      <c r="L243" s="885"/>
      <c r="M243" s="915"/>
    </row>
    <row r="244" spans="2:13" x14ac:dyDescent="0.25">
      <c r="B244" s="887" t="s">
        <v>442</v>
      </c>
      <c r="C244" s="892">
        <f ca="1">IF(E244="","",MAX(INDIRECT(ADDRESS(ROW()-7,COLUMN())):INDIRECT(ADDRESS(ROW()-1,COLUMN())))+1)</f>
        <v>115</v>
      </c>
      <c r="D244" s="888" t="s">
        <v>441</v>
      </c>
      <c r="E244" s="883" t="s">
        <v>799</v>
      </c>
      <c r="F244" s="884">
        <v>50</v>
      </c>
      <c r="G244" s="884">
        <v>125</v>
      </c>
      <c r="H244" s="884">
        <f t="shared" ref="H244" si="164">F244*G244</f>
        <v>6250</v>
      </c>
      <c r="I244" s="884">
        <f>G244*97/100</f>
        <v>121.25</v>
      </c>
      <c r="J244" s="884">
        <f t="shared" ref="J244" si="165">I244*F244</f>
        <v>6062.5</v>
      </c>
      <c r="K244" s="884">
        <f>$M$1</f>
        <v>358.32</v>
      </c>
      <c r="L244" s="885">
        <f t="shared" ref="L244" si="166">J244/K244</f>
        <v>16.919234204063407</v>
      </c>
      <c r="M244" s="915">
        <f>IF(SUM(L244)&gt;0,J244/H244,"")</f>
        <v>0.97</v>
      </c>
    </row>
    <row r="245" spans="2:13" ht="26" x14ac:dyDescent="0.25">
      <c r="B245" s="882" t="s">
        <v>440</v>
      </c>
      <c r="C245" s="911" t="str">
        <f ca="1">IF(E245="","",MAX(INDIRECT(ADDRESS(ROW()-7,COLUMN())):INDIRECT(ADDRESS(ROW()-1,COLUMN())))+1)</f>
        <v/>
      </c>
      <c r="D245" s="881" t="s">
        <v>439</v>
      </c>
      <c r="E245" s="883"/>
      <c r="F245" s="884"/>
      <c r="G245" s="884"/>
      <c r="H245" s="884"/>
      <c r="I245" s="884"/>
      <c r="J245" s="884"/>
      <c r="K245" s="884"/>
      <c r="L245" s="885"/>
      <c r="M245" s="915"/>
    </row>
    <row r="246" spans="2:13" ht="25" x14ac:dyDescent="0.25">
      <c r="B246" s="887" t="s">
        <v>438</v>
      </c>
      <c r="C246" s="892" t="str">
        <f ca="1">IF(E246="","",MAX(INDIRECT(ADDRESS(ROW()-7,COLUMN())):INDIRECT(ADDRESS(ROW()-1,COLUMN())))+1)</f>
        <v/>
      </c>
      <c r="D246" s="888" t="s">
        <v>437</v>
      </c>
      <c r="E246" s="883"/>
      <c r="F246" s="884"/>
      <c r="G246" s="884"/>
      <c r="H246" s="884"/>
      <c r="I246" s="884"/>
      <c r="J246" s="884"/>
      <c r="K246" s="884"/>
      <c r="L246" s="885"/>
      <c r="M246" s="915"/>
    </row>
    <row r="247" spans="2:13" x14ac:dyDescent="0.25">
      <c r="B247" s="887" t="s">
        <v>39</v>
      </c>
      <c r="C247" s="892">
        <f ca="1">IF(E247="","",MAX(INDIRECT(ADDRESS(ROW()-7,COLUMN())):INDIRECT(ADDRESS(ROW()-1,COLUMN())))+1)</f>
        <v>116</v>
      </c>
      <c r="D247" s="888" t="s">
        <v>436</v>
      </c>
      <c r="E247" s="883" t="s">
        <v>799</v>
      </c>
      <c r="F247" s="884">
        <v>200</v>
      </c>
      <c r="G247" s="884">
        <v>70</v>
      </c>
      <c r="H247" s="884">
        <f t="shared" ref="H247:H249" si="167">F247*G247</f>
        <v>14000</v>
      </c>
      <c r="I247" s="884">
        <f>Labour_perc_roads*G247</f>
        <v>2.0300000000000002</v>
      </c>
      <c r="J247" s="884">
        <f t="shared" ref="J247:J249" si="168">I247*F247</f>
        <v>406.00000000000006</v>
      </c>
      <c r="K247" s="884">
        <f>$M$1</f>
        <v>358.32</v>
      </c>
      <c r="L247" s="885">
        <f t="shared" ref="L247:L249" si="169">J247/K247</f>
        <v>1.1330654163875866</v>
      </c>
      <c r="M247" s="915">
        <f>IF(SUM(L247)&gt;0,J247/H247,"")</f>
        <v>2.9000000000000005E-2</v>
      </c>
    </row>
    <row r="248" spans="2:13" ht="37.5" x14ac:dyDescent="0.25">
      <c r="B248" s="887" t="s">
        <v>434</v>
      </c>
      <c r="C248" s="892">
        <f ca="1">IF(E248="","",MAX(INDIRECT(ADDRESS(ROW()-7,COLUMN())):INDIRECT(ADDRESS(ROW()-1,COLUMN())))+1)</f>
        <v>117</v>
      </c>
      <c r="D248" s="888" t="s">
        <v>433</v>
      </c>
      <c r="E248" s="883" t="s">
        <v>799</v>
      </c>
      <c r="F248" s="884">
        <v>190</v>
      </c>
      <c r="G248" s="884">
        <v>320</v>
      </c>
      <c r="H248" s="884">
        <f t="shared" si="167"/>
        <v>60800</v>
      </c>
      <c r="I248" s="884">
        <f>G248*97/100</f>
        <v>310.39999999999998</v>
      </c>
      <c r="J248" s="884">
        <f t="shared" si="168"/>
        <v>58975.999999999993</v>
      </c>
      <c r="K248" s="884">
        <f>$M$1</f>
        <v>358.32</v>
      </c>
      <c r="L248" s="885">
        <f t="shared" si="169"/>
        <v>164.59031033712881</v>
      </c>
      <c r="M248" s="915">
        <f>IF(SUM(L248)&gt;0,J248/H248,"")</f>
        <v>0.96999999999999986</v>
      </c>
    </row>
    <row r="249" spans="2:13" ht="25" x14ac:dyDescent="0.25">
      <c r="B249" s="887" t="s">
        <v>432</v>
      </c>
      <c r="C249" s="892">
        <f ca="1">IF(E249="","",MAX(INDIRECT(ADDRESS(ROW()-7,COLUMN())):INDIRECT(ADDRESS(ROW()-1,COLUMN())))+1)</f>
        <v>118</v>
      </c>
      <c r="D249" s="888" t="s">
        <v>431</v>
      </c>
      <c r="E249" s="883" t="s">
        <v>799</v>
      </c>
      <c r="F249" s="884">
        <v>180</v>
      </c>
      <c r="G249" s="884">
        <v>250</v>
      </c>
      <c r="H249" s="884">
        <f t="shared" si="167"/>
        <v>45000</v>
      </c>
      <c r="I249" s="884">
        <f>Labour_perc_roads*G249</f>
        <v>7.25</v>
      </c>
      <c r="J249" s="884">
        <f t="shared" si="168"/>
        <v>1305</v>
      </c>
      <c r="K249" s="884">
        <f>$M$1</f>
        <v>358.32</v>
      </c>
      <c r="L249" s="885">
        <f t="shared" si="169"/>
        <v>3.641995981245814</v>
      </c>
      <c r="M249" s="915">
        <f>IF(SUM(L249)&gt;0,J249/H249,"")</f>
        <v>2.9000000000000001E-2</v>
      </c>
    </row>
    <row r="250" spans="2:13" ht="26" x14ac:dyDescent="0.25">
      <c r="B250" s="882" t="s">
        <v>430</v>
      </c>
      <c r="C250" s="911" t="str">
        <f ca="1">IF(E250="","",MAX(INDIRECT(ADDRESS(ROW()-7,COLUMN())):INDIRECT(ADDRESS(ROW()-1,COLUMN())))+1)</f>
        <v/>
      </c>
      <c r="D250" s="881" t="s">
        <v>429</v>
      </c>
      <c r="E250" s="883"/>
      <c r="F250" s="884"/>
      <c r="G250" s="884"/>
      <c r="H250" s="884"/>
      <c r="I250" s="884"/>
      <c r="J250" s="884"/>
      <c r="K250" s="884"/>
      <c r="L250" s="885"/>
      <c r="M250" s="915"/>
    </row>
    <row r="251" spans="2:13" ht="25" x14ac:dyDescent="0.25">
      <c r="B251" s="887" t="s">
        <v>428</v>
      </c>
      <c r="C251" s="892">
        <f ca="1">IF(E251="","",MAX(INDIRECT(ADDRESS(ROW()-7,COLUMN())):INDIRECT(ADDRESS(ROW()-1,COLUMN())))+1)</f>
        <v>119</v>
      </c>
      <c r="D251" s="888" t="s">
        <v>427</v>
      </c>
      <c r="E251" s="883" t="s">
        <v>799</v>
      </c>
      <c r="F251" s="884">
        <v>100</v>
      </c>
      <c r="G251" s="884">
        <v>90</v>
      </c>
      <c r="H251" s="884">
        <f t="shared" ref="H251" si="170">F251*G251</f>
        <v>9000</v>
      </c>
      <c r="I251" s="884">
        <f>_Backfill</f>
        <v>51</v>
      </c>
      <c r="J251" s="884">
        <f t="shared" ref="J251" si="171">I251*F251</f>
        <v>5100</v>
      </c>
      <c r="K251" s="884">
        <f>$M$1</f>
        <v>358.32</v>
      </c>
      <c r="L251" s="885">
        <f t="shared" ref="L251" si="172">J251/K251</f>
        <v>14.233087742799732</v>
      </c>
      <c r="M251" s="915">
        <f>IF(SUM(L251)&gt;0,J251/H251,"")</f>
        <v>0.56666666666666665</v>
      </c>
    </row>
    <row r="252" spans="2:13" ht="26" x14ac:dyDescent="0.25">
      <c r="B252" s="882" t="s">
        <v>426</v>
      </c>
      <c r="C252" s="911" t="str">
        <f ca="1">IF(E252="","",MAX(INDIRECT(ADDRESS(ROW()-7,COLUMN())):INDIRECT(ADDRESS(ROW()-1,COLUMN())))+1)</f>
        <v/>
      </c>
      <c r="D252" s="881" t="s">
        <v>2159</v>
      </c>
      <c r="E252" s="883"/>
      <c r="F252" s="884"/>
      <c r="G252" s="884"/>
      <c r="H252" s="884"/>
      <c r="I252" s="884"/>
      <c r="J252" s="884"/>
      <c r="K252" s="884"/>
      <c r="L252" s="885"/>
      <c r="M252" s="915"/>
    </row>
    <row r="253" spans="2:13" ht="25" x14ac:dyDescent="0.25">
      <c r="B253" s="887" t="s">
        <v>794</v>
      </c>
      <c r="C253" s="892">
        <f ca="1">IF(E253="","",MAX(INDIRECT(ADDRESS(ROW()-7,COLUMN())):INDIRECT(ADDRESS(ROW()-1,COLUMN())))+1)</f>
        <v>120</v>
      </c>
      <c r="D253" s="888" t="s">
        <v>2102</v>
      </c>
      <c r="E253" s="883" t="s">
        <v>799</v>
      </c>
      <c r="F253" s="884">
        <v>100</v>
      </c>
      <c r="G253" s="884">
        <v>500</v>
      </c>
      <c r="H253" s="884">
        <f t="shared" ref="H253" si="173">F253*G253</f>
        <v>50000</v>
      </c>
      <c r="I253" s="884">
        <f>Labour_perc_roads*G253</f>
        <v>14.5</v>
      </c>
      <c r="J253" s="884">
        <f t="shared" ref="J253" si="174">I253*F253</f>
        <v>1450</v>
      </c>
      <c r="K253" s="884">
        <f>$M$1</f>
        <v>358.32</v>
      </c>
      <c r="L253" s="885">
        <f t="shared" ref="L253" si="175">J253/K253</f>
        <v>4.0466622013842377</v>
      </c>
      <c r="M253" s="915">
        <f>IF(SUM(L253)&gt;0,J253/H253,"")</f>
        <v>2.9000000000000001E-2</v>
      </c>
    </row>
    <row r="254" spans="2:13" ht="26" x14ac:dyDescent="0.25">
      <c r="B254" s="882" t="s">
        <v>425</v>
      </c>
      <c r="C254" s="911" t="str">
        <f ca="1">IF(E254="","",MAX(INDIRECT(ADDRESS(ROW()-7,COLUMN())):INDIRECT(ADDRESS(ROW()-1,COLUMN())))+1)</f>
        <v/>
      </c>
      <c r="D254" s="881" t="s">
        <v>424</v>
      </c>
      <c r="E254" s="883"/>
      <c r="F254" s="884"/>
      <c r="G254" s="884"/>
      <c r="H254" s="884"/>
      <c r="I254" s="884"/>
      <c r="J254" s="884"/>
      <c r="K254" s="884"/>
      <c r="L254" s="885"/>
      <c r="M254" s="915"/>
    </row>
    <row r="255" spans="2:13" ht="25" x14ac:dyDescent="0.25">
      <c r="B255" s="887" t="s">
        <v>423</v>
      </c>
      <c r="C255" s="892">
        <f ca="1">IF(E255="","",MAX(INDIRECT(ADDRESS(ROW()-7,COLUMN())):INDIRECT(ADDRESS(ROW()-1,COLUMN())))+1)</f>
        <v>121</v>
      </c>
      <c r="D255" s="888" t="s">
        <v>1077</v>
      </c>
      <c r="E255" s="883" t="s">
        <v>799</v>
      </c>
      <c r="F255" s="884">
        <v>310</v>
      </c>
      <c r="G255" s="884">
        <v>350</v>
      </c>
      <c r="H255" s="884">
        <f t="shared" ref="H255" si="176">F255*G255</f>
        <v>108500</v>
      </c>
      <c r="I255" s="884">
        <f>Labour_perc_roads*G255</f>
        <v>10.15</v>
      </c>
      <c r="J255" s="884">
        <f t="shared" ref="J255" si="177">I255*F255</f>
        <v>3146.5</v>
      </c>
      <c r="K255" s="884">
        <f>$M$1</f>
        <v>358.32</v>
      </c>
      <c r="L255" s="885">
        <f t="shared" ref="L255" si="178">J255/K255</f>
        <v>8.781256977003796</v>
      </c>
      <c r="M255" s="915">
        <f>IF(SUM(L255)&gt;0,J255/H255,"")</f>
        <v>2.9000000000000001E-2</v>
      </c>
    </row>
    <row r="256" spans="2:13" ht="13" x14ac:dyDescent="0.25">
      <c r="B256" s="882" t="s">
        <v>422</v>
      </c>
      <c r="C256" s="911" t="str">
        <f ca="1">IF(E256="","",MAX(INDIRECT(ADDRESS(ROW()-7,COLUMN())):INDIRECT(ADDRESS(ROW()-1,COLUMN())))+1)</f>
        <v/>
      </c>
      <c r="D256" s="881" t="s">
        <v>421</v>
      </c>
      <c r="E256" s="883"/>
      <c r="F256" s="884"/>
      <c r="G256" s="884"/>
      <c r="H256" s="884"/>
      <c r="I256" s="884"/>
      <c r="J256" s="884"/>
      <c r="K256" s="884"/>
      <c r="L256" s="885"/>
      <c r="M256" s="915"/>
    </row>
    <row r="257" spans="2:13" ht="37.5" x14ac:dyDescent="0.25">
      <c r="B257" s="887" t="s">
        <v>420</v>
      </c>
      <c r="C257" s="892">
        <f ca="1">IF(E257="","",MAX(INDIRECT(ADDRESS(ROW()-7,COLUMN())):INDIRECT(ADDRESS(ROW()-1,COLUMN())))+1)</f>
        <v>122</v>
      </c>
      <c r="D257" s="888" t="s">
        <v>1078</v>
      </c>
      <c r="E257" s="883" t="s">
        <v>799</v>
      </c>
      <c r="F257" s="884">
        <v>960</v>
      </c>
      <c r="G257" s="884">
        <v>60</v>
      </c>
      <c r="H257" s="884">
        <f t="shared" ref="H257:H258" si="179">F257*G257</f>
        <v>57600</v>
      </c>
      <c r="I257" s="884">
        <f>_Subsoil</f>
        <v>9</v>
      </c>
      <c r="J257" s="884">
        <f t="shared" ref="J257:J258" si="180">I257*F257</f>
        <v>8640</v>
      </c>
      <c r="K257" s="884">
        <f>$M$1</f>
        <v>358.32</v>
      </c>
      <c r="L257" s="885">
        <f t="shared" ref="L257:L258" si="181">J257/K257</f>
        <v>24.112525117213664</v>
      </c>
      <c r="M257" s="915">
        <f>IF(SUM(L257)&gt;0,J257/H257,"")</f>
        <v>0.15</v>
      </c>
    </row>
    <row r="258" spans="2:13" ht="13" x14ac:dyDescent="0.25">
      <c r="B258" s="882" t="s">
        <v>419</v>
      </c>
      <c r="C258" s="892">
        <f ca="1">IF(E258="","",MAX(INDIRECT(ADDRESS(ROW()-7,COLUMN())):INDIRECT(ADDRESS(ROW()-1,COLUMN())))+1)</f>
        <v>123</v>
      </c>
      <c r="D258" s="881" t="s">
        <v>2160</v>
      </c>
      <c r="E258" s="883" t="s">
        <v>555</v>
      </c>
      <c r="F258" s="884">
        <v>1450</v>
      </c>
      <c r="G258" s="884">
        <v>18</v>
      </c>
      <c r="H258" s="884">
        <f t="shared" si="179"/>
        <v>26100</v>
      </c>
      <c r="I258" s="884">
        <f>_Geofabric</f>
        <v>6</v>
      </c>
      <c r="J258" s="884">
        <f t="shared" si="180"/>
        <v>8700</v>
      </c>
      <c r="K258" s="884">
        <f>$M$1</f>
        <v>358.32</v>
      </c>
      <c r="L258" s="885">
        <f t="shared" si="181"/>
        <v>24.279973208305424</v>
      </c>
      <c r="M258" s="915">
        <f>IF(SUM(L258)&gt;0,J258/H258,"")</f>
        <v>0.33333333333333331</v>
      </c>
    </row>
    <row r="259" spans="2:13" ht="39" x14ac:dyDescent="0.25">
      <c r="B259" s="882" t="s">
        <v>418</v>
      </c>
      <c r="C259" s="911" t="str">
        <f ca="1">IF(E259="","",MAX(INDIRECT(ADDRESS(ROW()-7,COLUMN())):INDIRECT(ADDRESS(ROW()-1,COLUMN())))+1)</f>
        <v/>
      </c>
      <c r="D259" s="881" t="s">
        <v>417</v>
      </c>
      <c r="E259" s="883"/>
      <c r="F259" s="884"/>
      <c r="G259" s="884"/>
      <c r="H259" s="884"/>
      <c r="I259" s="884"/>
      <c r="J259" s="884"/>
      <c r="K259" s="884"/>
      <c r="L259" s="885"/>
      <c r="M259" s="915"/>
    </row>
    <row r="260" spans="2:13" ht="25" x14ac:dyDescent="0.25">
      <c r="B260" s="887" t="s">
        <v>416</v>
      </c>
      <c r="C260" s="892">
        <f ca="1">IF(E260="","",MAX(INDIRECT(ADDRESS(ROW()-7,COLUMN())):INDIRECT(ADDRESS(ROW()-1,COLUMN())))+1)</f>
        <v>124</v>
      </c>
      <c r="D260" s="888" t="s">
        <v>1851</v>
      </c>
      <c r="E260" s="883" t="s">
        <v>34</v>
      </c>
      <c r="F260" s="884">
        <v>10</v>
      </c>
      <c r="G260" s="884">
        <v>2500</v>
      </c>
      <c r="H260" s="884">
        <f t="shared" ref="H260:H261" si="182">F260*G260</f>
        <v>25000</v>
      </c>
      <c r="I260" s="884">
        <f>ROUND(1*(_Haul+_Mix+_Place+_Excavation)+(_Brickwork)*3,-1)</f>
        <v>1800</v>
      </c>
      <c r="J260" s="884">
        <f t="shared" ref="J260:J261" si="183">I260*F260</f>
        <v>18000</v>
      </c>
      <c r="K260" s="884">
        <f>$M$1</f>
        <v>358.32</v>
      </c>
      <c r="L260" s="885">
        <f t="shared" ref="L260:L261" si="184">J260/K260</f>
        <v>50.234427327528465</v>
      </c>
      <c r="M260" s="915">
        <f>IF(SUM(L260)&gt;0,J260/H260,"")</f>
        <v>0.72</v>
      </c>
    </row>
    <row r="261" spans="2:13" x14ac:dyDescent="0.25">
      <c r="B261" s="887" t="s">
        <v>415</v>
      </c>
      <c r="C261" s="892">
        <f ca="1">IF(E261="","",MAX(INDIRECT(ADDRESS(ROW()-7,COLUMN())):INDIRECT(ADDRESS(ROW()-1,COLUMN())))+1)</f>
        <v>125</v>
      </c>
      <c r="D261" s="888" t="s">
        <v>1852</v>
      </c>
      <c r="E261" s="883" t="s">
        <v>34</v>
      </c>
      <c r="F261" s="884">
        <v>10</v>
      </c>
      <c r="G261" s="884">
        <v>3500</v>
      </c>
      <c r="H261" s="884">
        <f t="shared" si="182"/>
        <v>35000</v>
      </c>
      <c r="I261" s="884">
        <f>ROUND(_LabourRate*5,0)</f>
        <v>224</v>
      </c>
      <c r="J261" s="884">
        <f t="shared" si="183"/>
        <v>2240</v>
      </c>
      <c r="K261" s="884">
        <f>$M$1</f>
        <v>358.32</v>
      </c>
      <c r="L261" s="885">
        <f t="shared" si="184"/>
        <v>6.2513954007590984</v>
      </c>
      <c r="M261" s="915">
        <f>IF(SUM(L261)&gt;0,J261/H261,"")</f>
        <v>6.4000000000000001E-2</v>
      </c>
    </row>
    <row r="262" spans="2:13" ht="13" x14ac:dyDescent="0.25">
      <c r="B262" s="882" t="s">
        <v>414</v>
      </c>
      <c r="C262" s="911" t="str">
        <f ca="1">IF(E262="","",MAX(INDIRECT(ADDRESS(ROW()-7,COLUMN())):INDIRECT(ADDRESS(ROW()-1,COLUMN())))+1)</f>
        <v/>
      </c>
      <c r="D262" s="881" t="s">
        <v>413</v>
      </c>
      <c r="E262" s="883"/>
      <c r="F262" s="884"/>
      <c r="G262" s="884"/>
      <c r="H262" s="884"/>
      <c r="I262" s="884"/>
      <c r="J262" s="884"/>
      <c r="K262" s="884"/>
      <c r="L262" s="885"/>
      <c r="M262" s="915"/>
    </row>
    <row r="263" spans="2:13" x14ac:dyDescent="0.25">
      <c r="B263" s="887" t="s">
        <v>412</v>
      </c>
      <c r="C263" s="892">
        <f ca="1">IF(E263="","",MAX(INDIRECT(ADDRESS(ROW()-7,COLUMN())):INDIRECT(ADDRESS(ROW()-1,COLUMN())))+1)</f>
        <v>126</v>
      </c>
      <c r="D263" s="888" t="s">
        <v>411</v>
      </c>
      <c r="E263" s="883" t="s">
        <v>34</v>
      </c>
      <c r="F263" s="884">
        <v>10</v>
      </c>
      <c r="G263" s="884">
        <v>65</v>
      </c>
      <c r="H263" s="884">
        <f t="shared" ref="H263:H264" si="185">F263*G263</f>
        <v>650</v>
      </c>
      <c r="I263" s="884">
        <f>ROUND(Labour_perc_roads*G263,0)</f>
        <v>2</v>
      </c>
      <c r="J263" s="884">
        <f t="shared" ref="J263:J264" si="186">I263*F263</f>
        <v>20</v>
      </c>
      <c r="K263" s="884">
        <f>$M$1</f>
        <v>358.32</v>
      </c>
      <c r="L263" s="885">
        <f t="shared" ref="L263:L264" si="187">J263/K263</f>
        <v>5.5816030363920521E-2</v>
      </c>
      <c r="M263" s="915">
        <f>IF(SUM(L263)&gt;0,J263/H263,"")</f>
        <v>3.0769230769230771E-2</v>
      </c>
    </row>
    <row r="264" spans="2:13" ht="13" x14ac:dyDescent="0.25">
      <c r="B264" s="882" t="s">
        <v>408</v>
      </c>
      <c r="C264" s="892">
        <f ca="1">IF(E264="","",MAX(INDIRECT(ADDRESS(ROW()-7,COLUMN())):INDIRECT(ADDRESS(ROW()-1,COLUMN())))+1)</f>
        <v>127</v>
      </c>
      <c r="D264" s="881" t="s">
        <v>407</v>
      </c>
      <c r="E264" s="883" t="s">
        <v>34</v>
      </c>
      <c r="F264" s="884">
        <v>10</v>
      </c>
      <c r="G264" s="884">
        <v>780</v>
      </c>
      <c r="H264" s="884">
        <f t="shared" si="185"/>
        <v>7800</v>
      </c>
      <c r="I264" s="884">
        <f>ROUND(Labour_perc_roads*G264,0)</f>
        <v>23</v>
      </c>
      <c r="J264" s="884">
        <f t="shared" si="186"/>
        <v>230</v>
      </c>
      <c r="K264" s="884">
        <f>$M$1</f>
        <v>358.32</v>
      </c>
      <c r="L264" s="885">
        <f t="shared" si="187"/>
        <v>0.64188434918508597</v>
      </c>
      <c r="M264" s="915">
        <f>IF(SUM(L264)&gt;0,J264/H264,"")</f>
        <v>2.9487179487179487E-2</v>
      </c>
    </row>
    <row r="265" spans="2:13" x14ac:dyDescent="0.25">
      <c r="B265" s="887"/>
      <c r="C265" s="892" t="str">
        <f ca="1">IF(E265="","",MAX(INDIRECT(ADDRESS(ROW()-7,COLUMN())):INDIRECT(ADDRESS(ROW()-1,COLUMN())))+1)</f>
        <v/>
      </c>
      <c r="D265" s="888"/>
      <c r="E265" s="883"/>
      <c r="F265" s="884"/>
      <c r="G265" s="884"/>
      <c r="H265" s="884"/>
      <c r="I265" s="884"/>
      <c r="J265" s="884"/>
      <c r="K265" s="884"/>
      <c r="L265" s="885"/>
      <c r="M265" s="915"/>
    </row>
    <row r="266" spans="2:13" ht="13" x14ac:dyDescent="0.25">
      <c r="B266" s="882" t="s">
        <v>509</v>
      </c>
      <c r="C266" s="911" t="str">
        <f ca="1">IF(E266="","",MAX(INDIRECT(ADDRESS(ROW()-7,COLUMN())):INDIRECT(ADDRESS(ROW()-1,COLUMN())))+1)</f>
        <v/>
      </c>
      <c r="D266" s="881" t="s">
        <v>508</v>
      </c>
      <c r="E266" s="883"/>
      <c r="F266" s="884"/>
      <c r="G266" s="884"/>
      <c r="H266" s="884"/>
      <c r="I266" s="884"/>
      <c r="J266" s="884"/>
      <c r="K266" s="884"/>
      <c r="L266" s="885"/>
      <c r="M266" s="915"/>
    </row>
    <row r="267" spans="2:13" ht="13" x14ac:dyDescent="0.25">
      <c r="B267" s="882" t="s">
        <v>507</v>
      </c>
      <c r="C267" s="911" t="str">
        <f ca="1">IF(E267="","",MAX(INDIRECT(ADDRESS(ROW()-7,COLUMN())):INDIRECT(ADDRESS(ROW()-1,COLUMN())))+1)</f>
        <v/>
      </c>
      <c r="D267" s="881" t="s">
        <v>506</v>
      </c>
      <c r="E267" s="883"/>
      <c r="F267" s="884"/>
      <c r="G267" s="884"/>
      <c r="H267" s="884"/>
      <c r="I267" s="884"/>
      <c r="J267" s="884"/>
      <c r="K267" s="884"/>
      <c r="L267" s="885"/>
      <c r="M267" s="915"/>
    </row>
    <row r="268" spans="2:13" ht="25" x14ac:dyDescent="0.25">
      <c r="B268" s="887" t="s">
        <v>505</v>
      </c>
      <c r="C268" s="892" t="str">
        <f ca="1">IF(E268="","",MAX(INDIRECT(ADDRESS(ROW()-7,COLUMN())):INDIRECT(ADDRESS(ROW()-1,COLUMN())))+1)</f>
        <v/>
      </c>
      <c r="D268" s="888" t="s">
        <v>504</v>
      </c>
      <c r="E268" s="883"/>
      <c r="F268" s="884"/>
      <c r="G268" s="884"/>
      <c r="H268" s="884"/>
      <c r="I268" s="884"/>
      <c r="J268" s="884"/>
      <c r="K268" s="884"/>
      <c r="L268" s="885"/>
      <c r="M268" s="915"/>
    </row>
    <row r="269" spans="2:13" x14ac:dyDescent="0.25">
      <c r="B269" s="887" t="s">
        <v>39</v>
      </c>
      <c r="C269" s="892">
        <f ca="1">IF(E269="","",MAX(INDIRECT(ADDRESS(ROW()-7,COLUMN())):INDIRECT(ADDRESS(ROW()-1,COLUMN())))+1)</f>
        <v>128</v>
      </c>
      <c r="D269" s="888" t="s">
        <v>436</v>
      </c>
      <c r="E269" s="883" t="s">
        <v>799</v>
      </c>
      <c r="F269" s="884">
        <v>90</v>
      </c>
      <c r="G269" s="884">
        <v>45</v>
      </c>
      <c r="H269" s="884">
        <f t="shared" ref="H269:H272" si="188">F269*G269</f>
        <v>4050</v>
      </c>
      <c r="I269" s="884">
        <f>ROUND(Labour_perc_roads*G269,0)</f>
        <v>1</v>
      </c>
      <c r="J269" s="884">
        <f t="shared" ref="J269:J272" si="189">I269*F269</f>
        <v>90</v>
      </c>
      <c r="K269" s="884">
        <f>$M$1</f>
        <v>358.32</v>
      </c>
      <c r="L269" s="885">
        <f t="shared" ref="L269:L272" si="190">J269/K269</f>
        <v>0.25117213663764232</v>
      </c>
      <c r="M269" s="915">
        <f>IF(SUM(L269)&gt;0,J269/H269,"")</f>
        <v>2.2222222222222223E-2</v>
      </c>
    </row>
    <row r="270" spans="2:13" x14ac:dyDescent="0.25">
      <c r="B270" s="887" t="s">
        <v>41</v>
      </c>
      <c r="C270" s="892">
        <f ca="1">IF(E270="","",MAX(INDIRECT(ADDRESS(ROW()-7,COLUMN())):INDIRECT(ADDRESS(ROW()-1,COLUMN())))+1)</f>
        <v>129</v>
      </c>
      <c r="D270" s="888" t="s">
        <v>435</v>
      </c>
      <c r="E270" s="883" t="s">
        <v>799</v>
      </c>
      <c r="F270" s="884">
        <v>90</v>
      </c>
      <c r="G270" s="884">
        <v>50</v>
      </c>
      <c r="H270" s="884">
        <f t="shared" si="188"/>
        <v>4500</v>
      </c>
      <c r="I270" s="884">
        <f>ROUND(Labour_perc_roads*G270,0)</f>
        <v>1</v>
      </c>
      <c r="J270" s="884">
        <f t="shared" si="189"/>
        <v>90</v>
      </c>
      <c r="K270" s="884">
        <f>$M$1</f>
        <v>358.32</v>
      </c>
      <c r="L270" s="885">
        <f t="shared" si="190"/>
        <v>0.25117213663764232</v>
      </c>
      <c r="M270" s="915">
        <f>IF(SUM(L270)&gt;0,J270/H270,"")</f>
        <v>0.02</v>
      </c>
    </row>
    <row r="271" spans="2:13" ht="50" x14ac:dyDescent="0.25">
      <c r="B271" s="887" t="s">
        <v>503</v>
      </c>
      <c r="C271" s="892">
        <f ca="1">IF(E271="","",MAX(INDIRECT(ADDRESS(ROW()-7,COLUMN())):INDIRECT(ADDRESS(ROW()-1,COLUMN())))+1)</f>
        <v>130</v>
      </c>
      <c r="D271" s="888" t="s">
        <v>502</v>
      </c>
      <c r="E271" s="883" t="s">
        <v>799</v>
      </c>
      <c r="F271" s="884">
        <v>80</v>
      </c>
      <c r="G271" s="884">
        <v>185</v>
      </c>
      <c r="H271" s="884">
        <f t="shared" si="188"/>
        <v>14800</v>
      </c>
      <c r="I271" s="884">
        <f>_Excavation</f>
        <v>151</v>
      </c>
      <c r="J271" s="884">
        <f t="shared" si="189"/>
        <v>12080</v>
      </c>
      <c r="K271" s="884">
        <f>$M$1</f>
        <v>358.32</v>
      </c>
      <c r="L271" s="885">
        <f t="shared" si="190"/>
        <v>33.71288233980799</v>
      </c>
      <c r="M271" s="915">
        <f>IF(SUM(L271)&gt;0,J271/H271,"")</f>
        <v>0.81621621621621621</v>
      </c>
    </row>
    <row r="272" spans="2:13" ht="25" x14ac:dyDescent="0.25">
      <c r="B272" s="887" t="s">
        <v>501</v>
      </c>
      <c r="C272" s="892">
        <f ca="1">IF(E272="","",MAX(INDIRECT(ADDRESS(ROW()-7,COLUMN())):INDIRECT(ADDRESS(ROW()-1,COLUMN())))+1)</f>
        <v>131</v>
      </c>
      <c r="D272" s="888" t="s">
        <v>1783</v>
      </c>
      <c r="E272" s="883" t="s">
        <v>799</v>
      </c>
      <c r="F272" s="884">
        <v>112</v>
      </c>
      <c r="G272" s="884">
        <v>250</v>
      </c>
      <c r="H272" s="884">
        <f t="shared" si="188"/>
        <v>28000</v>
      </c>
      <c r="I272" s="884">
        <f>ROUND(Labour_perc_roads*G272,0)</f>
        <v>7</v>
      </c>
      <c r="J272" s="884">
        <f t="shared" si="189"/>
        <v>784</v>
      </c>
      <c r="K272" s="884">
        <f>$M$1</f>
        <v>358.32</v>
      </c>
      <c r="L272" s="885">
        <f t="shared" si="190"/>
        <v>2.1879883902656845</v>
      </c>
      <c r="M272" s="915">
        <f>IF(SUM(L272)&gt;0,J272/H272,"")</f>
        <v>2.8000000000000001E-2</v>
      </c>
    </row>
    <row r="273" spans="2:13" ht="13" x14ac:dyDescent="0.25">
      <c r="B273" s="882" t="s">
        <v>500</v>
      </c>
      <c r="C273" s="911" t="str">
        <f ca="1">IF(E273="","",MAX(INDIRECT(ADDRESS(ROW()-7,COLUMN())):INDIRECT(ADDRESS(ROW()-1,COLUMN())))+1)</f>
        <v/>
      </c>
      <c r="D273" s="881" t="s">
        <v>499</v>
      </c>
      <c r="E273" s="883"/>
      <c r="F273" s="884"/>
      <c r="G273" s="884"/>
      <c r="H273" s="884"/>
      <c r="I273" s="884"/>
      <c r="J273" s="884"/>
      <c r="K273" s="884"/>
      <c r="L273" s="885"/>
      <c r="M273" s="915"/>
    </row>
    <row r="274" spans="2:13" x14ac:dyDescent="0.25">
      <c r="B274" s="887" t="s">
        <v>498</v>
      </c>
      <c r="C274" s="892">
        <f ca="1">IF(E274="","",MAX(INDIRECT(ADDRESS(ROW()-7,COLUMN())):INDIRECT(ADDRESS(ROW()-1,COLUMN())))+1)</f>
        <v>132</v>
      </c>
      <c r="D274" s="888" t="s">
        <v>497</v>
      </c>
      <c r="E274" s="883" t="s">
        <v>799</v>
      </c>
      <c r="F274" s="884">
        <v>81</v>
      </c>
      <c r="G274" s="884">
        <v>65</v>
      </c>
      <c r="H274" s="884">
        <f t="shared" ref="H274" si="191">F274*G274</f>
        <v>5265</v>
      </c>
      <c r="I274" s="884">
        <f>_Backfill</f>
        <v>51</v>
      </c>
      <c r="J274" s="884">
        <f t="shared" ref="J274" si="192">I274*F274</f>
        <v>4131</v>
      </c>
      <c r="K274" s="884">
        <f>$M$1</f>
        <v>358.32</v>
      </c>
      <c r="L274" s="885">
        <f t="shared" ref="L274" si="193">J274/K274</f>
        <v>11.528801071667782</v>
      </c>
      <c r="M274" s="915">
        <f>IF(SUM(L274)&gt;0,J274/H274,"")</f>
        <v>0.7846153846153846</v>
      </c>
    </row>
    <row r="275" spans="2:13" x14ac:dyDescent="0.25">
      <c r="B275" s="887" t="s">
        <v>496</v>
      </c>
      <c r="C275" s="892" t="str">
        <f ca="1">IF(E275="","",MAX(INDIRECT(ADDRESS(ROW()-7,COLUMN())):INDIRECT(ADDRESS(ROW()-1,COLUMN())))+1)</f>
        <v/>
      </c>
      <c r="D275" s="888" t="s">
        <v>495</v>
      </c>
      <c r="E275" s="883"/>
      <c r="F275" s="884"/>
      <c r="G275" s="884"/>
      <c r="H275" s="884"/>
      <c r="I275" s="884"/>
      <c r="J275" s="884"/>
      <c r="K275" s="884"/>
      <c r="L275" s="885"/>
      <c r="M275" s="915"/>
    </row>
    <row r="276" spans="2:13" x14ac:dyDescent="0.25">
      <c r="B276" s="887" t="s">
        <v>39</v>
      </c>
      <c r="C276" s="892">
        <f ca="1">IF(E276="","",MAX(INDIRECT(ADDRESS(ROW()-7,COLUMN())):INDIRECT(ADDRESS(ROW()-1,COLUMN())))+1)</f>
        <v>133</v>
      </c>
      <c r="D276" s="888" t="s">
        <v>1856</v>
      </c>
      <c r="E276" s="883" t="s">
        <v>799</v>
      </c>
      <c r="F276" s="884">
        <v>17</v>
      </c>
      <c r="G276" s="884">
        <v>120</v>
      </c>
      <c r="H276" s="884">
        <f t="shared" ref="H276:H277" si="194">F276*G276</f>
        <v>2040</v>
      </c>
      <c r="I276" s="884">
        <f>_Backfill</f>
        <v>51</v>
      </c>
      <c r="J276" s="884">
        <f t="shared" ref="J276:J277" si="195">I276*F276</f>
        <v>867</v>
      </c>
      <c r="K276" s="884">
        <f>$M$1</f>
        <v>358.32</v>
      </c>
      <c r="L276" s="885">
        <f t="shared" ref="L276:L277" si="196">J276/K276</f>
        <v>2.4196249162759544</v>
      </c>
      <c r="M276" s="915">
        <f>IF(SUM(L276)&gt;0,J276/H276,"")</f>
        <v>0.42499999999999999</v>
      </c>
    </row>
    <row r="277" spans="2:13" ht="25" x14ac:dyDescent="0.25">
      <c r="B277" s="887" t="s">
        <v>41</v>
      </c>
      <c r="C277" s="892">
        <f ca="1">IF(E277="","",MAX(INDIRECT(ADDRESS(ROW()-7,COLUMN())):INDIRECT(ADDRESS(ROW()-1,COLUMN())))+1)</f>
        <v>134</v>
      </c>
      <c r="D277" s="888" t="s">
        <v>1857</v>
      </c>
      <c r="E277" s="883" t="s">
        <v>799</v>
      </c>
      <c r="F277" s="884">
        <v>17</v>
      </c>
      <c r="G277" s="884">
        <v>75</v>
      </c>
      <c r="H277" s="884">
        <f t="shared" si="194"/>
        <v>1275</v>
      </c>
      <c r="I277" s="884">
        <f>ROUND(Labour_perc_roads*G277,0)</f>
        <v>2</v>
      </c>
      <c r="J277" s="884">
        <f t="shared" si="195"/>
        <v>34</v>
      </c>
      <c r="K277" s="884">
        <f>$M$1</f>
        <v>358.32</v>
      </c>
      <c r="L277" s="885">
        <f t="shared" si="196"/>
        <v>9.4887251618664889E-2</v>
      </c>
      <c r="M277" s="915">
        <f>IF(SUM(L277)&gt;0,J277/H277,"")</f>
        <v>2.6666666666666668E-2</v>
      </c>
    </row>
    <row r="278" spans="2:13" ht="13" x14ac:dyDescent="0.25">
      <c r="B278" s="882" t="s">
        <v>494</v>
      </c>
      <c r="C278" s="911" t="str">
        <f ca="1">IF(E278="","",MAX(INDIRECT(ADDRESS(ROW()-7,COLUMN())):INDIRECT(ADDRESS(ROW()-1,COLUMN())))+1)</f>
        <v/>
      </c>
      <c r="D278" s="881" t="s">
        <v>493</v>
      </c>
      <c r="E278" s="883"/>
      <c r="F278" s="884"/>
      <c r="G278" s="884"/>
      <c r="H278" s="884"/>
      <c r="I278" s="884"/>
      <c r="J278" s="884"/>
      <c r="K278" s="884"/>
      <c r="L278" s="885"/>
      <c r="M278" s="915"/>
    </row>
    <row r="279" spans="2:13" x14ac:dyDescent="0.25">
      <c r="B279" s="887" t="s">
        <v>492</v>
      </c>
      <c r="C279" s="892" t="str">
        <f ca="1">IF(E279="","",MAX(INDIRECT(ADDRESS(ROW()-7,COLUMN())):INDIRECT(ADDRESS(ROW()-1,COLUMN())))+1)</f>
        <v/>
      </c>
      <c r="D279" s="888" t="s">
        <v>1839</v>
      </c>
      <c r="E279" s="883"/>
      <c r="F279" s="884"/>
      <c r="G279" s="884"/>
      <c r="H279" s="884"/>
      <c r="I279" s="884"/>
      <c r="J279" s="884"/>
      <c r="K279" s="884"/>
      <c r="L279" s="885"/>
      <c r="M279" s="915"/>
    </row>
    <row r="280" spans="2:13" x14ac:dyDescent="0.25">
      <c r="B280" s="887" t="s">
        <v>39</v>
      </c>
      <c r="C280" s="892">
        <f ca="1">IF(E280="","",MAX(INDIRECT(ADDRESS(ROW()-7,COLUMN())):INDIRECT(ADDRESS(ROW()-1,COLUMN())))+1)</f>
        <v>135</v>
      </c>
      <c r="D280" s="888" t="s">
        <v>1711</v>
      </c>
      <c r="E280" s="883" t="s">
        <v>6</v>
      </c>
      <c r="F280" s="884">
        <v>35</v>
      </c>
      <c r="G280" s="884">
        <v>750</v>
      </c>
      <c r="H280" s="884">
        <f t="shared" ref="H280:H282" si="197">F280*G280</f>
        <v>26250</v>
      </c>
      <c r="I280" s="884">
        <f>ROUND(Labour_perc_roads*G280,0)</f>
        <v>22</v>
      </c>
      <c r="J280" s="884">
        <f t="shared" ref="J280:J282" si="198">I280*F280</f>
        <v>770</v>
      </c>
      <c r="K280" s="884">
        <f>$M$1</f>
        <v>358.32</v>
      </c>
      <c r="L280" s="885">
        <f t="shared" ref="L280:L282" si="199">J280/K280</f>
        <v>2.1489171690109399</v>
      </c>
      <c r="M280" s="915">
        <f>IF(SUM(L280)&gt;0,J280/H280,"")</f>
        <v>2.9333333333333333E-2</v>
      </c>
    </row>
    <row r="281" spans="2:13" x14ac:dyDescent="0.25">
      <c r="B281" s="887" t="s">
        <v>41</v>
      </c>
      <c r="C281" s="892">
        <f ca="1">IF(E281="","",MAX(INDIRECT(ADDRESS(ROW()-7,COLUMN())):INDIRECT(ADDRESS(ROW()-1,COLUMN())))+1)</f>
        <v>136</v>
      </c>
      <c r="D281" s="888" t="s">
        <v>1712</v>
      </c>
      <c r="E281" s="883" t="s">
        <v>6</v>
      </c>
      <c r="F281" s="884">
        <v>35</v>
      </c>
      <c r="G281" s="884">
        <v>1150</v>
      </c>
      <c r="H281" s="884">
        <f t="shared" si="197"/>
        <v>40250</v>
      </c>
      <c r="I281" s="884">
        <f>ROUND(Labour_perc_roads*G281,0)</f>
        <v>33</v>
      </c>
      <c r="J281" s="884">
        <f t="shared" si="198"/>
        <v>1155</v>
      </c>
      <c r="K281" s="884">
        <f>$M$1</f>
        <v>358.32</v>
      </c>
      <c r="L281" s="885">
        <f t="shared" si="199"/>
        <v>3.22337575351641</v>
      </c>
      <c r="M281" s="915">
        <f>IF(SUM(L281)&gt;0,J281/H281,"")</f>
        <v>2.8695652173913042E-2</v>
      </c>
    </row>
    <row r="282" spans="2:13" x14ac:dyDescent="0.25">
      <c r="B282" s="887" t="s">
        <v>52</v>
      </c>
      <c r="C282" s="892">
        <f ca="1">IF(E282="","",MAX(INDIRECT(ADDRESS(ROW()-7,COLUMN())):INDIRECT(ADDRESS(ROW()-1,COLUMN())))+1)</f>
        <v>137</v>
      </c>
      <c r="D282" s="888" t="s">
        <v>1713</v>
      </c>
      <c r="E282" s="883" t="s">
        <v>6</v>
      </c>
      <c r="F282" s="884">
        <v>100</v>
      </c>
      <c r="G282" s="884">
        <v>1300</v>
      </c>
      <c r="H282" s="884">
        <f t="shared" si="197"/>
        <v>130000</v>
      </c>
      <c r="I282" s="884">
        <f>ROUND(Labour_perc_roads*G282,0)</f>
        <v>38</v>
      </c>
      <c r="J282" s="884">
        <f t="shared" si="198"/>
        <v>3800</v>
      </c>
      <c r="K282" s="884">
        <f>$M$1</f>
        <v>358.32</v>
      </c>
      <c r="L282" s="885">
        <f t="shared" si="199"/>
        <v>10.605045769144899</v>
      </c>
      <c r="M282" s="915">
        <f>IF(SUM(L282)&gt;0,J282/H282,"")</f>
        <v>2.923076923076923E-2</v>
      </c>
    </row>
    <row r="283" spans="2:13" ht="13" x14ac:dyDescent="0.25">
      <c r="B283" s="882" t="s">
        <v>490</v>
      </c>
      <c r="C283" s="911" t="str">
        <f ca="1">IF(E283="","",MAX(INDIRECT(ADDRESS(ROW()-7,COLUMN())):INDIRECT(ADDRESS(ROW()-1,COLUMN())))+1)</f>
        <v/>
      </c>
      <c r="D283" s="881" t="s">
        <v>489</v>
      </c>
      <c r="E283" s="883"/>
      <c r="F283" s="884"/>
      <c r="G283" s="884"/>
      <c r="H283" s="884"/>
      <c r="I283" s="884"/>
      <c r="J283" s="884"/>
      <c r="K283" s="884"/>
      <c r="L283" s="885"/>
      <c r="M283" s="915"/>
    </row>
    <row r="284" spans="2:13" ht="62.5" x14ac:dyDescent="0.25">
      <c r="B284" s="887" t="s">
        <v>488</v>
      </c>
      <c r="C284" s="892">
        <f ca="1">IF(E284="","",MAX(INDIRECT(ADDRESS(ROW()-7,COLUMN())):INDIRECT(ADDRESS(ROW()-1,COLUMN())))+1)</f>
        <v>138</v>
      </c>
      <c r="D284" s="888" t="s">
        <v>2011</v>
      </c>
      <c r="E284" s="883" t="s">
        <v>6</v>
      </c>
      <c r="F284" s="884">
        <v>160</v>
      </c>
      <c r="G284" s="884">
        <v>600</v>
      </c>
      <c r="H284" s="884">
        <f t="shared" ref="H284" si="200">F284*G284</f>
        <v>96000</v>
      </c>
      <c r="I284" s="884">
        <f>ROUND(Labour_perc_roads*G284,0)</f>
        <v>17</v>
      </c>
      <c r="J284" s="884">
        <f t="shared" ref="J284" si="201">I284*F284</f>
        <v>2720</v>
      </c>
      <c r="K284" s="884">
        <f>$M$1</f>
        <v>358.32</v>
      </c>
      <c r="L284" s="885">
        <f t="shared" ref="L284" si="202">J284/K284</f>
        <v>7.5909801294931905</v>
      </c>
      <c r="M284" s="915">
        <f>IF(SUM(L284)&gt;0,J284/H284,"")</f>
        <v>2.8333333333333332E-2</v>
      </c>
    </row>
    <row r="285" spans="2:13" ht="26" x14ac:dyDescent="0.25">
      <c r="B285" s="882" t="s">
        <v>487</v>
      </c>
      <c r="C285" s="911" t="str">
        <f ca="1">IF(E285="","",MAX(INDIRECT(ADDRESS(ROW()-7,COLUMN())):INDIRECT(ADDRESS(ROW()-1,COLUMN())))+1)</f>
        <v/>
      </c>
      <c r="D285" s="881" t="s">
        <v>486</v>
      </c>
      <c r="E285" s="883"/>
      <c r="F285" s="884"/>
      <c r="G285" s="884"/>
      <c r="H285" s="884"/>
      <c r="I285" s="884"/>
      <c r="J285" s="884"/>
      <c r="K285" s="884"/>
      <c r="L285" s="885"/>
      <c r="M285" s="915"/>
    </row>
    <row r="286" spans="2:13" ht="25" x14ac:dyDescent="0.25">
      <c r="B286" s="887" t="s">
        <v>485</v>
      </c>
      <c r="C286" s="892">
        <f ca="1">IF(E286="","",MAX(INDIRECT(ADDRESS(ROW()-7,COLUMN())):INDIRECT(ADDRESS(ROW()-1,COLUMN())))+1)</f>
        <v>139</v>
      </c>
      <c r="D286" s="888" t="s">
        <v>2105</v>
      </c>
      <c r="E286" s="883" t="s">
        <v>6</v>
      </c>
      <c r="F286" s="884">
        <v>72</v>
      </c>
      <c r="G286" s="884">
        <v>750</v>
      </c>
      <c r="H286" s="884">
        <f t="shared" ref="H286" si="203">F286*G286</f>
        <v>54000</v>
      </c>
      <c r="I286" s="884">
        <f>ROUND(Labour_perc_roads*G286,0)</f>
        <v>22</v>
      </c>
      <c r="J286" s="884">
        <f t="shared" ref="J286" si="204">I286*F286</f>
        <v>1584</v>
      </c>
      <c r="K286" s="884">
        <f>$M$1</f>
        <v>358.32</v>
      </c>
      <c r="L286" s="885">
        <f t="shared" ref="L286" si="205">J286/K286</f>
        <v>4.4206296048225049</v>
      </c>
      <c r="M286" s="915">
        <f>IF(SUM(L286)&gt;0,J286/H286,"")</f>
        <v>2.9333333333333333E-2</v>
      </c>
    </row>
    <row r="287" spans="2:13" ht="13" x14ac:dyDescent="0.25">
      <c r="B287" s="882" t="s">
        <v>482</v>
      </c>
      <c r="C287" s="911" t="str">
        <f ca="1">IF(E287="","",MAX(INDIRECT(ADDRESS(ROW()-7,COLUMN())):INDIRECT(ADDRESS(ROW()-1,COLUMN())))+1)</f>
        <v/>
      </c>
      <c r="D287" s="881" t="s">
        <v>481</v>
      </c>
      <c r="E287" s="883"/>
      <c r="F287" s="884"/>
      <c r="G287" s="884"/>
      <c r="H287" s="884"/>
      <c r="I287" s="884"/>
      <c r="J287" s="884"/>
      <c r="K287" s="884"/>
      <c r="L287" s="885"/>
      <c r="M287" s="915"/>
    </row>
    <row r="288" spans="2:13" ht="37.5" x14ac:dyDescent="0.25">
      <c r="B288" s="887" t="s">
        <v>480</v>
      </c>
      <c r="C288" s="892">
        <f ca="1">IF(E288="","",MAX(INDIRECT(ADDRESS(ROW()-7,COLUMN())):INDIRECT(ADDRESS(ROW()-1,COLUMN())))+1)</f>
        <v>140</v>
      </c>
      <c r="D288" s="888" t="s">
        <v>2106</v>
      </c>
      <c r="E288" s="883" t="s">
        <v>799</v>
      </c>
      <c r="F288" s="884">
        <v>10</v>
      </c>
      <c r="G288" s="884">
        <v>3000</v>
      </c>
      <c r="H288" s="884">
        <f t="shared" ref="H288:H290" si="206">F288*G288</f>
        <v>30000</v>
      </c>
      <c r="I288" s="884">
        <f>_Mix+_Haul+_Place</f>
        <v>792.7</v>
      </c>
      <c r="J288" s="884">
        <f t="shared" ref="J288:J290" si="207">I288*F288</f>
        <v>7927</v>
      </c>
      <c r="K288" s="884">
        <f>$M$1</f>
        <v>358.32</v>
      </c>
      <c r="L288" s="885">
        <f t="shared" ref="L288:L290" si="208">J288/K288</f>
        <v>22.122683634739897</v>
      </c>
      <c r="M288" s="915">
        <f>IF(SUM(L288)&gt;0,J288/H288,"")</f>
        <v>0.26423333333333332</v>
      </c>
    </row>
    <row r="289" spans="2:13" ht="62.5" x14ac:dyDescent="0.25">
      <c r="B289" s="887" t="s">
        <v>479</v>
      </c>
      <c r="C289" s="892">
        <f ca="1">IF(E289="","",MAX(INDIRECT(ADDRESS(ROW()-7,COLUMN())):INDIRECT(ADDRESS(ROW()-1,COLUMN())))+1)</f>
        <v>141</v>
      </c>
      <c r="D289" s="888" t="s">
        <v>2161</v>
      </c>
      <c r="E289" s="883" t="s">
        <v>799</v>
      </c>
      <c r="F289" s="884">
        <v>10</v>
      </c>
      <c r="G289" s="884">
        <v>3000</v>
      </c>
      <c r="H289" s="884">
        <f t="shared" si="206"/>
        <v>30000</v>
      </c>
      <c r="I289" s="884">
        <f>_Mix+_Haul+_Place</f>
        <v>792.7</v>
      </c>
      <c r="J289" s="884">
        <f t="shared" si="207"/>
        <v>7927</v>
      </c>
      <c r="K289" s="884">
        <f>$M$1</f>
        <v>358.32</v>
      </c>
      <c r="L289" s="885">
        <f t="shared" si="208"/>
        <v>22.122683634739897</v>
      </c>
      <c r="M289" s="915">
        <f>IF(SUM(L289)&gt;0,J289/H289,"")</f>
        <v>0.26423333333333332</v>
      </c>
    </row>
    <row r="290" spans="2:13" ht="62.5" x14ac:dyDescent="0.25">
      <c r="B290" s="887" t="s">
        <v>478</v>
      </c>
      <c r="C290" s="892">
        <f ca="1">IF(E290="","",MAX(INDIRECT(ADDRESS(ROW()-7,COLUMN())):INDIRECT(ADDRESS(ROW()-1,COLUMN())))+1)</f>
        <v>142</v>
      </c>
      <c r="D290" s="888" t="s">
        <v>2048</v>
      </c>
      <c r="E290" s="883" t="s">
        <v>799</v>
      </c>
      <c r="F290" s="884">
        <v>20</v>
      </c>
      <c r="G290" s="884">
        <v>2500</v>
      </c>
      <c r="H290" s="884">
        <f t="shared" si="206"/>
        <v>50000</v>
      </c>
      <c r="I290" s="884">
        <f>_Mix+_Haul+_Place</f>
        <v>792.7</v>
      </c>
      <c r="J290" s="884">
        <f t="shared" si="207"/>
        <v>15854</v>
      </c>
      <c r="K290" s="884">
        <f>$M$1</f>
        <v>358.32</v>
      </c>
      <c r="L290" s="885">
        <f t="shared" si="208"/>
        <v>44.245367269479793</v>
      </c>
      <c r="M290" s="915">
        <f>IF(SUM(L290)&gt;0,J290/H290,"")</f>
        <v>0.31707999999999997</v>
      </c>
    </row>
    <row r="291" spans="2:13" ht="25" x14ac:dyDescent="0.25">
      <c r="B291" s="887" t="s">
        <v>477</v>
      </c>
      <c r="C291" s="892" t="str">
        <f ca="1">IF(E291="","",MAX(INDIRECT(ADDRESS(ROW()-7,COLUMN())):INDIRECT(ADDRESS(ROW()-1,COLUMN())))+1)</f>
        <v/>
      </c>
      <c r="D291" s="888" t="s">
        <v>1840</v>
      </c>
      <c r="E291" s="883"/>
      <c r="F291" s="884"/>
      <c r="G291" s="884"/>
      <c r="H291" s="884"/>
      <c r="I291" s="884"/>
      <c r="J291" s="884"/>
      <c r="K291" s="884"/>
      <c r="L291" s="885"/>
      <c r="M291" s="915"/>
    </row>
    <row r="292" spans="2:13" x14ac:dyDescent="0.25">
      <c r="B292" s="887" t="s">
        <v>39</v>
      </c>
      <c r="C292" s="892">
        <f ca="1">IF(E292="","",MAX(INDIRECT(ADDRESS(ROW()-7,COLUMN())):INDIRECT(ADDRESS(ROW()-1,COLUMN())))+1)</f>
        <v>143</v>
      </c>
      <c r="D292" s="888" t="s">
        <v>1714</v>
      </c>
      <c r="E292" s="883" t="s">
        <v>555</v>
      </c>
      <c r="F292" s="884">
        <v>67</v>
      </c>
      <c r="G292" s="884">
        <v>240</v>
      </c>
      <c r="H292" s="884">
        <f t="shared" ref="H292:H294" si="209">F292*G292</f>
        <v>16080</v>
      </c>
      <c r="I292" s="884">
        <f>_Formwork</f>
        <v>134</v>
      </c>
      <c r="J292" s="884">
        <f t="shared" ref="J292:J294" si="210">I292*F292</f>
        <v>8978</v>
      </c>
      <c r="K292" s="884">
        <f>$M$1</f>
        <v>358.32</v>
      </c>
      <c r="L292" s="885">
        <f t="shared" ref="L292:L294" si="211">J292/K292</f>
        <v>25.055816030363921</v>
      </c>
      <c r="M292" s="915">
        <f>IF(SUM(L292)&gt;0,J292/H292,"")</f>
        <v>0.55833333333333335</v>
      </c>
    </row>
    <row r="293" spans="2:13" x14ac:dyDescent="0.25">
      <c r="B293" s="887" t="s">
        <v>41</v>
      </c>
      <c r="C293" s="892">
        <f ca="1">IF(E293="","",MAX(INDIRECT(ADDRESS(ROW()-7,COLUMN())):INDIRECT(ADDRESS(ROW()-1,COLUMN())))+1)</f>
        <v>144</v>
      </c>
      <c r="D293" s="888" t="s">
        <v>1715</v>
      </c>
      <c r="E293" s="883" t="s">
        <v>555</v>
      </c>
      <c r="F293" s="884">
        <v>37</v>
      </c>
      <c r="G293" s="884">
        <v>275</v>
      </c>
      <c r="H293" s="884">
        <f t="shared" si="209"/>
        <v>10175</v>
      </c>
      <c r="I293" s="884">
        <f>_Formwork</f>
        <v>134</v>
      </c>
      <c r="J293" s="884">
        <f t="shared" si="210"/>
        <v>4958</v>
      </c>
      <c r="K293" s="884">
        <f>$M$1</f>
        <v>358.32</v>
      </c>
      <c r="L293" s="885">
        <f t="shared" si="211"/>
        <v>13.836793927215897</v>
      </c>
      <c r="M293" s="915">
        <f>IF(SUM(L293)&gt;0,J293/H293,"")</f>
        <v>0.48727272727272725</v>
      </c>
    </row>
    <row r="294" spans="2:13" ht="25" x14ac:dyDescent="0.25">
      <c r="B294" s="887" t="s">
        <v>1785</v>
      </c>
      <c r="C294" s="892">
        <f ca="1">IF(E294="","",MAX(INDIRECT(ADDRESS(ROW()-7,COLUMN())):INDIRECT(ADDRESS(ROW()-1,COLUMN())))+1)</f>
        <v>145</v>
      </c>
      <c r="D294" s="888" t="s">
        <v>2162</v>
      </c>
      <c r="E294" s="883" t="s">
        <v>577</v>
      </c>
      <c r="F294" s="884">
        <v>40</v>
      </c>
      <c r="G294" s="884">
        <v>150</v>
      </c>
      <c r="H294" s="884">
        <f t="shared" si="209"/>
        <v>6000</v>
      </c>
      <c r="I294" s="884">
        <v>100</v>
      </c>
      <c r="J294" s="884">
        <f t="shared" si="210"/>
        <v>4000</v>
      </c>
      <c r="K294" s="884">
        <f>$M$1</f>
        <v>358.32</v>
      </c>
      <c r="L294" s="885">
        <f t="shared" si="211"/>
        <v>11.163206072784103</v>
      </c>
      <c r="M294" s="915">
        <f>IF(SUM(L294)&gt;0,J294/H294,"")</f>
        <v>0.66666666666666663</v>
      </c>
    </row>
    <row r="295" spans="2:13" ht="13" x14ac:dyDescent="0.25">
      <c r="B295" s="882" t="s">
        <v>476</v>
      </c>
      <c r="C295" s="911" t="str">
        <f ca="1">IF(E295="","",MAX(INDIRECT(ADDRESS(ROW()-7,COLUMN())):INDIRECT(ADDRESS(ROW()-1,COLUMN())))+1)</f>
        <v/>
      </c>
      <c r="D295" s="881" t="s">
        <v>381</v>
      </c>
      <c r="E295" s="883"/>
      <c r="F295" s="884"/>
      <c r="G295" s="884"/>
      <c r="H295" s="884"/>
      <c r="I295" s="884"/>
      <c r="J295" s="884"/>
      <c r="K295" s="884"/>
      <c r="L295" s="885"/>
      <c r="M295" s="915"/>
    </row>
    <row r="296" spans="2:13" x14ac:dyDescent="0.25">
      <c r="B296" s="887" t="s">
        <v>475</v>
      </c>
      <c r="C296" s="892">
        <f ca="1">IF(E296="","",MAX(INDIRECT(ADDRESS(ROW()-7,COLUMN())):INDIRECT(ADDRESS(ROW()-1,COLUMN())))+1)</f>
        <v>146</v>
      </c>
      <c r="D296" s="888" t="s">
        <v>380</v>
      </c>
      <c r="E296" s="883" t="s">
        <v>7</v>
      </c>
      <c r="F296" s="884">
        <v>0.5</v>
      </c>
      <c r="G296" s="884">
        <v>15000</v>
      </c>
      <c r="H296" s="884">
        <f t="shared" ref="H296:H298" si="212">F296*G296</f>
        <v>7500</v>
      </c>
      <c r="I296" s="884">
        <f>80*_LabourRate</f>
        <v>3583.2</v>
      </c>
      <c r="J296" s="884">
        <f t="shared" ref="J296:J298" si="213">I296*F296</f>
        <v>1791.6</v>
      </c>
      <c r="K296" s="884">
        <f>$M$1</f>
        <v>358.32</v>
      </c>
      <c r="L296" s="885">
        <f t="shared" ref="L296:L298" si="214">J296/K296</f>
        <v>5</v>
      </c>
      <c r="M296" s="915">
        <f>IF(SUM(L296)&gt;0,J296/H296,"")</f>
        <v>0.23887999999999998</v>
      </c>
    </row>
    <row r="297" spans="2:13" x14ac:dyDescent="0.25">
      <c r="B297" s="887" t="s">
        <v>473</v>
      </c>
      <c r="C297" s="892">
        <f ca="1">IF(E297="","",MAX(INDIRECT(ADDRESS(ROW()-7,COLUMN())):INDIRECT(ADDRESS(ROW()-1,COLUMN())))+1)</f>
        <v>147</v>
      </c>
      <c r="D297" s="888" t="s">
        <v>379</v>
      </c>
      <c r="E297" s="883" t="s">
        <v>7</v>
      </c>
      <c r="F297" s="884">
        <v>0.5</v>
      </c>
      <c r="G297" s="884">
        <v>15000</v>
      </c>
      <c r="H297" s="884">
        <f t="shared" si="212"/>
        <v>7500</v>
      </c>
      <c r="I297" s="884">
        <f>80*_LabourRate</f>
        <v>3583.2</v>
      </c>
      <c r="J297" s="884">
        <f t="shared" si="213"/>
        <v>1791.6</v>
      </c>
      <c r="K297" s="884">
        <f>$M$1</f>
        <v>358.32</v>
      </c>
      <c r="L297" s="885">
        <f t="shared" si="214"/>
        <v>5</v>
      </c>
      <c r="M297" s="915">
        <f>IF(SUM(L297)&gt;0,J297/H297,"")</f>
        <v>0.23887999999999998</v>
      </c>
    </row>
    <row r="298" spans="2:13" x14ac:dyDescent="0.25">
      <c r="B298" s="887" t="s">
        <v>472</v>
      </c>
      <c r="C298" s="892">
        <f ca="1">IF(E298="","",MAX(INDIRECT(ADDRESS(ROW()-7,COLUMN())):INDIRECT(ADDRESS(ROW()-1,COLUMN())))+1)</f>
        <v>148</v>
      </c>
      <c r="D298" s="888" t="s">
        <v>377</v>
      </c>
      <c r="E298" s="883" t="s">
        <v>24</v>
      </c>
      <c r="F298" s="884">
        <v>210</v>
      </c>
      <c r="G298" s="884">
        <v>25</v>
      </c>
      <c r="H298" s="884">
        <f t="shared" si="212"/>
        <v>5250</v>
      </c>
      <c r="I298" s="884">
        <f>_Mesh</f>
        <v>4.5</v>
      </c>
      <c r="J298" s="884">
        <f t="shared" si="213"/>
        <v>945</v>
      </c>
      <c r="K298" s="884">
        <f>$M$1</f>
        <v>358.32</v>
      </c>
      <c r="L298" s="885">
        <f t="shared" si="214"/>
        <v>2.6373074346952445</v>
      </c>
      <c r="M298" s="915">
        <f>IF(SUM(L298)&gt;0,J298/H298,"")</f>
        <v>0.18</v>
      </c>
    </row>
    <row r="299" spans="2:13" ht="26" x14ac:dyDescent="0.25">
      <c r="B299" s="882" t="s">
        <v>471</v>
      </c>
      <c r="C299" s="911" t="str">
        <f ca="1">IF(E299="","",MAX(INDIRECT(ADDRESS(ROW()-7,COLUMN())):INDIRECT(ADDRESS(ROW()-1,COLUMN())))+1)</f>
        <v/>
      </c>
      <c r="D299" s="881" t="s">
        <v>470</v>
      </c>
      <c r="E299" s="883"/>
      <c r="F299" s="884"/>
      <c r="G299" s="884"/>
      <c r="H299" s="884"/>
      <c r="I299" s="884"/>
      <c r="J299" s="884"/>
      <c r="K299" s="884"/>
      <c r="L299" s="885"/>
      <c r="M299" s="915"/>
    </row>
    <row r="300" spans="2:13" ht="25" x14ac:dyDescent="0.25">
      <c r="B300" s="887" t="s">
        <v>469</v>
      </c>
      <c r="C300" s="892" t="str">
        <f ca="1">IF(E300="","",MAX(INDIRECT(ADDRESS(ROW()-7,COLUMN())):INDIRECT(ADDRESS(ROW()-1,COLUMN())))+1)</f>
        <v/>
      </c>
      <c r="D300" s="888" t="s">
        <v>267</v>
      </c>
      <c r="E300" s="883"/>
      <c r="F300" s="884"/>
      <c r="G300" s="884"/>
      <c r="H300" s="884"/>
      <c r="I300" s="884"/>
      <c r="J300" s="884"/>
      <c r="K300" s="884"/>
      <c r="L300" s="885"/>
      <c r="M300" s="915"/>
    </row>
    <row r="301" spans="2:13" x14ac:dyDescent="0.25">
      <c r="B301" s="887" t="s">
        <v>39</v>
      </c>
      <c r="C301" s="892">
        <f ca="1">IF(E301="","",MAX(INDIRECT(ADDRESS(ROW()-7,COLUMN())):INDIRECT(ADDRESS(ROW()-1,COLUMN())))+1)</f>
        <v>149</v>
      </c>
      <c r="D301" s="888" t="s">
        <v>1786</v>
      </c>
      <c r="E301" s="883" t="s">
        <v>799</v>
      </c>
      <c r="F301" s="884">
        <v>10</v>
      </c>
      <c r="G301" s="884">
        <v>350</v>
      </c>
      <c r="H301" s="884">
        <f t="shared" ref="H301:H302" si="215">F301*G301</f>
        <v>3500</v>
      </c>
      <c r="I301" s="884">
        <f>G301*97/100</f>
        <v>339.5</v>
      </c>
      <c r="J301" s="884">
        <f t="shared" ref="J301:J302" si="216">I301*F301</f>
        <v>3395</v>
      </c>
      <c r="K301" s="884">
        <f>$M$1</f>
        <v>358.32</v>
      </c>
      <c r="L301" s="885">
        <f t="shared" ref="L301:L302" si="217">J301/K301</f>
        <v>9.4747711542755084</v>
      </c>
      <c r="M301" s="915">
        <f>IF(SUM(L301)&gt;0,J301/H301,"")</f>
        <v>0.97</v>
      </c>
    </row>
    <row r="302" spans="2:13" x14ac:dyDescent="0.25">
      <c r="B302" s="887" t="s">
        <v>41</v>
      </c>
      <c r="C302" s="892">
        <f ca="1">IF(E302="","",MAX(INDIRECT(ADDRESS(ROW()-7,COLUMN())):INDIRECT(ADDRESS(ROW()-1,COLUMN())))+1)</f>
        <v>150</v>
      </c>
      <c r="D302" s="888" t="s">
        <v>566</v>
      </c>
      <c r="E302" s="883" t="s">
        <v>799</v>
      </c>
      <c r="F302" s="884">
        <v>10</v>
      </c>
      <c r="G302" s="884">
        <v>370</v>
      </c>
      <c r="H302" s="884">
        <f t="shared" si="215"/>
        <v>3700</v>
      </c>
      <c r="I302" s="884">
        <f>ROUND(Labour_perc_roads*G302,0)</f>
        <v>11</v>
      </c>
      <c r="J302" s="884">
        <f t="shared" si="216"/>
        <v>110</v>
      </c>
      <c r="K302" s="884">
        <f>$M$1</f>
        <v>358.32</v>
      </c>
      <c r="L302" s="885">
        <f t="shared" si="217"/>
        <v>0.30698816700156284</v>
      </c>
      <c r="M302" s="915">
        <f>IF(SUM(L302)&gt;0,J302/H302,"")</f>
        <v>2.9729729729729731E-2</v>
      </c>
    </row>
    <row r="303" spans="2:13" ht="13" x14ac:dyDescent="0.25">
      <c r="B303" s="882" t="s">
        <v>468</v>
      </c>
      <c r="C303" s="911" t="str">
        <f ca="1">IF(E303="","",MAX(INDIRECT(ADDRESS(ROW()-7,COLUMN())):INDIRECT(ADDRESS(ROW()-1,COLUMN())))+1)</f>
        <v/>
      </c>
      <c r="D303" s="881" t="s">
        <v>467</v>
      </c>
      <c r="E303" s="883"/>
      <c r="F303" s="884"/>
      <c r="G303" s="884"/>
      <c r="H303" s="884"/>
      <c r="I303" s="884"/>
      <c r="J303" s="884"/>
      <c r="K303" s="884"/>
      <c r="L303" s="885"/>
      <c r="M303" s="915"/>
    </row>
    <row r="304" spans="2:13" ht="25" x14ac:dyDescent="0.25">
      <c r="B304" s="887" t="s">
        <v>466</v>
      </c>
      <c r="C304" s="892" t="str">
        <f ca="1">IF(E304="","",MAX(INDIRECT(ADDRESS(ROW()-7,COLUMN())):INDIRECT(ADDRESS(ROW()-1,COLUMN())))+1)</f>
        <v/>
      </c>
      <c r="D304" s="888" t="s">
        <v>1841</v>
      </c>
      <c r="E304" s="883"/>
      <c r="F304" s="884"/>
      <c r="G304" s="884"/>
      <c r="H304" s="884"/>
      <c r="I304" s="884"/>
      <c r="J304" s="884"/>
      <c r="K304" s="884"/>
      <c r="L304" s="885"/>
      <c r="M304" s="915"/>
    </row>
    <row r="305" spans="2:13" x14ac:dyDescent="0.25">
      <c r="B305" s="887" t="s">
        <v>39</v>
      </c>
      <c r="C305" s="892" t="str">
        <f ca="1">IF(E305="","",MAX(INDIRECT(ADDRESS(ROW()-7,COLUMN())):INDIRECT(ADDRESS(ROW()-1,COLUMN())))+1)</f>
        <v/>
      </c>
      <c r="D305" s="888" t="s">
        <v>1716</v>
      </c>
      <c r="E305" s="883"/>
      <c r="F305" s="884"/>
      <c r="G305" s="884"/>
      <c r="H305" s="884"/>
      <c r="I305" s="884"/>
      <c r="J305" s="884"/>
      <c r="K305" s="884"/>
      <c r="L305" s="885"/>
      <c r="M305" s="915"/>
    </row>
    <row r="306" spans="2:13" x14ac:dyDescent="0.25">
      <c r="B306" s="887" t="s">
        <v>990</v>
      </c>
      <c r="C306" s="892">
        <f ca="1">IF(E306="","",MAX(INDIRECT(ADDRESS(ROW()-7,COLUMN())):INDIRECT(ADDRESS(ROW()-1,COLUMN())))+1)</f>
        <v>151</v>
      </c>
      <c r="D306" s="888" t="s">
        <v>1784</v>
      </c>
      <c r="E306" s="883" t="s">
        <v>6</v>
      </c>
      <c r="F306" s="884">
        <v>20</v>
      </c>
      <c r="G306" s="884">
        <v>200</v>
      </c>
      <c r="H306" s="884">
        <f t="shared" ref="H306:H307" si="218">F306*G306</f>
        <v>4000</v>
      </c>
      <c r="I306" s="884">
        <f>ROUND(_LabourRate*4,0)</f>
        <v>179</v>
      </c>
      <c r="J306" s="884">
        <f t="shared" ref="J306:J307" si="219">I306*F306</f>
        <v>3580</v>
      </c>
      <c r="K306" s="884">
        <f>$M$1</f>
        <v>358.32</v>
      </c>
      <c r="L306" s="885">
        <f t="shared" ref="L306:L307" si="220">J306/K306</f>
        <v>9.9910694351417728</v>
      </c>
      <c r="M306" s="915">
        <f>IF(SUM(L306)&gt;0,J306/H306,"")</f>
        <v>0.89500000000000002</v>
      </c>
    </row>
    <row r="307" spans="2:13" x14ac:dyDescent="0.25">
      <c r="B307" s="887" t="s">
        <v>991</v>
      </c>
      <c r="C307" s="892">
        <f ca="1">IF(E307="","",MAX(INDIRECT(ADDRESS(ROW()-7,COLUMN())):INDIRECT(ADDRESS(ROW()-1,COLUMN())))+1)</f>
        <v>152</v>
      </c>
      <c r="D307" s="888" t="s">
        <v>1711</v>
      </c>
      <c r="E307" s="883" t="s">
        <v>6</v>
      </c>
      <c r="F307" s="884">
        <v>20</v>
      </c>
      <c r="G307" s="884">
        <v>220</v>
      </c>
      <c r="H307" s="884">
        <f t="shared" si="218"/>
        <v>4400</v>
      </c>
      <c r="I307" s="884">
        <f>ROUND(_LabourRate*5,0)</f>
        <v>224</v>
      </c>
      <c r="J307" s="884">
        <f t="shared" si="219"/>
        <v>4480</v>
      </c>
      <c r="K307" s="884">
        <f>$M$1</f>
        <v>358.32</v>
      </c>
      <c r="L307" s="885">
        <f t="shared" si="220"/>
        <v>12.502790801518197</v>
      </c>
      <c r="M307" s="915">
        <f>IF(SUM(L307)&gt;0,J307/H307,"")</f>
        <v>1.0181818181818181</v>
      </c>
    </row>
    <row r="308" spans="2:13" ht="13" x14ac:dyDescent="0.25">
      <c r="B308" s="882" t="s">
        <v>464</v>
      </c>
      <c r="C308" s="911" t="str">
        <f ca="1">IF(E308="","",MAX(INDIRECT(ADDRESS(ROW()-7,COLUMN())):INDIRECT(ADDRESS(ROW()-1,COLUMN())))+1)</f>
        <v/>
      </c>
      <c r="D308" s="881" t="s">
        <v>463</v>
      </c>
      <c r="E308" s="883"/>
      <c r="F308" s="884"/>
      <c r="G308" s="884"/>
      <c r="H308" s="884"/>
      <c r="I308" s="884"/>
      <c r="J308" s="884"/>
      <c r="K308" s="884"/>
      <c r="L308" s="885"/>
      <c r="M308" s="915"/>
    </row>
    <row r="309" spans="2:13" x14ac:dyDescent="0.25">
      <c r="B309" s="887" t="s">
        <v>462</v>
      </c>
      <c r="C309" s="892">
        <f ca="1">IF(E309="","",MAX(INDIRECT(ADDRESS(ROW()-7,COLUMN())):INDIRECT(ADDRESS(ROW()-1,COLUMN())))+1)</f>
        <v>153</v>
      </c>
      <c r="D309" s="888" t="s">
        <v>461</v>
      </c>
      <c r="E309" s="883" t="s">
        <v>700</v>
      </c>
      <c r="F309" s="884">
        <v>45</v>
      </c>
      <c r="G309" s="884">
        <v>530</v>
      </c>
      <c r="H309" s="884">
        <f t="shared" ref="H309:H311" si="221">F309*G309</f>
        <v>23850</v>
      </c>
      <c r="I309" s="884">
        <f>_Brickwork</f>
        <v>287</v>
      </c>
      <c r="J309" s="884">
        <f t="shared" ref="J309:J311" si="222">I309*F309</f>
        <v>12915</v>
      </c>
      <c r="K309" s="884">
        <f>$M$1</f>
        <v>358.32</v>
      </c>
      <c r="L309" s="885">
        <f t="shared" ref="L309:L311" si="223">J309/K309</f>
        <v>36.043201607501672</v>
      </c>
      <c r="M309" s="915">
        <f>IF(SUM(L309)&gt;0,J309/H309,"")</f>
        <v>0.54150943396226414</v>
      </c>
    </row>
    <row r="310" spans="2:13" ht="13" x14ac:dyDescent="0.25">
      <c r="B310" s="882" t="s">
        <v>460</v>
      </c>
      <c r="C310" s="892">
        <f ca="1">IF(E310="","",MAX(INDIRECT(ADDRESS(ROW()-7,COLUMN())):INDIRECT(ADDRESS(ROW()-1,COLUMN())))+1)</f>
        <v>154</v>
      </c>
      <c r="D310" s="881" t="s">
        <v>458</v>
      </c>
      <c r="E310" s="883" t="s">
        <v>700</v>
      </c>
      <c r="F310" s="884">
        <v>45</v>
      </c>
      <c r="G310" s="884">
        <v>70</v>
      </c>
      <c r="H310" s="884">
        <f t="shared" si="221"/>
        <v>3150</v>
      </c>
      <c r="I310" s="884">
        <f>_Plaster</f>
        <v>57</v>
      </c>
      <c r="J310" s="884">
        <f t="shared" si="222"/>
        <v>2565</v>
      </c>
      <c r="K310" s="884">
        <f>$M$1</f>
        <v>358.32</v>
      </c>
      <c r="L310" s="885">
        <f t="shared" si="223"/>
        <v>7.1584058941728061</v>
      </c>
      <c r="M310" s="915">
        <f>IF(SUM(L310)&gt;0,J310/H310,"")</f>
        <v>0.81428571428571428</v>
      </c>
    </row>
    <row r="311" spans="2:13" ht="13" x14ac:dyDescent="0.25">
      <c r="B311" s="882" t="s">
        <v>459</v>
      </c>
      <c r="C311" s="892">
        <f ca="1">IF(E311="","",MAX(INDIRECT(ADDRESS(ROW()-7,COLUMN())):INDIRECT(ADDRESS(ROW()-1,COLUMN())))+1)</f>
        <v>155</v>
      </c>
      <c r="D311" s="881" t="s">
        <v>942</v>
      </c>
      <c r="E311" s="883" t="s">
        <v>577</v>
      </c>
      <c r="F311" s="884">
        <v>10</v>
      </c>
      <c r="G311" s="884">
        <v>100</v>
      </c>
      <c r="H311" s="884">
        <f t="shared" si="221"/>
        <v>1000</v>
      </c>
      <c r="I311" s="884">
        <f>_Benching</f>
        <v>96</v>
      </c>
      <c r="J311" s="884">
        <f t="shared" si="222"/>
        <v>960</v>
      </c>
      <c r="K311" s="884">
        <f>$M$1</f>
        <v>358.32</v>
      </c>
      <c r="L311" s="885">
        <f t="shared" si="223"/>
        <v>2.679169457468185</v>
      </c>
      <c r="M311" s="915">
        <f>IF(SUM(L311)&gt;0,J311/H311,"")</f>
        <v>0.96</v>
      </c>
    </row>
    <row r="312" spans="2:13" ht="13" x14ac:dyDescent="0.25">
      <c r="B312" s="882" t="s">
        <v>457</v>
      </c>
      <c r="C312" s="911" t="str">
        <f ca="1">IF(E312="","",MAX(INDIRECT(ADDRESS(ROW()-7,COLUMN())):INDIRECT(ADDRESS(ROW()-1,COLUMN())))+1)</f>
        <v/>
      </c>
      <c r="D312" s="881" t="s">
        <v>456</v>
      </c>
      <c r="E312" s="883"/>
      <c r="F312" s="884"/>
      <c r="G312" s="884"/>
      <c r="H312" s="884"/>
      <c r="I312" s="884"/>
      <c r="J312" s="884"/>
      <c r="K312" s="884"/>
      <c r="L312" s="885"/>
      <c r="M312" s="915"/>
    </row>
    <row r="313" spans="2:13" x14ac:dyDescent="0.25">
      <c r="B313" s="887" t="s">
        <v>455</v>
      </c>
      <c r="C313" s="892" t="str">
        <f ca="1">IF(E313="","",MAX(INDIRECT(ADDRESS(ROW()-7,COLUMN())):INDIRECT(ADDRESS(ROW()-1,COLUMN())))+1)</f>
        <v/>
      </c>
      <c r="D313" s="888" t="s">
        <v>1891</v>
      </c>
      <c r="E313" s="883"/>
      <c r="F313" s="884"/>
      <c r="G313" s="884"/>
      <c r="H313" s="884"/>
      <c r="I313" s="884"/>
      <c r="J313" s="884"/>
      <c r="K313" s="884"/>
      <c r="L313" s="885"/>
      <c r="M313" s="915"/>
    </row>
    <row r="314" spans="2:13" ht="50" x14ac:dyDescent="0.25">
      <c r="B314" s="887" t="s">
        <v>39</v>
      </c>
      <c r="C314" s="892">
        <f ca="1">IF(E314="","",MAX(INDIRECT(ADDRESS(ROW()-7,COLUMN())):INDIRECT(ADDRESS(ROW()-1,COLUMN())))+1)</f>
        <v>156</v>
      </c>
      <c r="D314" s="888" t="s">
        <v>1998</v>
      </c>
      <c r="E314" s="883" t="s">
        <v>34</v>
      </c>
      <c r="F314" s="884">
        <v>6</v>
      </c>
      <c r="G314" s="884">
        <v>4100</v>
      </c>
      <c r="H314" s="884">
        <f t="shared" ref="H314" si="224">F314*G314</f>
        <v>24600</v>
      </c>
      <c r="I314" s="884">
        <f>ROUND(_LabourRate/2,1)</f>
        <v>22.4</v>
      </c>
      <c r="J314" s="884">
        <f t="shared" ref="J314" si="225">I314*F314</f>
        <v>134.39999999999998</v>
      </c>
      <c r="K314" s="884">
        <f>$M$1</f>
        <v>358.32</v>
      </c>
      <c r="L314" s="885">
        <f t="shared" ref="L314" si="226">J314/K314</f>
        <v>0.37508372404554585</v>
      </c>
      <c r="M314" s="915">
        <f>IF(SUM(L314)&gt;0,J314/H314,"")</f>
        <v>5.4634146341463402E-3</v>
      </c>
    </row>
    <row r="315" spans="2:13" ht="13" x14ac:dyDescent="0.25">
      <c r="B315" s="882" t="s">
        <v>1999</v>
      </c>
      <c r="C315" s="911" t="str">
        <f ca="1">IF(E315="","",MAX(INDIRECT(ADDRESS(ROW()-7,COLUMN())):INDIRECT(ADDRESS(ROW()-1,COLUMN())))+1)</f>
        <v/>
      </c>
      <c r="D315" s="881" t="s">
        <v>614</v>
      </c>
      <c r="E315" s="883"/>
      <c r="F315" s="884"/>
      <c r="G315" s="884"/>
      <c r="H315" s="884"/>
      <c r="I315" s="884"/>
      <c r="J315" s="884"/>
      <c r="K315" s="884"/>
      <c r="L315" s="885"/>
      <c r="M315" s="915"/>
    </row>
    <row r="316" spans="2:13" x14ac:dyDescent="0.25">
      <c r="B316" s="887" t="s">
        <v>613</v>
      </c>
      <c r="C316" s="892" t="str">
        <f ca="1">IF(E316="","",MAX(INDIRECT(ADDRESS(ROW()-7,COLUMN())):INDIRECT(ADDRESS(ROW()-1,COLUMN())))+1)</f>
        <v/>
      </c>
      <c r="D316" s="888" t="s">
        <v>1793</v>
      </c>
      <c r="E316" s="883"/>
      <c r="F316" s="884"/>
      <c r="G316" s="884"/>
      <c r="H316" s="884"/>
      <c r="I316" s="884"/>
      <c r="J316" s="884"/>
      <c r="K316" s="884"/>
      <c r="L316" s="885"/>
      <c r="M316" s="915"/>
    </row>
    <row r="317" spans="2:13" x14ac:dyDescent="0.25">
      <c r="B317" s="887" t="s">
        <v>39</v>
      </c>
      <c r="C317" s="892">
        <f ca="1">IF(E317="","",MAX(INDIRECT(ADDRESS(ROW()-7,COLUMN())):INDIRECT(ADDRESS(ROW()-1,COLUMN())))+1)</f>
        <v>157</v>
      </c>
      <c r="D317" s="888" t="s">
        <v>1791</v>
      </c>
      <c r="E317" s="883" t="s">
        <v>6</v>
      </c>
      <c r="F317" s="884">
        <v>120</v>
      </c>
      <c r="G317" s="884">
        <v>28.4</v>
      </c>
      <c r="H317" s="884">
        <f t="shared" ref="H317:H318" si="227">F317*G317</f>
        <v>3408</v>
      </c>
      <c r="I317" s="884">
        <f>_Subsoil</f>
        <v>9</v>
      </c>
      <c r="J317" s="884">
        <f t="shared" ref="J317:J318" si="228">I317*F317</f>
        <v>1080</v>
      </c>
      <c r="K317" s="884">
        <f>$M$1</f>
        <v>358.32</v>
      </c>
      <c r="L317" s="885">
        <f t="shared" ref="L317:L318" si="229">J317/K317</f>
        <v>3.014065639651708</v>
      </c>
      <c r="M317" s="915">
        <f>IF(SUM(L317)&gt;0,J317/H317,"")</f>
        <v>0.31690140845070425</v>
      </c>
    </row>
    <row r="318" spans="2:13" x14ac:dyDescent="0.25">
      <c r="B318" s="887" t="s">
        <v>41</v>
      </c>
      <c r="C318" s="892">
        <f ca="1">IF(E318="","",MAX(INDIRECT(ADDRESS(ROW()-7,COLUMN())):INDIRECT(ADDRESS(ROW()-1,COLUMN())))+1)</f>
        <v>158</v>
      </c>
      <c r="D318" s="888" t="s">
        <v>1792</v>
      </c>
      <c r="E318" s="883" t="s">
        <v>6</v>
      </c>
      <c r="F318" s="884">
        <v>120</v>
      </c>
      <c r="G318" s="884">
        <v>28.4</v>
      </c>
      <c r="H318" s="884">
        <f t="shared" si="227"/>
        <v>3408</v>
      </c>
      <c r="I318" s="884">
        <f>_Subsoil</f>
        <v>9</v>
      </c>
      <c r="J318" s="884">
        <f t="shared" si="228"/>
        <v>1080</v>
      </c>
      <c r="K318" s="884">
        <f>$M$1</f>
        <v>358.32</v>
      </c>
      <c r="L318" s="885">
        <f t="shared" si="229"/>
        <v>3.014065639651708</v>
      </c>
      <c r="M318" s="915">
        <f>IF(SUM(L318)&gt;0,J318/H318,"")</f>
        <v>0.31690140845070425</v>
      </c>
    </row>
    <row r="319" spans="2:13" ht="26" x14ac:dyDescent="0.25">
      <c r="B319" s="882" t="s">
        <v>2000</v>
      </c>
      <c r="C319" s="911" t="str">
        <f ca="1">IF(E319="","",MAX(INDIRECT(ADDRESS(ROW()-7,COLUMN())):INDIRECT(ADDRESS(ROW()-1,COLUMN())))+1)</f>
        <v/>
      </c>
      <c r="D319" s="881" t="s">
        <v>609</v>
      </c>
      <c r="E319" s="883"/>
      <c r="F319" s="884"/>
      <c r="G319" s="884"/>
      <c r="H319" s="884"/>
      <c r="I319" s="884"/>
      <c r="J319" s="884"/>
      <c r="K319" s="884"/>
      <c r="L319" s="885"/>
      <c r="M319" s="915"/>
    </row>
    <row r="320" spans="2:13" ht="37.5" x14ac:dyDescent="0.25">
      <c r="B320" s="887" t="s">
        <v>608</v>
      </c>
      <c r="C320" s="892">
        <f ca="1">IF(E320="","",MAX(INDIRECT(ADDRESS(ROW()-7,COLUMN())):INDIRECT(ADDRESS(ROW()-1,COLUMN())))+1)</f>
        <v>159</v>
      </c>
      <c r="D320" s="888" t="s">
        <v>2108</v>
      </c>
      <c r="E320" s="883" t="s">
        <v>34</v>
      </c>
      <c r="F320" s="884">
        <v>10</v>
      </c>
      <c r="G320" s="884">
        <v>175</v>
      </c>
      <c r="H320" s="884">
        <f t="shared" ref="H320:H321" si="230">F320*G320</f>
        <v>1750</v>
      </c>
      <c r="I320" s="884">
        <f>ROUND(Labour_perc_roads*G320,0)</f>
        <v>5</v>
      </c>
      <c r="J320" s="884">
        <f t="shared" ref="J320:J321" si="231">I320*F320</f>
        <v>50</v>
      </c>
      <c r="K320" s="884">
        <f>$M$1</f>
        <v>358.32</v>
      </c>
      <c r="L320" s="885">
        <f t="shared" ref="L320:L321" si="232">J320/K320</f>
        <v>0.1395400759098013</v>
      </c>
      <c r="M320" s="915">
        <f>IF(SUM(L320)&gt;0,J320/H320,"")</f>
        <v>2.8571428571428571E-2</v>
      </c>
    </row>
    <row r="321" spans="2:13" x14ac:dyDescent="0.25">
      <c r="B321" s="887" t="s">
        <v>607</v>
      </c>
      <c r="C321" s="892">
        <f ca="1">IF(E321="","",MAX(INDIRECT(ADDRESS(ROW()-7,COLUMN())):INDIRECT(ADDRESS(ROW()-1,COLUMN())))+1)</f>
        <v>160</v>
      </c>
      <c r="D321" s="888" t="s">
        <v>2109</v>
      </c>
      <c r="E321" s="883" t="s">
        <v>6</v>
      </c>
      <c r="F321" s="884">
        <v>240</v>
      </c>
      <c r="G321" s="884">
        <v>10</v>
      </c>
      <c r="H321" s="884">
        <f t="shared" si="230"/>
        <v>2400</v>
      </c>
      <c r="I321" s="884">
        <f>ROUND(Labour_perc_roads*G321,4)</f>
        <v>0.28999999999999998</v>
      </c>
      <c r="J321" s="884">
        <f t="shared" si="231"/>
        <v>69.599999999999994</v>
      </c>
      <c r="K321" s="884">
        <f>$M$1</f>
        <v>358.32</v>
      </c>
      <c r="L321" s="885">
        <f t="shared" si="232"/>
        <v>0.1942397856664434</v>
      </c>
      <c r="M321" s="915">
        <f>IF(SUM(L321)&gt;0,J321/H321,"")</f>
        <v>2.8999999999999998E-2</v>
      </c>
    </row>
    <row r="322" spans="2:13" x14ac:dyDescent="0.25">
      <c r="B322" s="887" t="s">
        <v>606</v>
      </c>
      <c r="C322" s="892" t="str">
        <f ca="1">IF(E322="","",MAX(INDIRECT(ADDRESS(ROW()-7,COLUMN())):INDIRECT(ADDRESS(ROW()-1,COLUMN())))+1)</f>
        <v/>
      </c>
      <c r="D322" s="888" t="s">
        <v>2004</v>
      </c>
      <c r="E322" s="883"/>
      <c r="F322" s="884"/>
      <c r="G322" s="884"/>
      <c r="H322" s="884"/>
      <c r="I322" s="884"/>
      <c r="J322" s="884"/>
      <c r="K322" s="884"/>
      <c r="L322" s="885"/>
      <c r="M322" s="915"/>
    </row>
    <row r="323" spans="2:13" x14ac:dyDescent="0.25">
      <c r="B323" s="887" t="s">
        <v>39</v>
      </c>
      <c r="C323" s="892">
        <f ca="1">IF(E323="","",MAX(INDIRECT(ADDRESS(ROW()-7,COLUMN())):INDIRECT(ADDRESS(ROW()-1,COLUMN())))+1)</f>
        <v>161</v>
      </c>
      <c r="D323" s="888" t="s">
        <v>2002</v>
      </c>
      <c r="E323" s="883" t="s">
        <v>34</v>
      </c>
      <c r="F323" s="884">
        <v>4</v>
      </c>
      <c r="G323" s="884">
        <v>80</v>
      </c>
      <c r="H323" s="884">
        <f t="shared" ref="H323:H325" si="233">F323*G323</f>
        <v>320</v>
      </c>
      <c r="I323" s="884">
        <f>ROUND(Labour_perc_roads*G323,4)</f>
        <v>2.3199999999999998</v>
      </c>
      <c r="J323" s="884">
        <f t="shared" ref="J323:J325" si="234">I323*F323</f>
        <v>9.2799999999999994</v>
      </c>
      <c r="K323" s="884">
        <f>$M$1</f>
        <v>358.32</v>
      </c>
      <c r="L323" s="885">
        <f t="shared" ref="L323:L325" si="235">J323/K323</f>
        <v>2.589863808885912E-2</v>
      </c>
      <c r="M323" s="915">
        <f>IF(SUM(L323)&gt;0,J323/H323,"")</f>
        <v>2.8999999999999998E-2</v>
      </c>
    </row>
    <row r="324" spans="2:13" x14ac:dyDescent="0.25">
      <c r="B324" s="887" t="s">
        <v>41</v>
      </c>
      <c r="C324" s="892">
        <f ca="1">IF(E324="","",MAX(INDIRECT(ADDRESS(ROW()-7,COLUMN())):INDIRECT(ADDRESS(ROW()-1,COLUMN())))+1)</f>
        <v>162</v>
      </c>
      <c r="D324" s="888" t="s">
        <v>2003</v>
      </c>
      <c r="E324" s="883" t="s">
        <v>34</v>
      </c>
      <c r="F324" s="884">
        <v>4</v>
      </c>
      <c r="G324" s="884">
        <v>120</v>
      </c>
      <c r="H324" s="884">
        <f t="shared" si="233"/>
        <v>480</v>
      </c>
      <c r="I324" s="884">
        <f>ROUND(Labour_perc_roads*G324,4)</f>
        <v>3.48</v>
      </c>
      <c r="J324" s="884">
        <f t="shared" si="234"/>
        <v>13.92</v>
      </c>
      <c r="K324" s="884">
        <f>$M$1</f>
        <v>358.32</v>
      </c>
      <c r="L324" s="885">
        <f t="shared" si="235"/>
        <v>3.8847957133288681E-2</v>
      </c>
      <c r="M324" s="915">
        <f>IF(SUM(L324)&gt;0,J324/H324,"")</f>
        <v>2.9000000000000001E-2</v>
      </c>
    </row>
    <row r="325" spans="2:13" ht="26" x14ac:dyDescent="0.25">
      <c r="B325" s="882" t="s">
        <v>2001</v>
      </c>
      <c r="C325" s="892">
        <f ca="1">IF(E325="","",MAX(INDIRECT(ADDRESS(ROW()-7,COLUMN())):INDIRECT(ADDRESS(ROW()-1,COLUMN())))+1)</f>
        <v>163</v>
      </c>
      <c r="D325" s="881" t="s">
        <v>598</v>
      </c>
      <c r="E325" s="883" t="s">
        <v>577</v>
      </c>
      <c r="F325" s="884">
        <v>10</v>
      </c>
      <c r="G325" s="884">
        <v>205</v>
      </c>
      <c r="H325" s="884">
        <f t="shared" si="233"/>
        <v>2050</v>
      </c>
      <c r="I325" s="884">
        <v>100</v>
      </c>
      <c r="J325" s="884">
        <f t="shared" si="234"/>
        <v>1000</v>
      </c>
      <c r="K325" s="884">
        <f>$M$1</f>
        <v>358.32</v>
      </c>
      <c r="L325" s="885">
        <f t="shared" si="235"/>
        <v>2.7908015181960257</v>
      </c>
      <c r="M325" s="915">
        <f>IF(SUM(L325)&gt;0,J325/H325,"")</f>
        <v>0.48780487804878048</v>
      </c>
    </row>
    <row r="326" spans="2:13" x14ac:dyDescent="0.25">
      <c r="B326" s="887"/>
      <c r="C326" s="892" t="str">
        <f ca="1">IF(E326="","",MAX(INDIRECT(ADDRESS(ROW()-7,COLUMN())):INDIRECT(ADDRESS(ROW()-1,COLUMN())))+1)</f>
        <v/>
      </c>
      <c r="D326" s="888"/>
      <c r="E326" s="883"/>
      <c r="F326" s="884"/>
      <c r="G326" s="884"/>
      <c r="H326" s="884"/>
      <c r="I326" s="884"/>
      <c r="J326" s="884"/>
      <c r="K326" s="884"/>
      <c r="L326" s="885"/>
      <c r="M326" s="915"/>
    </row>
    <row r="327" spans="2:13" ht="52" x14ac:dyDescent="0.25">
      <c r="B327" s="882" t="s">
        <v>406</v>
      </c>
      <c r="C327" s="911" t="str">
        <f ca="1">IF(E327="","",MAX(INDIRECT(ADDRESS(ROW()-7,COLUMN())):INDIRECT(ADDRESS(ROW()-1,COLUMN())))+1)</f>
        <v/>
      </c>
      <c r="D327" s="881" t="s">
        <v>405</v>
      </c>
      <c r="E327" s="883"/>
      <c r="F327" s="884"/>
      <c r="G327" s="884"/>
      <c r="H327" s="884"/>
      <c r="I327" s="884"/>
      <c r="J327" s="884"/>
      <c r="K327" s="884"/>
      <c r="L327" s="885"/>
      <c r="M327" s="915"/>
    </row>
    <row r="328" spans="2:13" ht="13" x14ac:dyDescent="0.25">
      <c r="B328" s="882" t="s">
        <v>404</v>
      </c>
      <c r="C328" s="911" t="str">
        <f ca="1">IF(E328="","",MAX(INDIRECT(ADDRESS(ROW()-7,COLUMN())):INDIRECT(ADDRESS(ROW()-1,COLUMN())))+1)</f>
        <v/>
      </c>
      <c r="D328" s="881" t="s">
        <v>403</v>
      </c>
      <c r="E328" s="883"/>
      <c r="F328" s="884"/>
      <c r="G328" s="884"/>
      <c r="H328" s="884"/>
      <c r="I328" s="884"/>
      <c r="J328" s="884"/>
      <c r="K328" s="884"/>
      <c r="L328" s="885"/>
      <c r="M328" s="915"/>
    </row>
    <row r="329" spans="2:13" ht="25" x14ac:dyDescent="0.25">
      <c r="B329" s="887" t="s">
        <v>402</v>
      </c>
      <c r="C329" s="892" t="str">
        <f ca="1">IF(E329="","",MAX(INDIRECT(ADDRESS(ROW()-7,COLUMN())):INDIRECT(ADDRESS(ROW()-1,COLUMN())))+1)</f>
        <v/>
      </c>
      <c r="D329" s="888" t="s">
        <v>401</v>
      </c>
      <c r="E329" s="883"/>
      <c r="F329" s="884"/>
      <c r="G329" s="884"/>
      <c r="H329" s="884"/>
      <c r="I329" s="884"/>
      <c r="J329" s="884"/>
      <c r="K329" s="884"/>
      <c r="L329" s="885"/>
      <c r="M329" s="915"/>
    </row>
    <row r="330" spans="2:13" ht="37.5" x14ac:dyDescent="0.25">
      <c r="B330" s="887" t="s">
        <v>39</v>
      </c>
      <c r="C330" s="892">
        <f ca="1">IF(E330="","",MAX(INDIRECT(ADDRESS(ROW()-7,COLUMN())):INDIRECT(ADDRESS(ROW()-1,COLUMN())))+1)</f>
        <v>164</v>
      </c>
      <c r="D330" s="888" t="s">
        <v>1717</v>
      </c>
      <c r="E330" s="883" t="s">
        <v>6</v>
      </c>
      <c r="F330" s="884">
        <v>200</v>
      </c>
      <c r="G330" s="884">
        <v>180</v>
      </c>
      <c r="H330" s="884">
        <f t="shared" ref="H330" si="236">F330*G330</f>
        <v>36000</v>
      </c>
      <c r="I330" s="884">
        <f>_Kerb</f>
        <v>29.295428571428566</v>
      </c>
      <c r="J330" s="884">
        <f t="shared" ref="J330" si="237">I330*F330</f>
        <v>5859.085714285713</v>
      </c>
      <c r="K330" s="884">
        <f>$M$1</f>
        <v>358.32</v>
      </c>
      <c r="L330" s="885">
        <f t="shared" ref="L330" si="238">J330/K330</f>
        <v>16.351545306669216</v>
      </c>
      <c r="M330" s="915">
        <f>IF(SUM(L330)&gt;0,J330/H330,"")</f>
        <v>0.16275238095238093</v>
      </c>
    </row>
    <row r="331" spans="2:13" ht="13" x14ac:dyDescent="0.25">
      <c r="B331" s="882" t="s">
        <v>400</v>
      </c>
      <c r="C331" s="911" t="str">
        <f ca="1">IF(E331="","",MAX(INDIRECT(ADDRESS(ROW()-7,COLUMN())):INDIRECT(ADDRESS(ROW()-1,COLUMN())))+1)</f>
        <v/>
      </c>
      <c r="D331" s="881" t="s">
        <v>399</v>
      </c>
      <c r="E331" s="883"/>
      <c r="F331" s="884"/>
      <c r="G331" s="884"/>
      <c r="H331" s="884"/>
      <c r="I331" s="884"/>
      <c r="J331" s="884"/>
      <c r="K331" s="884"/>
      <c r="L331" s="885"/>
      <c r="M331" s="915"/>
    </row>
    <row r="332" spans="2:13" ht="37.5" x14ac:dyDescent="0.25">
      <c r="B332" s="887" t="s">
        <v>398</v>
      </c>
      <c r="C332" s="892" t="str">
        <f ca="1">IF(E332="","",MAX(INDIRECT(ADDRESS(ROW()-7,COLUMN())):INDIRECT(ADDRESS(ROW()-1,COLUMN())))+1)</f>
        <v/>
      </c>
      <c r="D332" s="888" t="s">
        <v>397</v>
      </c>
      <c r="E332" s="883"/>
      <c r="F332" s="884"/>
      <c r="G332" s="884"/>
      <c r="H332" s="884"/>
      <c r="I332" s="884"/>
      <c r="J332" s="884"/>
      <c r="K332" s="884"/>
      <c r="L332" s="885"/>
      <c r="M332" s="915"/>
    </row>
    <row r="333" spans="2:13" ht="62.5" x14ac:dyDescent="0.25">
      <c r="B333" s="887" t="s">
        <v>39</v>
      </c>
      <c r="C333" s="892">
        <f ca="1">IF(E333="","",MAX(INDIRECT(ADDRESS(ROW()-7,COLUMN())):INDIRECT(ADDRESS(ROW()-1,COLUMN())))+1)</f>
        <v>165</v>
      </c>
      <c r="D333" s="888" t="s">
        <v>1718</v>
      </c>
      <c r="E333" s="883" t="s">
        <v>6</v>
      </c>
      <c r="F333" s="884">
        <v>1920</v>
      </c>
      <c r="G333" s="884">
        <v>300</v>
      </c>
      <c r="H333" s="884">
        <f t="shared" ref="H333" si="239">F333*G333</f>
        <v>576000</v>
      </c>
      <c r="I333" s="884">
        <f>_KandC</f>
        <v>56.4</v>
      </c>
      <c r="J333" s="884">
        <f t="shared" ref="J333" si="240">I333*F333</f>
        <v>108288</v>
      </c>
      <c r="K333" s="884">
        <f>$M$1</f>
        <v>358.32</v>
      </c>
      <c r="L333" s="885">
        <f t="shared" ref="L333" si="241">J333/K333</f>
        <v>302.21031480241123</v>
      </c>
      <c r="M333" s="915">
        <f>IF(SUM(L333)&gt;0,J333/H333,"")</f>
        <v>0.188</v>
      </c>
    </row>
    <row r="334" spans="2:13" ht="39" x14ac:dyDescent="0.25">
      <c r="B334" s="882" t="s">
        <v>396</v>
      </c>
      <c r="C334" s="911" t="str">
        <f ca="1">IF(E334="","",MAX(INDIRECT(ADDRESS(ROW()-7,COLUMN())):INDIRECT(ADDRESS(ROW()-1,COLUMN())))+1)</f>
        <v/>
      </c>
      <c r="D334" s="881" t="s">
        <v>395</v>
      </c>
      <c r="E334" s="883"/>
      <c r="F334" s="884"/>
      <c r="G334" s="884"/>
      <c r="H334" s="884"/>
      <c r="I334" s="884"/>
      <c r="J334" s="884"/>
      <c r="K334" s="884"/>
      <c r="L334" s="885"/>
      <c r="M334" s="915"/>
    </row>
    <row r="335" spans="2:13" ht="25" x14ac:dyDescent="0.25">
      <c r="B335" s="887" t="s">
        <v>394</v>
      </c>
      <c r="C335" s="892">
        <f ca="1">IF(E335="","",MAX(INDIRECT(ADDRESS(ROW()-7,COLUMN())):INDIRECT(ADDRESS(ROW()-1,COLUMN())))+1)</f>
        <v>166</v>
      </c>
      <c r="D335" s="888" t="s">
        <v>393</v>
      </c>
      <c r="E335" s="883" t="s">
        <v>6</v>
      </c>
      <c r="F335" s="884">
        <v>75</v>
      </c>
      <c r="G335" s="884">
        <v>25</v>
      </c>
      <c r="H335" s="884">
        <f t="shared" ref="H335" si="242">F335*G335</f>
        <v>1875</v>
      </c>
      <c r="I335" s="884">
        <f>ROUND(Labour_perc_roads*G335,0)</f>
        <v>1</v>
      </c>
      <c r="J335" s="884">
        <f t="shared" ref="J335" si="243">I335*F335</f>
        <v>75</v>
      </c>
      <c r="K335" s="884">
        <f>$M$1</f>
        <v>358.32</v>
      </c>
      <c r="L335" s="885">
        <f t="shared" ref="L335" si="244">J335/K335</f>
        <v>0.20931011386470194</v>
      </c>
      <c r="M335" s="915">
        <f>IF(SUM(L335)&gt;0,J335/H335,"")</f>
        <v>0.04</v>
      </c>
    </row>
    <row r="336" spans="2:13" ht="13" x14ac:dyDescent="0.25">
      <c r="B336" s="882" t="s">
        <v>392</v>
      </c>
      <c r="C336" s="911" t="str">
        <f ca="1">IF(E336="","",MAX(INDIRECT(ADDRESS(ROW()-7,COLUMN())):INDIRECT(ADDRESS(ROW()-1,COLUMN())))+1)</f>
        <v/>
      </c>
      <c r="D336" s="881" t="s">
        <v>391</v>
      </c>
      <c r="E336" s="883"/>
      <c r="F336" s="884"/>
      <c r="G336" s="884"/>
      <c r="H336" s="884"/>
      <c r="I336" s="884"/>
      <c r="J336" s="884"/>
      <c r="K336" s="884"/>
      <c r="L336" s="885"/>
      <c r="M336" s="915"/>
    </row>
    <row r="337" spans="2:13" ht="25" x14ac:dyDescent="0.25">
      <c r="B337" s="887" t="s">
        <v>390</v>
      </c>
      <c r="C337" s="892" t="str">
        <f ca="1">IF(E337="","",MAX(INDIRECT(ADDRESS(ROW()-7,COLUMN())):INDIRECT(ADDRESS(ROW()-1,COLUMN())))+1)</f>
        <v/>
      </c>
      <c r="D337" s="888" t="s">
        <v>2113</v>
      </c>
      <c r="E337" s="883"/>
      <c r="F337" s="884"/>
      <c r="G337" s="884"/>
      <c r="H337" s="884"/>
      <c r="I337" s="884"/>
      <c r="J337" s="884"/>
      <c r="K337" s="884"/>
      <c r="L337" s="885"/>
      <c r="M337" s="915"/>
    </row>
    <row r="338" spans="2:13" x14ac:dyDescent="0.25">
      <c r="B338" s="887" t="s">
        <v>39</v>
      </c>
      <c r="C338" s="892">
        <f ca="1">IF(E338="","",MAX(INDIRECT(ADDRESS(ROW()-7,COLUMN())):INDIRECT(ADDRESS(ROW()-1,COLUMN())))+1)</f>
        <v>167</v>
      </c>
      <c r="D338" s="888" t="s">
        <v>1794</v>
      </c>
      <c r="E338" s="883" t="s">
        <v>577</v>
      </c>
      <c r="F338" s="884">
        <v>260</v>
      </c>
      <c r="G338" s="884">
        <v>1300</v>
      </c>
      <c r="H338" s="884">
        <f t="shared" ref="H338:H339" si="245">F338*G338</f>
        <v>338000</v>
      </c>
      <c r="I338" s="884">
        <f>ROUND(Labour_perc_roads*G338,0)</f>
        <v>38</v>
      </c>
      <c r="J338" s="884">
        <f t="shared" ref="J338:J339" si="246">I338*F338</f>
        <v>9880</v>
      </c>
      <c r="K338" s="884">
        <f>$M$1</f>
        <v>358.32</v>
      </c>
      <c r="L338" s="885">
        <f t="shared" ref="L338:L339" si="247">J338/K338</f>
        <v>27.573118999776735</v>
      </c>
      <c r="M338" s="915">
        <f>IF(SUM(L338)&gt;0,J338/H338,"")</f>
        <v>2.923076923076923E-2</v>
      </c>
    </row>
    <row r="339" spans="2:13" ht="25" x14ac:dyDescent="0.25">
      <c r="B339" s="887" t="s">
        <v>41</v>
      </c>
      <c r="C339" s="892">
        <f ca="1">IF(E339="","",MAX(INDIRECT(ADDRESS(ROW()-7,COLUMN())):INDIRECT(ADDRESS(ROW()-1,COLUMN())))+1)</f>
        <v>168</v>
      </c>
      <c r="D339" s="888" t="s">
        <v>2041</v>
      </c>
      <c r="E339" s="883" t="s">
        <v>577</v>
      </c>
      <c r="F339" s="884">
        <v>280</v>
      </c>
      <c r="G339" s="884">
        <v>1300</v>
      </c>
      <c r="H339" s="884">
        <f t="shared" si="245"/>
        <v>364000</v>
      </c>
      <c r="I339" s="884">
        <f>ROUND(Labour_perc_roads*G339,0)</f>
        <v>38</v>
      </c>
      <c r="J339" s="884">
        <f t="shared" si="246"/>
        <v>10640</v>
      </c>
      <c r="K339" s="884">
        <f>$M$1</f>
        <v>358.32</v>
      </c>
      <c r="L339" s="885">
        <f t="shared" si="247"/>
        <v>29.694128153605718</v>
      </c>
      <c r="M339" s="915">
        <f>IF(SUM(L339)&gt;0,J339/H339,"")</f>
        <v>2.923076923076923E-2</v>
      </c>
    </row>
    <row r="340" spans="2:13" x14ac:dyDescent="0.25">
      <c r="B340" s="887" t="s">
        <v>389</v>
      </c>
      <c r="C340" s="892" t="str">
        <f ca="1">IF(E340="","",MAX(INDIRECT(ADDRESS(ROW()-7,COLUMN())):INDIRECT(ADDRESS(ROW()-1,COLUMN())))+1)</f>
        <v/>
      </c>
      <c r="D340" s="888" t="s">
        <v>1795</v>
      </c>
      <c r="E340" s="883"/>
      <c r="F340" s="884"/>
      <c r="G340" s="884"/>
      <c r="H340" s="884"/>
      <c r="I340" s="884"/>
      <c r="J340" s="884"/>
      <c r="K340" s="884"/>
      <c r="L340" s="885"/>
      <c r="M340" s="915"/>
    </row>
    <row r="341" spans="2:13" x14ac:dyDescent="0.25">
      <c r="B341" s="887" t="s">
        <v>39</v>
      </c>
      <c r="C341" s="892">
        <f ca="1">IF(E341="","",MAX(INDIRECT(ADDRESS(ROW()-7,COLUMN())):INDIRECT(ADDRESS(ROW()-1,COLUMN())))+1)</f>
        <v>169</v>
      </c>
      <c r="D341" s="888" t="s">
        <v>1796</v>
      </c>
      <c r="E341" s="883" t="s">
        <v>700</v>
      </c>
      <c r="F341" s="884">
        <v>2600</v>
      </c>
      <c r="G341" s="884">
        <v>30</v>
      </c>
      <c r="H341" s="884">
        <f t="shared" ref="H341:H343" si="248">F341*G341</f>
        <v>78000</v>
      </c>
      <c r="I341" s="884">
        <f>ROUND(Labour_perc_roads*G341,0)</f>
        <v>1</v>
      </c>
      <c r="J341" s="884">
        <f t="shared" ref="J341:J343" si="249">I341*F341</f>
        <v>2600</v>
      </c>
      <c r="K341" s="884">
        <f>$M$1</f>
        <v>358.32</v>
      </c>
      <c r="L341" s="885">
        <f t="shared" ref="L341:L343" si="250">J341/K341</f>
        <v>7.2560839473096674</v>
      </c>
      <c r="M341" s="915">
        <f>IF(SUM(L341)&gt;0,J341/H341,"")</f>
        <v>3.3333333333333333E-2</v>
      </c>
    </row>
    <row r="342" spans="2:13" x14ac:dyDescent="0.25">
      <c r="B342" s="887" t="s">
        <v>41</v>
      </c>
      <c r="C342" s="892">
        <f ca="1">IF(E342="","",MAX(INDIRECT(ADDRESS(ROW()-7,COLUMN())):INDIRECT(ADDRESS(ROW()-1,COLUMN())))+1)</f>
        <v>170</v>
      </c>
      <c r="D342" s="888" t="s">
        <v>1797</v>
      </c>
      <c r="E342" s="883" t="s">
        <v>700</v>
      </c>
      <c r="F342" s="884">
        <v>2800</v>
      </c>
      <c r="G342" s="884">
        <v>30</v>
      </c>
      <c r="H342" s="884">
        <f t="shared" si="248"/>
        <v>84000</v>
      </c>
      <c r="I342" s="884">
        <f>ROUND(Labour_perc_roads*G342,0)</f>
        <v>1</v>
      </c>
      <c r="J342" s="884">
        <f t="shared" si="249"/>
        <v>2800</v>
      </c>
      <c r="K342" s="884">
        <f>$M$1</f>
        <v>358.32</v>
      </c>
      <c r="L342" s="885">
        <f t="shared" si="250"/>
        <v>7.8142442509488728</v>
      </c>
      <c r="M342" s="915">
        <f>IF(SUM(L342)&gt;0,J342/H342,"")</f>
        <v>3.3333333333333333E-2</v>
      </c>
    </row>
    <row r="343" spans="2:13" ht="25" x14ac:dyDescent="0.25">
      <c r="B343" s="887" t="s">
        <v>2064</v>
      </c>
      <c r="C343" s="892">
        <f ca="1">IF(E343="","",MAX(INDIRECT(ADDRESS(ROW()-7,COLUMN())):INDIRECT(ADDRESS(ROW()-1,COLUMN())))+1)</f>
        <v>171</v>
      </c>
      <c r="D343" s="888" t="s">
        <v>2065</v>
      </c>
      <c r="E343" s="883" t="s">
        <v>577</v>
      </c>
      <c r="F343" s="884">
        <v>540</v>
      </c>
      <c r="G343" s="884">
        <v>150</v>
      </c>
      <c r="H343" s="884">
        <f t="shared" si="248"/>
        <v>81000</v>
      </c>
      <c r="I343" s="884">
        <f>G343*97/100</f>
        <v>145.5</v>
      </c>
      <c r="J343" s="884">
        <f t="shared" si="249"/>
        <v>78570</v>
      </c>
      <c r="K343" s="884">
        <f>$M$1</f>
        <v>358.32</v>
      </c>
      <c r="L343" s="885">
        <f t="shared" si="250"/>
        <v>219.27327528466176</v>
      </c>
      <c r="M343" s="915">
        <f>IF(SUM(L343)&gt;0,J343/H343,"")</f>
        <v>0.97</v>
      </c>
    </row>
    <row r="344" spans="2:13" ht="39" x14ac:dyDescent="0.25">
      <c r="B344" s="882" t="s">
        <v>388</v>
      </c>
      <c r="C344" s="911" t="str">
        <f ca="1">IF(E344="","",MAX(INDIRECT(ADDRESS(ROW()-7,COLUMN())):INDIRECT(ADDRESS(ROW()-1,COLUMN())))+1)</f>
        <v/>
      </c>
      <c r="D344" s="881" t="s">
        <v>2114</v>
      </c>
      <c r="E344" s="883"/>
      <c r="F344" s="884"/>
      <c r="G344" s="884"/>
      <c r="H344" s="884"/>
      <c r="I344" s="884"/>
      <c r="J344" s="884"/>
      <c r="K344" s="884"/>
      <c r="L344" s="885"/>
      <c r="M344" s="915"/>
    </row>
    <row r="345" spans="2:13" ht="25" x14ac:dyDescent="0.25">
      <c r="B345" s="887" t="s">
        <v>387</v>
      </c>
      <c r="C345" s="892">
        <f ca="1">IF(E345="","",MAX(INDIRECT(ADDRESS(ROW()-7,COLUMN())):INDIRECT(ADDRESS(ROW()-1,COLUMN())))+1)</f>
        <v>172</v>
      </c>
      <c r="D345" s="888" t="s">
        <v>386</v>
      </c>
      <c r="E345" s="883" t="s">
        <v>700</v>
      </c>
      <c r="F345" s="884">
        <v>900</v>
      </c>
      <c r="G345" s="884">
        <v>130</v>
      </c>
      <c r="H345" s="884">
        <f t="shared" ref="H345:H346" si="251">F345*G345</f>
        <v>117000</v>
      </c>
      <c r="I345" s="884">
        <f>_Formwork*1.05</f>
        <v>140.70000000000002</v>
      </c>
      <c r="J345" s="884">
        <f t="shared" ref="J345:J346" si="252">I345*F345</f>
        <v>126630.00000000001</v>
      </c>
      <c r="K345" s="884">
        <f>$M$1</f>
        <v>358.32</v>
      </c>
      <c r="L345" s="885">
        <f t="shared" ref="L345:L346" si="253">J345/K345</f>
        <v>353.3991962491628</v>
      </c>
      <c r="M345" s="915">
        <f>IF(SUM(L345)&gt;0,J345/H345,"")</f>
        <v>1.0823076923076924</v>
      </c>
    </row>
    <row r="346" spans="2:13" x14ac:dyDescent="0.25">
      <c r="B346" s="887" t="s">
        <v>385</v>
      </c>
      <c r="C346" s="892">
        <f ca="1">IF(E346="","",MAX(INDIRECT(ADDRESS(ROW()-7,COLUMN())):INDIRECT(ADDRESS(ROW()-1,COLUMN())))+1)</f>
        <v>173</v>
      </c>
      <c r="D346" s="888" t="s">
        <v>384</v>
      </c>
      <c r="E346" s="883" t="s">
        <v>700</v>
      </c>
      <c r="F346" s="884">
        <v>200</v>
      </c>
      <c r="G346" s="884">
        <v>150</v>
      </c>
      <c r="H346" s="884">
        <f t="shared" si="251"/>
        <v>30000</v>
      </c>
      <c r="I346" s="884">
        <f>_Formwork*1.1</f>
        <v>147.4</v>
      </c>
      <c r="J346" s="884">
        <f t="shared" si="252"/>
        <v>29480</v>
      </c>
      <c r="K346" s="884">
        <f>$M$1</f>
        <v>358.32</v>
      </c>
      <c r="L346" s="885">
        <f t="shared" si="253"/>
        <v>82.272828756418846</v>
      </c>
      <c r="M346" s="915">
        <f>IF(SUM(L346)&gt;0,J346/H346,"")</f>
        <v>0.98266666666666669</v>
      </c>
    </row>
    <row r="347" spans="2:13" ht="39" x14ac:dyDescent="0.25">
      <c r="B347" s="882" t="s">
        <v>383</v>
      </c>
      <c r="C347" s="911" t="str">
        <f ca="1">IF(E347="","",MAX(INDIRECT(ADDRESS(ROW()-7,COLUMN())):INDIRECT(ADDRESS(ROW()-1,COLUMN())))+1)</f>
        <v/>
      </c>
      <c r="D347" s="881" t="s">
        <v>2112</v>
      </c>
      <c r="E347" s="883"/>
      <c r="F347" s="884"/>
      <c r="G347" s="884"/>
      <c r="H347" s="884"/>
      <c r="I347" s="884"/>
      <c r="J347" s="884"/>
      <c r="K347" s="884"/>
      <c r="L347" s="885"/>
      <c r="M347" s="915"/>
    </row>
    <row r="348" spans="2:13" ht="37.5" x14ac:dyDescent="0.25">
      <c r="B348" s="887" t="s">
        <v>39</v>
      </c>
      <c r="C348" s="892">
        <f ca="1">IF(E348="","",MAX(INDIRECT(ADDRESS(ROW()-7,COLUMN())):INDIRECT(ADDRESS(ROW()-1,COLUMN())))+1)</f>
        <v>174</v>
      </c>
      <c r="D348" s="888" t="s">
        <v>1798</v>
      </c>
      <c r="E348" s="883" t="s">
        <v>6</v>
      </c>
      <c r="F348" s="884">
        <v>1400</v>
      </c>
      <c r="G348" s="884">
        <v>35</v>
      </c>
      <c r="H348" s="884">
        <f t="shared" ref="H348:H349" si="254">F348*G348</f>
        <v>49000</v>
      </c>
      <c r="I348" s="884">
        <f>ROUND(Labour_perc_roads*G348,0)</f>
        <v>1</v>
      </c>
      <c r="J348" s="884">
        <f t="shared" ref="J348:J349" si="255">I348*F348</f>
        <v>1400</v>
      </c>
      <c r="K348" s="884">
        <f>$M$1</f>
        <v>358.32</v>
      </c>
      <c r="L348" s="885">
        <f t="shared" ref="L348:L349" si="256">J348/K348</f>
        <v>3.9071221254744364</v>
      </c>
      <c r="M348" s="915">
        <f>IF(SUM(L348)&gt;0,J348/H348,"")</f>
        <v>2.8571428571428571E-2</v>
      </c>
    </row>
    <row r="349" spans="2:13" ht="37.5" x14ac:dyDescent="0.25">
      <c r="B349" s="887" t="s">
        <v>41</v>
      </c>
      <c r="C349" s="892">
        <f ca="1">IF(E349="","",MAX(INDIRECT(ADDRESS(ROW()-7,COLUMN())):INDIRECT(ADDRESS(ROW()-1,COLUMN())))+1)</f>
        <v>175</v>
      </c>
      <c r="D349" s="888" t="s">
        <v>1799</v>
      </c>
      <c r="E349" s="883" t="s">
        <v>6</v>
      </c>
      <c r="F349" s="884">
        <v>500</v>
      </c>
      <c r="G349" s="884">
        <v>60</v>
      </c>
      <c r="H349" s="884">
        <f t="shared" si="254"/>
        <v>30000</v>
      </c>
      <c r="I349" s="884">
        <f>_Expansion*1.3</f>
        <v>14.559999999999999</v>
      </c>
      <c r="J349" s="884">
        <f t="shared" si="255"/>
        <v>7279.9999999999991</v>
      </c>
      <c r="K349" s="884">
        <f>$M$1</f>
        <v>358.32</v>
      </c>
      <c r="L349" s="885">
        <f t="shared" si="256"/>
        <v>20.317035052467066</v>
      </c>
      <c r="M349" s="915">
        <f>IF(SUM(L349)&gt;0,J349/H349,"")</f>
        <v>0.24266666666666664</v>
      </c>
    </row>
    <row r="350" spans="2:13" ht="13" x14ac:dyDescent="0.25">
      <c r="B350" s="882" t="s">
        <v>382</v>
      </c>
      <c r="C350" s="911" t="str">
        <f ca="1">IF(E350="","",MAX(INDIRECT(ADDRESS(ROW()-7,COLUMN())):INDIRECT(ADDRESS(ROW()-1,COLUMN())))+1)</f>
        <v/>
      </c>
      <c r="D350" s="881" t="s">
        <v>381</v>
      </c>
      <c r="E350" s="883"/>
      <c r="F350" s="884"/>
      <c r="G350" s="884"/>
      <c r="H350" s="884"/>
      <c r="I350" s="884"/>
      <c r="J350" s="884"/>
      <c r="K350" s="884"/>
      <c r="L350" s="885"/>
      <c r="M350" s="915"/>
    </row>
    <row r="351" spans="2:13" x14ac:dyDescent="0.25">
      <c r="B351" s="887" t="s">
        <v>378</v>
      </c>
      <c r="C351" s="892">
        <f ca="1">IF(E351="","",MAX(INDIRECT(ADDRESS(ROW()-7,COLUMN())):INDIRECT(ADDRESS(ROW()-1,COLUMN())))+1)</f>
        <v>176</v>
      </c>
      <c r="D351" s="888" t="s">
        <v>1853</v>
      </c>
      <c r="E351" s="883" t="s">
        <v>24</v>
      </c>
      <c r="F351" s="884">
        <v>10400</v>
      </c>
      <c r="G351" s="884">
        <v>20</v>
      </c>
      <c r="H351" s="884">
        <f t="shared" ref="H351:H352" si="257">F351*G351</f>
        <v>208000</v>
      </c>
      <c r="I351" s="884">
        <f>_Mesh*1.04</f>
        <v>4.68</v>
      </c>
      <c r="J351" s="884">
        <f t="shared" ref="J351:J352" si="258">I351*F351</f>
        <v>48672</v>
      </c>
      <c r="K351" s="884">
        <f>$M$1</f>
        <v>358.32</v>
      </c>
      <c r="L351" s="885">
        <f t="shared" ref="L351:L352" si="259">J351/K351</f>
        <v>135.83389149363697</v>
      </c>
      <c r="M351" s="915">
        <f>IF(SUM(L351)&gt;0,J351/H351,"")</f>
        <v>0.23400000000000001</v>
      </c>
    </row>
    <row r="352" spans="2:13" ht="26" x14ac:dyDescent="0.25">
      <c r="B352" s="882" t="s">
        <v>376</v>
      </c>
      <c r="C352" s="892">
        <f ca="1">IF(E352="","",MAX(INDIRECT(ADDRESS(ROW()-7,COLUMN())):INDIRECT(ADDRESS(ROW()-1,COLUMN())))+1)</f>
        <v>177</v>
      </c>
      <c r="D352" s="881" t="s">
        <v>2115</v>
      </c>
      <c r="E352" s="883" t="s">
        <v>700</v>
      </c>
      <c r="F352" s="884">
        <v>5400</v>
      </c>
      <c r="G352" s="884">
        <v>5.5</v>
      </c>
      <c r="H352" s="884">
        <f t="shared" si="257"/>
        <v>29700</v>
      </c>
      <c r="I352" s="884">
        <f>_Sheeting*1.01</f>
        <v>3.7370000000000001</v>
      </c>
      <c r="J352" s="884">
        <f t="shared" si="258"/>
        <v>20179.8</v>
      </c>
      <c r="K352" s="884">
        <f>$M$1</f>
        <v>358.32</v>
      </c>
      <c r="L352" s="885">
        <f t="shared" si="259"/>
        <v>56.317816476892162</v>
      </c>
      <c r="M352" s="915">
        <f>IF(SUM(L352)&gt;0,J352/H352,"")</f>
        <v>0.67945454545454542</v>
      </c>
    </row>
    <row r="353" spans="2:13" ht="26" x14ac:dyDescent="0.25">
      <c r="B353" s="882" t="s">
        <v>1892</v>
      </c>
      <c r="C353" s="911" t="str">
        <f ca="1">IF(E353="","",MAX(INDIRECT(ADDRESS(ROW()-7,COLUMN())):INDIRECT(ADDRESS(ROW()-1,COLUMN())))+1)</f>
        <v/>
      </c>
      <c r="D353" s="881" t="s">
        <v>1801</v>
      </c>
      <c r="E353" s="883"/>
      <c r="F353" s="884"/>
      <c r="G353" s="884"/>
      <c r="H353" s="884"/>
      <c r="I353" s="884"/>
      <c r="J353" s="884"/>
      <c r="K353" s="884"/>
      <c r="L353" s="885"/>
      <c r="M353" s="915"/>
    </row>
    <row r="354" spans="2:13" ht="50" x14ac:dyDescent="0.25">
      <c r="B354" s="887" t="s">
        <v>39</v>
      </c>
      <c r="C354" s="892">
        <f ca="1">IF(E354="","",MAX(INDIRECT(ADDRESS(ROW()-7,COLUMN())):INDIRECT(ADDRESS(ROW()-1,COLUMN())))+1)</f>
        <v>178</v>
      </c>
      <c r="D354" s="888" t="s">
        <v>1802</v>
      </c>
      <c r="E354" s="883" t="s">
        <v>34</v>
      </c>
      <c r="F354" s="884">
        <v>8</v>
      </c>
      <c r="G354" s="884">
        <v>2600</v>
      </c>
      <c r="H354" s="884">
        <f t="shared" ref="H354:H361" si="260">F354*G354</f>
        <v>20800</v>
      </c>
      <c r="I354" s="884">
        <f t="shared" ref="I354:I360" si="261">ROUND(6%*G354,0)</f>
        <v>156</v>
      </c>
      <c r="J354" s="884">
        <f t="shared" ref="J354:J361" si="262">I354*F354</f>
        <v>1248</v>
      </c>
      <c r="K354" s="884">
        <f t="shared" ref="K354:K361" si="263">$M$1</f>
        <v>358.32</v>
      </c>
      <c r="L354" s="885">
        <f t="shared" ref="L354:L361" si="264">J354/K354</f>
        <v>3.4829202947086402</v>
      </c>
      <c r="M354" s="915">
        <f t="shared" ref="M354:M361" si="265">IF(SUM(L354)&gt;0,J354/H354,"")</f>
        <v>0.06</v>
      </c>
    </row>
    <row r="355" spans="2:13" ht="50" x14ac:dyDescent="0.25">
      <c r="B355" s="887" t="s">
        <v>41</v>
      </c>
      <c r="C355" s="892">
        <f ca="1">IF(E355="","",MAX(INDIRECT(ADDRESS(ROW()-7,COLUMN())):INDIRECT(ADDRESS(ROW()-1,COLUMN())))+1)</f>
        <v>179</v>
      </c>
      <c r="D355" s="888" t="s">
        <v>1803</v>
      </c>
      <c r="E355" s="883" t="s">
        <v>34</v>
      </c>
      <c r="F355" s="884">
        <v>8</v>
      </c>
      <c r="G355" s="884">
        <v>2600</v>
      </c>
      <c r="H355" s="884">
        <f t="shared" si="260"/>
        <v>20800</v>
      </c>
      <c r="I355" s="884">
        <f t="shared" si="261"/>
        <v>156</v>
      </c>
      <c r="J355" s="884">
        <f t="shared" si="262"/>
        <v>1248</v>
      </c>
      <c r="K355" s="884">
        <f t="shared" si="263"/>
        <v>358.32</v>
      </c>
      <c r="L355" s="885">
        <f t="shared" si="264"/>
        <v>3.4829202947086402</v>
      </c>
      <c r="M355" s="915">
        <f t="shared" si="265"/>
        <v>0.06</v>
      </c>
    </row>
    <row r="356" spans="2:13" ht="62.5" x14ac:dyDescent="0.25">
      <c r="B356" s="887" t="s">
        <v>52</v>
      </c>
      <c r="C356" s="892">
        <f ca="1">IF(E356="","",MAX(INDIRECT(ADDRESS(ROW()-7,COLUMN())):INDIRECT(ADDRESS(ROW()-1,COLUMN())))+1)</f>
        <v>180</v>
      </c>
      <c r="D356" s="888" t="s">
        <v>1804</v>
      </c>
      <c r="E356" s="883" t="s">
        <v>34</v>
      </c>
      <c r="F356" s="884">
        <v>4</v>
      </c>
      <c r="G356" s="884">
        <v>2600</v>
      </c>
      <c r="H356" s="884">
        <f t="shared" si="260"/>
        <v>10400</v>
      </c>
      <c r="I356" s="884">
        <f t="shared" si="261"/>
        <v>156</v>
      </c>
      <c r="J356" s="884">
        <f t="shared" si="262"/>
        <v>624</v>
      </c>
      <c r="K356" s="884">
        <f t="shared" si="263"/>
        <v>358.32</v>
      </c>
      <c r="L356" s="885">
        <f t="shared" si="264"/>
        <v>1.7414601473543201</v>
      </c>
      <c r="M356" s="915">
        <f t="shared" si="265"/>
        <v>0.06</v>
      </c>
    </row>
    <row r="357" spans="2:13" ht="75" x14ac:dyDescent="0.25">
      <c r="B357" s="887" t="s">
        <v>43</v>
      </c>
      <c r="C357" s="892">
        <f ca="1">IF(E357="","",MAX(INDIRECT(ADDRESS(ROW()-7,COLUMN())):INDIRECT(ADDRESS(ROW()-1,COLUMN())))+1)</f>
        <v>181</v>
      </c>
      <c r="D357" s="888" t="s">
        <v>2163</v>
      </c>
      <c r="E357" s="883" t="s">
        <v>34</v>
      </c>
      <c r="F357" s="884">
        <v>16</v>
      </c>
      <c r="G357" s="884">
        <v>2600</v>
      </c>
      <c r="H357" s="884">
        <f t="shared" si="260"/>
        <v>41600</v>
      </c>
      <c r="I357" s="884">
        <f t="shared" si="261"/>
        <v>156</v>
      </c>
      <c r="J357" s="884">
        <f t="shared" si="262"/>
        <v>2496</v>
      </c>
      <c r="K357" s="884">
        <f t="shared" si="263"/>
        <v>358.32</v>
      </c>
      <c r="L357" s="885">
        <f t="shared" si="264"/>
        <v>6.9658405894172803</v>
      </c>
      <c r="M357" s="915">
        <f t="shared" si="265"/>
        <v>0.06</v>
      </c>
    </row>
    <row r="358" spans="2:13" ht="75" x14ac:dyDescent="0.25">
      <c r="B358" s="887" t="s">
        <v>44</v>
      </c>
      <c r="C358" s="892">
        <f ca="1">IF(E358="","",MAX(INDIRECT(ADDRESS(ROW()-7,COLUMN())):INDIRECT(ADDRESS(ROW()-1,COLUMN())))+1)</f>
        <v>182</v>
      </c>
      <c r="D358" s="888" t="s">
        <v>1805</v>
      </c>
      <c r="E358" s="883" t="s">
        <v>34</v>
      </c>
      <c r="F358" s="884">
        <v>6</v>
      </c>
      <c r="G358" s="884">
        <v>2600</v>
      </c>
      <c r="H358" s="884">
        <f t="shared" si="260"/>
        <v>15600</v>
      </c>
      <c r="I358" s="884">
        <f t="shared" si="261"/>
        <v>156</v>
      </c>
      <c r="J358" s="884">
        <f t="shared" si="262"/>
        <v>936</v>
      </c>
      <c r="K358" s="884">
        <f t="shared" si="263"/>
        <v>358.32</v>
      </c>
      <c r="L358" s="885">
        <f t="shared" si="264"/>
        <v>2.6121902210314802</v>
      </c>
      <c r="M358" s="915">
        <f t="shared" si="265"/>
        <v>0.06</v>
      </c>
    </row>
    <row r="359" spans="2:13" ht="75" x14ac:dyDescent="0.25">
      <c r="B359" s="887" t="s">
        <v>45</v>
      </c>
      <c r="C359" s="892">
        <f ca="1">IF(E359="","",MAX(INDIRECT(ADDRESS(ROW()-7,COLUMN())):INDIRECT(ADDRESS(ROW()-1,COLUMN())))+1)</f>
        <v>183</v>
      </c>
      <c r="D359" s="888" t="s">
        <v>1806</v>
      </c>
      <c r="E359" s="883" t="s">
        <v>34</v>
      </c>
      <c r="F359" s="884">
        <v>16</v>
      </c>
      <c r="G359" s="884">
        <v>2600</v>
      </c>
      <c r="H359" s="884">
        <f t="shared" si="260"/>
        <v>41600</v>
      </c>
      <c r="I359" s="884">
        <f t="shared" si="261"/>
        <v>156</v>
      </c>
      <c r="J359" s="884">
        <f t="shared" si="262"/>
        <v>2496</v>
      </c>
      <c r="K359" s="884">
        <f t="shared" si="263"/>
        <v>358.32</v>
      </c>
      <c r="L359" s="885">
        <f t="shared" si="264"/>
        <v>6.9658405894172803</v>
      </c>
      <c r="M359" s="915">
        <f t="shared" si="265"/>
        <v>0.06</v>
      </c>
    </row>
    <row r="360" spans="2:13" ht="87.5" x14ac:dyDescent="0.25">
      <c r="B360" s="887" t="s">
        <v>239</v>
      </c>
      <c r="C360" s="892">
        <f ca="1">IF(E360="","",MAX(INDIRECT(ADDRESS(ROW()-7,COLUMN())):INDIRECT(ADDRESS(ROW()-1,COLUMN())))+1)</f>
        <v>184</v>
      </c>
      <c r="D360" s="888" t="s">
        <v>2049</v>
      </c>
      <c r="E360" s="883" t="s">
        <v>34</v>
      </c>
      <c r="F360" s="884">
        <v>32</v>
      </c>
      <c r="G360" s="884">
        <v>2600</v>
      </c>
      <c r="H360" s="884">
        <f t="shared" si="260"/>
        <v>83200</v>
      </c>
      <c r="I360" s="884">
        <f t="shared" si="261"/>
        <v>156</v>
      </c>
      <c r="J360" s="884">
        <f t="shared" si="262"/>
        <v>4992</v>
      </c>
      <c r="K360" s="884">
        <f t="shared" si="263"/>
        <v>358.32</v>
      </c>
      <c r="L360" s="885">
        <f t="shared" si="264"/>
        <v>13.931681178834561</v>
      </c>
      <c r="M360" s="915">
        <f t="shared" si="265"/>
        <v>0.06</v>
      </c>
    </row>
    <row r="361" spans="2:13" ht="39" x14ac:dyDescent="0.25">
      <c r="B361" s="882" t="s">
        <v>2006</v>
      </c>
      <c r="C361" s="892">
        <f ca="1">IF(E361="","",MAX(INDIRECT(ADDRESS(ROW()-7,COLUMN())):INDIRECT(ADDRESS(ROW()-1,COLUMN())))+1)</f>
        <v>185</v>
      </c>
      <c r="D361" s="881" t="s">
        <v>2116</v>
      </c>
      <c r="E361" s="883" t="s">
        <v>577</v>
      </c>
      <c r="F361" s="884">
        <v>10</v>
      </c>
      <c r="G361" s="884">
        <v>2100</v>
      </c>
      <c r="H361" s="884">
        <f t="shared" si="260"/>
        <v>21000</v>
      </c>
      <c r="I361" s="884">
        <f>ROUND(_Mix+_Haul+_Place*1.02,1)</f>
        <v>800.5</v>
      </c>
      <c r="J361" s="884">
        <f t="shared" si="262"/>
        <v>8005</v>
      </c>
      <c r="K361" s="884">
        <f t="shared" si="263"/>
        <v>358.32</v>
      </c>
      <c r="L361" s="885">
        <f t="shared" si="264"/>
        <v>22.340366153159188</v>
      </c>
      <c r="M361" s="915">
        <f t="shared" si="265"/>
        <v>0.38119047619047619</v>
      </c>
    </row>
    <row r="362" spans="2:13" ht="26" x14ac:dyDescent="0.25">
      <c r="B362" s="882" t="s">
        <v>1800</v>
      </c>
      <c r="C362" s="911" t="str">
        <f ca="1">IF(E362="","",MAX(INDIRECT(ADDRESS(ROW()-7,COLUMN())):INDIRECT(ADDRESS(ROW()-1,COLUMN())))+1)</f>
        <v/>
      </c>
      <c r="D362" s="881" t="s">
        <v>1079</v>
      </c>
      <c r="E362" s="883"/>
      <c r="F362" s="884"/>
      <c r="G362" s="884"/>
      <c r="H362" s="884"/>
      <c r="I362" s="884"/>
      <c r="J362" s="884"/>
      <c r="K362" s="884"/>
      <c r="L362" s="885"/>
      <c r="M362" s="915"/>
    </row>
    <row r="363" spans="2:13" x14ac:dyDescent="0.25">
      <c r="B363" s="887" t="s">
        <v>39</v>
      </c>
      <c r="C363" s="892">
        <f ca="1">IF(E363="","",MAX(INDIRECT(ADDRESS(ROW()-7,COLUMN())):INDIRECT(ADDRESS(ROW()-1,COLUMN())))+1)</f>
        <v>186</v>
      </c>
      <c r="D363" s="888" t="s">
        <v>800</v>
      </c>
      <c r="E363" s="883" t="s">
        <v>700</v>
      </c>
      <c r="F363" s="884">
        <v>3600</v>
      </c>
      <c r="G363" s="884">
        <v>20</v>
      </c>
      <c r="H363" s="884">
        <f t="shared" ref="H363:H364" si="266">F363*G363</f>
        <v>72000</v>
      </c>
      <c r="I363" s="884">
        <f>ROUND(_LabourRate/7,1)</f>
        <v>6.4</v>
      </c>
      <c r="J363" s="884">
        <f t="shared" ref="J363:J364" si="267">I363*F363</f>
        <v>23040</v>
      </c>
      <c r="K363" s="884">
        <f>$M$1</f>
        <v>358.32</v>
      </c>
      <c r="L363" s="885">
        <f t="shared" ref="L363:L364" si="268">J363/K363</f>
        <v>64.300066979236433</v>
      </c>
      <c r="M363" s="915">
        <f>IF(SUM(L363)&gt;0,J363/H363,"")</f>
        <v>0.32</v>
      </c>
    </row>
    <row r="364" spans="2:13" x14ac:dyDescent="0.25">
      <c r="B364" s="887" t="s">
        <v>41</v>
      </c>
      <c r="C364" s="892">
        <f ca="1">IF(E364="","",MAX(INDIRECT(ADDRESS(ROW()-7,COLUMN())):INDIRECT(ADDRESS(ROW()-1,COLUMN())))+1)</f>
        <v>187</v>
      </c>
      <c r="D364" s="888" t="s">
        <v>1080</v>
      </c>
      <c r="E364" s="883" t="s">
        <v>700</v>
      </c>
      <c r="F364" s="884">
        <v>2400</v>
      </c>
      <c r="G364" s="884">
        <v>120</v>
      </c>
      <c r="H364" s="884">
        <f t="shared" si="266"/>
        <v>288000</v>
      </c>
      <c r="I364" s="884">
        <f>ROUND(_LabourRate/7*2,1)</f>
        <v>12.8</v>
      </c>
      <c r="J364" s="884">
        <f t="shared" si="267"/>
        <v>30720</v>
      </c>
      <c r="K364" s="884">
        <f>$M$1</f>
        <v>358.32</v>
      </c>
      <c r="L364" s="885">
        <f t="shared" si="268"/>
        <v>85.733422638981921</v>
      </c>
      <c r="M364" s="915">
        <f>IF(SUM(L364)&gt;0,J364/H364,"")</f>
        <v>0.10666666666666667</v>
      </c>
    </row>
    <row r="365" spans="2:13" x14ac:dyDescent="0.25">
      <c r="B365" s="887"/>
      <c r="C365" s="892" t="str">
        <f ca="1">IF(E365="","",MAX(INDIRECT(ADDRESS(ROW()-7,COLUMN())):INDIRECT(ADDRESS(ROW()-1,COLUMN())))+1)</f>
        <v/>
      </c>
      <c r="D365" s="888"/>
      <c r="E365" s="883"/>
      <c r="F365" s="884"/>
      <c r="G365" s="884"/>
      <c r="H365" s="884"/>
      <c r="I365" s="884"/>
      <c r="J365" s="884"/>
      <c r="K365" s="884"/>
      <c r="L365" s="885"/>
      <c r="M365" s="915"/>
    </row>
    <row r="366" spans="2:13" ht="13" x14ac:dyDescent="0.25">
      <c r="B366" s="882" t="s">
        <v>232</v>
      </c>
      <c r="C366" s="911" t="str">
        <f ca="1">IF(E366="","",MAX(INDIRECT(ADDRESS(ROW()-7,COLUMN())):INDIRECT(ADDRESS(ROW()-1,COLUMN())))+1)</f>
        <v/>
      </c>
      <c r="D366" s="881" t="s">
        <v>233</v>
      </c>
      <c r="E366" s="883"/>
      <c r="F366" s="884"/>
      <c r="G366" s="884"/>
      <c r="H366" s="884"/>
      <c r="I366" s="884"/>
      <c r="J366" s="884"/>
      <c r="K366" s="884"/>
      <c r="L366" s="885"/>
      <c r="M366" s="915"/>
    </row>
    <row r="367" spans="2:13" ht="13" x14ac:dyDescent="0.25">
      <c r="B367" s="882" t="s">
        <v>1938</v>
      </c>
      <c r="C367" s="911" t="str">
        <f ca="1">IF(E367="","",MAX(INDIRECT(ADDRESS(ROW()-7,COLUMN())):INDIRECT(ADDRESS(ROW()-1,COLUMN())))+1)</f>
        <v/>
      </c>
      <c r="D367" s="881" t="s">
        <v>234</v>
      </c>
      <c r="E367" s="883"/>
      <c r="F367" s="884"/>
      <c r="G367" s="884"/>
      <c r="H367" s="884"/>
      <c r="I367" s="884"/>
      <c r="J367" s="884"/>
      <c r="K367" s="884"/>
      <c r="L367" s="885"/>
      <c r="M367" s="915"/>
    </row>
    <row r="368" spans="2:13" ht="25" x14ac:dyDescent="0.25">
      <c r="B368" s="887" t="s">
        <v>1939</v>
      </c>
      <c r="C368" s="892" t="str">
        <f ca="1">IF(E368="","",MAX(INDIRECT(ADDRESS(ROW()-7,COLUMN())):INDIRECT(ADDRESS(ROW()-1,COLUMN())))+1)</f>
        <v/>
      </c>
      <c r="D368" s="888" t="s">
        <v>1688</v>
      </c>
      <c r="E368" s="883"/>
      <c r="F368" s="884"/>
      <c r="G368" s="884"/>
      <c r="H368" s="884"/>
      <c r="I368" s="884"/>
      <c r="J368" s="884"/>
      <c r="K368" s="884"/>
      <c r="L368" s="885"/>
      <c r="M368" s="915"/>
    </row>
    <row r="369" spans="2:13" ht="25" x14ac:dyDescent="0.25">
      <c r="B369" s="887" t="s">
        <v>41</v>
      </c>
      <c r="C369" s="892">
        <f ca="1">IF(E369="","",MAX(INDIRECT(ADDRESS(ROW()-7,COLUMN())):INDIRECT(ADDRESS(ROW()-1,COLUMN())))+1)</f>
        <v>188</v>
      </c>
      <c r="D369" s="888" t="s">
        <v>2120</v>
      </c>
      <c r="E369" s="883" t="s">
        <v>799</v>
      </c>
      <c r="F369" s="884">
        <v>4000</v>
      </c>
      <c r="G369" s="884">
        <v>65</v>
      </c>
      <c r="H369" s="884">
        <f t="shared" ref="H369:H375" si="269">F369*G369</f>
        <v>260000</v>
      </c>
      <c r="I369" s="884">
        <f t="shared" ref="I369:I375" si="270">ROUND(Labour_perc_roads*G369,1)</f>
        <v>1.9</v>
      </c>
      <c r="J369" s="884">
        <f t="shared" ref="J369:J375" si="271">I369*F369</f>
        <v>7600</v>
      </c>
      <c r="K369" s="884">
        <f t="shared" ref="K369:K375" si="272">$M$1</f>
        <v>358.32</v>
      </c>
      <c r="L369" s="885">
        <f t="shared" ref="L369:L375" si="273">J369/K369</f>
        <v>21.210091538289799</v>
      </c>
      <c r="M369" s="915">
        <f t="shared" ref="M369:M375" si="274">IF(SUM(L369)&gt;0,J369/H369,"")</f>
        <v>2.923076923076923E-2</v>
      </c>
    </row>
    <row r="370" spans="2:13" ht="25" x14ac:dyDescent="0.25">
      <c r="B370" s="887" t="s">
        <v>52</v>
      </c>
      <c r="C370" s="892">
        <f ca="1">IF(E370="","",MAX(INDIRECT(ADDRESS(ROW()-7,COLUMN())):INDIRECT(ADDRESS(ROW()-1,COLUMN())))+1)</f>
        <v>189</v>
      </c>
      <c r="D370" s="888" t="s">
        <v>2121</v>
      </c>
      <c r="E370" s="883" t="s">
        <v>799</v>
      </c>
      <c r="F370" s="884">
        <v>3800</v>
      </c>
      <c r="G370" s="884">
        <v>70</v>
      </c>
      <c r="H370" s="884">
        <f t="shared" si="269"/>
        <v>266000</v>
      </c>
      <c r="I370" s="884">
        <f t="shared" si="270"/>
        <v>2</v>
      </c>
      <c r="J370" s="884">
        <f t="shared" si="271"/>
        <v>7600</v>
      </c>
      <c r="K370" s="884">
        <f t="shared" si="272"/>
        <v>358.32</v>
      </c>
      <c r="L370" s="885">
        <f t="shared" si="273"/>
        <v>21.210091538289799</v>
      </c>
      <c r="M370" s="915">
        <f t="shared" si="274"/>
        <v>2.8571428571428571E-2</v>
      </c>
    </row>
    <row r="371" spans="2:13" ht="25" x14ac:dyDescent="0.25">
      <c r="B371" s="887" t="s">
        <v>239</v>
      </c>
      <c r="C371" s="892">
        <f ca="1">IF(E371="","",MAX(INDIRECT(ADDRESS(ROW()-7,COLUMN())):INDIRECT(ADDRESS(ROW()-1,COLUMN())))+1)</f>
        <v>190</v>
      </c>
      <c r="D371" s="888" t="s">
        <v>2122</v>
      </c>
      <c r="E371" s="883" t="s">
        <v>799</v>
      </c>
      <c r="F371" s="884">
        <v>600</v>
      </c>
      <c r="G371" s="884">
        <v>70</v>
      </c>
      <c r="H371" s="884">
        <f t="shared" si="269"/>
        <v>42000</v>
      </c>
      <c r="I371" s="884">
        <f t="shared" si="270"/>
        <v>2</v>
      </c>
      <c r="J371" s="884">
        <f t="shared" si="271"/>
        <v>1200</v>
      </c>
      <c r="K371" s="884">
        <f t="shared" si="272"/>
        <v>358.32</v>
      </c>
      <c r="L371" s="885">
        <f t="shared" si="273"/>
        <v>3.3489618218352311</v>
      </c>
      <c r="M371" s="915">
        <f t="shared" si="274"/>
        <v>2.8571428571428571E-2</v>
      </c>
    </row>
    <row r="372" spans="2:13" ht="25" x14ac:dyDescent="0.25">
      <c r="B372" s="887" t="s">
        <v>50</v>
      </c>
      <c r="C372" s="892">
        <f ca="1">IF(E372="","",MAX(INDIRECT(ADDRESS(ROW()-7,COLUMN())):INDIRECT(ADDRESS(ROW()-1,COLUMN())))+1)</f>
        <v>191</v>
      </c>
      <c r="D372" s="888" t="s">
        <v>2123</v>
      </c>
      <c r="E372" s="883" t="s">
        <v>799</v>
      </c>
      <c r="F372" s="884">
        <v>3500</v>
      </c>
      <c r="G372" s="884">
        <v>70</v>
      </c>
      <c r="H372" s="884">
        <f t="shared" si="269"/>
        <v>245000</v>
      </c>
      <c r="I372" s="884">
        <f t="shared" si="270"/>
        <v>2</v>
      </c>
      <c r="J372" s="884">
        <f t="shared" si="271"/>
        <v>7000</v>
      </c>
      <c r="K372" s="884">
        <f t="shared" si="272"/>
        <v>358.32</v>
      </c>
      <c r="L372" s="885">
        <f t="shared" si="273"/>
        <v>19.535610627372183</v>
      </c>
      <c r="M372" s="915">
        <f t="shared" si="274"/>
        <v>2.8571428571428571E-2</v>
      </c>
    </row>
    <row r="373" spans="2:13" ht="37.5" x14ac:dyDescent="0.25">
      <c r="B373" s="887" t="s">
        <v>236</v>
      </c>
      <c r="C373" s="892">
        <f ca="1">IF(E373="","",MAX(INDIRECT(ADDRESS(ROW()-7,COLUMN())):INDIRECT(ADDRESS(ROW()-1,COLUMN())))+1)</f>
        <v>192</v>
      </c>
      <c r="D373" s="888" t="s">
        <v>2124</v>
      </c>
      <c r="E373" s="883" t="s">
        <v>799</v>
      </c>
      <c r="F373" s="884">
        <v>1800</v>
      </c>
      <c r="G373" s="884">
        <v>75</v>
      </c>
      <c r="H373" s="884">
        <f t="shared" si="269"/>
        <v>135000</v>
      </c>
      <c r="I373" s="884">
        <f t="shared" si="270"/>
        <v>2.2000000000000002</v>
      </c>
      <c r="J373" s="884">
        <f t="shared" si="271"/>
        <v>3960.0000000000005</v>
      </c>
      <c r="K373" s="884">
        <f t="shared" si="272"/>
        <v>358.32</v>
      </c>
      <c r="L373" s="885">
        <f t="shared" si="273"/>
        <v>11.051574012056264</v>
      </c>
      <c r="M373" s="915">
        <f t="shared" si="274"/>
        <v>2.9333333333333336E-2</v>
      </c>
    </row>
    <row r="374" spans="2:13" ht="37.5" x14ac:dyDescent="0.25">
      <c r="B374" s="887" t="s">
        <v>237</v>
      </c>
      <c r="C374" s="892">
        <f ca="1">IF(E374="","",MAX(INDIRECT(ADDRESS(ROW()-7,COLUMN())):INDIRECT(ADDRESS(ROW()-1,COLUMN())))+1)</f>
        <v>193</v>
      </c>
      <c r="D374" s="888" t="s">
        <v>2125</v>
      </c>
      <c r="E374" s="883" t="s">
        <v>799</v>
      </c>
      <c r="F374" s="884">
        <v>1800</v>
      </c>
      <c r="G374" s="884">
        <v>75</v>
      </c>
      <c r="H374" s="884">
        <f t="shared" si="269"/>
        <v>135000</v>
      </c>
      <c r="I374" s="884">
        <f t="shared" si="270"/>
        <v>2.2000000000000002</v>
      </c>
      <c r="J374" s="884">
        <f t="shared" si="271"/>
        <v>3960.0000000000005</v>
      </c>
      <c r="K374" s="884">
        <f t="shared" si="272"/>
        <v>358.32</v>
      </c>
      <c r="L374" s="885">
        <f t="shared" si="273"/>
        <v>11.051574012056264</v>
      </c>
      <c r="M374" s="915">
        <f t="shared" si="274"/>
        <v>2.9333333333333336E-2</v>
      </c>
    </row>
    <row r="375" spans="2:13" ht="25" x14ac:dyDescent="0.25">
      <c r="B375" s="887" t="s">
        <v>238</v>
      </c>
      <c r="C375" s="892">
        <f ca="1">IF(E375="","",MAX(INDIRECT(ADDRESS(ROW()-7,COLUMN())):INDIRECT(ADDRESS(ROW()-1,COLUMN())))+1)</f>
        <v>194</v>
      </c>
      <c r="D375" s="888" t="s">
        <v>2126</v>
      </c>
      <c r="E375" s="883" t="s">
        <v>799</v>
      </c>
      <c r="F375" s="884">
        <v>3000</v>
      </c>
      <c r="G375" s="884">
        <v>85</v>
      </c>
      <c r="H375" s="884">
        <f t="shared" si="269"/>
        <v>255000</v>
      </c>
      <c r="I375" s="884">
        <f t="shared" si="270"/>
        <v>2.5</v>
      </c>
      <c r="J375" s="884">
        <f t="shared" si="271"/>
        <v>7500</v>
      </c>
      <c r="K375" s="884">
        <f t="shared" si="272"/>
        <v>358.32</v>
      </c>
      <c r="L375" s="885">
        <f t="shared" si="273"/>
        <v>20.931011386470196</v>
      </c>
      <c r="M375" s="915">
        <f t="shared" si="274"/>
        <v>2.9411764705882353E-2</v>
      </c>
    </row>
    <row r="376" spans="2:13" x14ac:dyDescent="0.25">
      <c r="B376" s="887"/>
      <c r="C376" s="892" t="str">
        <f ca="1">IF(E376="","",MAX(INDIRECT(ADDRESS(ROW()-7,COLUMN())):INDIRECT(ADDRESS(ROW()-1,COLUMN())))+1)</f>
        <v/>
      </c>
      <c r="D376" s="888"/>
      <c r="E376" s="883"/>
      <c r="F376" s="884"/>
      <c r="G376" s="884"/>
      <c r="H376" s="884"/>
      <c r="I376" s="884"/>
      <c r="J376" s="884"/>
      <c r="K376" s="884"/>
      <c r="L376" s="885"/>
      <c r="M376" s="915"/>
    </row>
    <row r="377" spans="2:13" ht="13" x14ac:dyDescent="0.25">
      <c r="B377" s="882" t="s">
        <v>240</v>
      </c>
      <c r="C377" s="911" t="str">
        <f ca="1">IF(E377="","",MAX(INDIRECT(ADDRESS(ROW()-7,COLUMN())):INDIRECT(ADDRESS(ROW()-1,COLUMN())))+1)</f>
        <v/>
      </c>
      <c r="D377" s="881" t="s">
        <v>241</v>
      </c>
      <c r="E377" s="883"/>
      <c r="F377" s="884"/>
      <c r="G377" s="884"/>
      <c r="H377" s="884"/>
      <c r="I377" s="884"/>
      <c r="J377" s="884"/>
      <c r="K377" s="884"/>
      <c r="L377" s="885"/>
      <c r="M377" s="915"/>
    </row>
    <row r="378" spans="2:13" ht="13" x14ac:dyDescent="0.25">
      <c r="B378" s="882" t="s">
        <v>242</v>
      </c>
      <c r="C378" s="911" t="str">
        <f ca="1">IF(E378="","",MAX(INDIRECT(ADDRESS(ROW()-7,COLUMN())):INDIRECT(ADDRESS(ROW()-1,COLUMN())))+1)</f>
        <v/>
      </c>
      <c r="D378" s="881" t="s">
        <v>243</v>
      </c>
      <c r="E378" s="883"/>
      <c r="F378" s="884"/>
      <c r="G378" s="884"/>
      <c r="H378" s="884"/>
      <c r="I378" s="884"/>
      <c r="J378" s="884"/>
      <c r="K378" s="884"/>
      <c r="L378" s="885"/>
      <c r="M378" s="915"/>
    </row>
    <row r="379" spans="2:13" x14ac:dyDescent="0.25">
      <c r="B379" s="887" t="s">
        <v>244</v>
      </c>
      <c r="C379" s="892" t="str">
        <f ca="1">IF(E379="","",MAX(INDIRECT(ADDRESS(ROW()-7,COLUMN())):INDIRECT(ADDRESS(ROW()-1,COLUMN())))+1)</f>
        <v/>
      </c>
      <c r="D379" s="888" t="s">
        <v>1836</v>
      </c>
      <c r="E379" s="883"/>
      <c r="F379" s="884"/>
      <c r="G379" s="884"/>
      <c r="H379" s="884"/>
      <c r="I379" s="884"/>
      <c r="J379" s="884"/>
      <c r="K379" s="884"/>
      <c r="L379" s="885"/>
      <c r="M379" s="915"/>
    </row>
    <row r="380" spans="2:13" x14ac:dyDescent="0.25">
      <c r="B380" s="887" t="s">
        <v>39</v>
      </c>
      <c r="C380" s="892">
        <f ca="1">IF(E380="","",MAX(INDIRECT(ADDRESS(ROW()-7,COLUMN())):INDIRECT(ADDRESS(ROW()-1,COLUMN())))+1)</f>
        <v>195</v>
      </c>
      <c r="D380" s="888" t="s">
        <v>1689</v>
      </c>
      <c r="E380" s="883" t="s">
        <v>799</v>
      </c>
      <c r="F380" s="884">
        <v>3600</v>
      </c>
      <c r="G380" s="884">
        <v>90</v>
      </c>
      <c r="H380" s="884">
        <f t="shared" ref="H380:H382" si="275">F380*G380</f>
        <v>324000</v>
      </c>
      <c r="I380" s="884">
        <f>ROUND(12%*G380,1)</f>
        <v>10.8</v>
      </c>
      <c r="J380" s="884">
        <f t="shared" ref="J380:J382" si="276">I380*F380</f>
        <v>38880</v>
      </c>
      <c r="K380" s="884">
        <f>$M$1</f>
        <v>358.32</v>
      </c>
      <c r="L380" s="885">
        <f t="shared" ref="L380:L382" si="277">J380/K380</f>
        <v>108.50636302746149</v>
      </c>
      <c r="M380" s="915">
        <f>IF(SUM(L380)&gt;0,J380/H380,"")</f>
        <v>0.12</v>
      </c>
    </row>
    <row r="381" spans="2:13" x14ac:dyDescent="0.25">
      <c r="B381" s="887" t="s">
        <v>41</v>
      </c>
      <c r="C381" s="892">
        <f ca="1">IF(E381="","",MAX(INDIRECT(ADDRESS(ROW()-7,COLUMN())):INDIRECT(ADDRESS(ROW()-1,COLUMN())))+1)</f>
        <v>196</v>
      </c>
      <c r="D381" s="888" t="s">
        <v>1690</v>
      </c>
      <c r="E381" s="883" t="s">
        <v>799</v>
      </c>
      <c r="F381" s="884">
        <v>2900</v>
      </c>
      <c r="G381" s="884">
        <v>90</v>
      </c>
      <c r="H381" s="884">
        <f t="shared" si="275"/>
        <v>261000</v>
      </c>
      <c r="I381" s="884">
        <f>ROUND(12%*G381,1)</f>
        <v>10.8</v>
      </c>
      <c r="J381" s="884">
        <f t="shared" si="276"/>
        <v>31320.000000000004</v>
      </c>
      <c r="K381" s="884">
        <f>$M$1</f>
        <v>358.32</v>
      </c>
      <c r="L381" s="885">
        <f t="shared" si="277"/>
        <v>87.407903549899544</v>
      </c>
      <c r="M381" s="915">
        <f>IF(SUM(L381)&gt;0,J381/H381,"")</f>
        <v>0.12000000000000001</v>
      </c>
    </row>
    <row r="382" spans="2:13" ht="13" x14ac:dyDescent="0.25">
      <c r="B382" s="882" t="s">
        <v>250</v>
      </c>
      <c r="C382" s="911">
        <f ca="1">IF(E382="","",MAX(INDIRECT(ADDRESS(ROW()-7,COLUMN())):INDIRECT(ADDRESS(ROW()-1,COLUMN())))+1)</f>
        <v>197</v>
      </c>
      <c r="D382" s="881" t="s">
        <v>251</v>
      </c>
      <c r="E382" s="883" t="s">
        <v>799</v>
      </c>
      <c r="F382" s="884">
        <v>500</v>
      </c>
      <c r="G382" s="884">
        <v>110</v>
      </c>
      <c r="H382" s="884">
        <f t="shared" si="275"/>
        <v>55000</v>
      </c>
      <c r="I382" s="884">
        <f>ROUND(6%*G382,0)</f>
        <v>7</v>
      </c>
      <c r="J382" s="884">
        <f t="shared" si="276"/>
        <v>3500</v>
      </c>
      <c r="K382" s="884">
        <f>$M$1</f>
        <v>358.32</v>
      </c>
      <c r="L382" s="885">
        <f t="shared" si="277"/>
        <v>9.7678053136860914</v>
      </c>
      <c r="M382" s="915">
        <f>IF(SUM(L382)&gt;0,J382/H382,"")</f>
        <v>6.363636363636363E-2</v>
      </c>
    </row>
    <row r="383" spans="2:13" x14ac:dyDescent="0.25">
      <c r="B383" s="887"/>
      <c r="C383" s="892" t="str">
        <f ca="1">IF(E383="","",MAX(INDIRECT(ADDRESS(ROW()-7,COLUMN())):INDIRECT(ADDRESS(ROW()-1,COLUMN())))+1)</f>
        <v/>
      </c>
      <c r="D383" s="888"/>
      <c r="E383" s="883"/>
      <c r="F383" s="884"/>
      <c r="G383" s="884"/>
      <c r="H383" s="884"/>
      <c r="I383" s="884"/>
      <c r="J383" s="884"/>
      <c r="K383" s="884"/>
      <c r="L383" s="885"/>
      <c r="M383" s="915"/>
    </row>
    <row r="384" spans="2:13" ht="39" x14ac:dyDescent="0.25">
      <c r="B384" s="882" t="s">
        <v>625</v>
      </c>
      <c r="C384" s="911" t="str">
        <f ca="1">IF(E384="","",MAX(INDIRECT(ADDRESS(ROW()-7,COLUMN())):INDIRECT(ADDRESS(ROW()-1,COLUMN())))+1)</f>
        <v/>
      </c>
      <c r="D384" s="881" t="s">
        <v>624</v>
      </c>
      <c r="E384" s="883"/>
      <c r="F384" s="884"/>
      <c r="G384" s="884"/>
      <c r="H384" s="884"/>
      <c r="I384" s="884"/>
      <c r="J384" s="884"/>
      <c r="K384" s="884"/>
      <c r="L384" s="885"/>
      <c r="M384" s="915"/>
    </row>
    <row r="385" spans="2:13" ht="13" x14ac:dyDescent="0.25">
      <c r="B385" s="882" t="s">
        <v>623</v>
      </c>
      <c r="C385" s="911" t="str">
        <f ca="1">IF(E385="","",MAX(INDIRECT(ADDRESS(ROW()-7,COLUMN())):INDIRECT(ADDRESS(ROW()-1,COLUMN())))+1)</f>
        <v/>
      </c>
      <c r="D385" s="881" t="s">
        <v>622</v>
      </c>
      <c r="E385" s="883"/>
      <c r="F385" s="884"/>
      <c r="G385" s="884"/>
      <c r="H385" s="884"/>
      <c r="I385" s="884"/>
      <c r="J385" s="884"/>
      <c r="K385" s="884"/>
      <c r="L385" s="885"/>
      <c r="M385" s="915"/>
    </row>
    <row r="386" spans="2:13" x14ac:dyDescent="0.25">
      <c r="B386" s="887" t="s">
        <v>621</v>
      </c>
      <c r="C386" s="892" t="str">
        <f ca="1">IF(E386="","",MAX(INDIRECT(ADDRESS(ROW()-7,COLUMN())):INDIRECT(ADDRESS(ROW()-1,COLUMN())))+1)</f>
        <v/>
      </c>
      <c r="D386" s="888" t="s">
        <v>620</v>
      </c>
      <c r="E386" s="883"/>
      <c r="F386" s="884"/>
      <c r="G386" s="884"/>
      <c r="H386" s="884"/>
      <c r="I386" s="884"/>
      <c r="J386" s="884"/>
      <c r="K386" s="884"/>
      <c r="L386" s="885"/>
      <c r="M386" s="915"/>
    </row>
    <row r="387" spans="2:13" x14ac:dyDescent="0.25">
      <c r="B387" s="887" t="s">
        <v>39</v>
      </c>
      <c r="C387" s="892">
        <f ca="1">IF(E387="","",MAX(INDIRECT(ADDRESS(ROW()-7,COLUMN())):INDIRECT(ADDRESS(ROW()-1,COLUMN())))+1)</f>
        <v>198</v>
      </c>
      <c r="D387" s="888" t="s">
        <v>619</v>
      </c>
      <c r="E387" s="883" t="s">
        <v>700</v>
      </c>
      <c r="F387" s="884">
        <v>250</v>
      </c>
      <c r="G387" s="884">
        <v>180</v>
      </c>
      <c r="H387" s="884">
        <f t="shared" ref="H387:H389" si="278">F387*G387</f>
        <v>45000</v>
      </c>
      <c r="I387" s="884">
        <f>ROUND(Labour_perc_roads*G387,0)</f>
        <v>5</v>
      </c>
      <c r="J387" s="884">
        <f t="shared" ref="J387:J389" si="279">I387*F387</f>
        <v>1250</v>
      </c>
      <c r="K387" s="884">
        <f>$M$1</f>
        <v>358.32</v>
      </c>
      <c r="L387" s="885">
        <f t="shared" ref="L387:L389" si="280">J387/K387</f>
        <v>3.4885018977450324</v>
      </c>
      <c r="M387" s="915">
        <f>IF(SUM(L387)&gt;0,J387/H387,"")</f>
        <v>2.7777777777777776E-2</v>
      </c>
    </row>
    <row r="388" spans="2:13" x14ac:dyDescent="0.25">
      <c r="B388" s="887" t="s">
        <v>618</v>
      </c>
      <c r="C388" s="892">
        <f ca="1">IF(E388="","",MAX(INDIRECT(ADDRESS(ROW()-7,COLUMN())):INDIRECT(ADDRESS(ROW()-1,COLUMN())))+1)</f>
        <v>199</v>
      </c>
      <c r="D388" s="888" t="s">
        <v>617</v>
      </c>
      <c r="E388" s="883" t="s">
        <v>700</v>
      </c>
      <c r="F388" s="884">
        <v>250</v>
      </c>
      <c r="G388" s="884">
        <v>380</v>
      </c>
      <c r="H388" s="884">
        <f t="shared" si="278"/>
        <v>95000</v>
      </c>
      <c r="I388" s="884">
        <f>ROUND(Labour_perc_roads*G388,0)</f>
        <v>11</v>
      </c>
      <c r="J388" s="884">
        <f t="shared" si="279"/>
        <v>2750</v>
      </c>
      <c r="K388" s="884">
        <f>$M$1</f>
        <v>358.32</v>
      </c>
      <c r="L388" s="885">
        <f t="shared" si="280"/>
        <v>7.6747041750390714</v>
      </c>
      <c r="M388" s="915">
        <f>IF(SUM(L388)&gt;0,J388/H388,"")</f>
        <v>2.8947368421052631E-2</v>
      </c>
    </row>
    <row r="389" spans="2:13" x14ac:dyDescent="0.25">
      <c r="B389" s="887" t="s">
        <v>616</v>
      </c>
      <c r="C389" s="892">
        <f ca="1">IF(E389="","",MAX(INDIRECT(ADDRESS(ROW()-7,COLUMN())):INDIRECT(ADDRESS(ROW()-1,COLUMN())))+1)</f>
        <v>200</v>
      </c>
      <c r="D389" s="888" t="s">
        <v>615</v>
      </c>
      <c r="E389" s="883" t="s">
        <v>700</v>
      </c>
      <c r="F389" s="884">
        <v>188</v>
      </c>
      <c r="G389" s="884">
        <v>240</v>
      </c>
      <c r="H389" s="884">
        <f t="shared" si="278"/>
        <v>45120</v>
      </c>
      <c r="I389" s="884">
        <f>ROUND(Labour_perc_roads*G389,0)</f>
        <v>7</v>
      </c>
      <c r="J389" s="884">
        <f t="shared" si="279"/>
        <v>1316</v>
      </c>
      <c r="K389" s="884">
        <f>$M$1</f>
        <v>358.32</v>
      </c>
      <c r="L389" s="885">
        <f t="shared" si="280"/>
        <v>3.6726947979459701</v>
      </c>
      <c r="M389" s="915">
        <f>IF(SUM(L389)&gt;0,J389/H389,"")</f>
        <v>2.9166666666666667E-2</v>
      </c>
    </row>
    <row r="390" spans="2:13" x14ac:dyDescent="0.25">
      <c r="B390" s="887"/>
      <c r="C390" s="892" t="str">
        <f ca="1">IF(E390="","",MAX(INDIRECT(ADDRESS(ROW()-7,COLUMN())):INDIRECT(ADDRESS(ROW()-1,COLUMN())))+1)</f>
        <v/>
      </c>
      <c r="D390" s="888"/>
      <c r="E390" s="883"/>
      <c r="F390" s="884"/>
      <c r="G390" s="884"/>
      <c r="H390" s="884"/>
      <c r="I390" s="884"/>
      <c r="J390" s="884"/>
      <c r="K390" s="884"/>
      <c r="L390" s="885"/>
      <c r="M390" s="915"/>
    </row>
    <row r="391" spans="2:13" ht="13" x14ac:dyDescent="0.25">
      <c r="B391" s="882" t="s">
        <v>807</v>
      </c>
      <c r="C391" s="911" t="str">
        <f ca="1">IF(E391="","",MAX(INDIRECT(ADDRESS(ROW()-7,COLUMN())):INDIRECT(ADDRESS(ROW()-1,COLUMN())))+1)</f>
        <v/>
      </c>
      <c r="D391" s="881" t="s">
        <v>808</v>
      </c>
      <c r="E391" s="883"/>
      <c r="F391" s="884"/>
      <c r="G391" s="884"/>
      <c r="H391" s="884"/>
      <c r="I391" s="884"/>
      <c r="J391" s="884"/>
      <c r="K391" s="884"/>
      <c r="L391" s="885"/>
      <c r="M391" s="915"/>
    </row>
    <row r="392" spans="2:13" ht="13" x14ac:dyDescent="0.25">
      <c r="B392" s="882" t="s">
        <v>635</v>
      </c>
      <c r="C392" s="911" t="str">
        <f ca="1">IF(E392="","",MAX(INDIRECT(ADDRESS(ROW()-7,COLUMN())):INDIRECT(ADDRESS(ROW()-1,COLUMN())))+1)</f>
        <v/>
      </c>
      <c r="D392" s="881" t="s">
        <v>559</v>
      </c>
      <c r="E392" s="883"/>
      <c r="F392" s="884"/>
      <c r="G392" s="884"/>
      <c r="H392" s="884"/>
      <c r="I392" s="884"/>
      <c r="J392" s="884"/>
      <c r="K392" s="884"/>
      <c r="L392" s="885"/>
      <c r="M392" s="915"/>
    </row>
    <row r="393" spans="2:13" ht="25" x14ac:dyDescent="0.25">
      <c r="B393" s="887" t="s">
        <v>634</v>
      </c>
      <c r="C393" s="892" t="str">
        <f ca="1">IF(E393="","",MAX(INDIRECT(ADDRESS(ROW()-7,COLUMN())):INDIRECT(ADDRESS(ROW()-1,COLUMN())))+1)</f>
        <v/>
      </c>
      <c r="D393" s="888" t="s">
        <v>558</v>
      </c>
      <c r="E393" s="883"/>
      <c r="F393" s="884"/>
      <c r="G393" s="884"/>
      <c r="H393" s="884"/>
      <c r="I393" s="884"/>
      <c r="J393" s="884"/>
      <c r="K393" s="884"/>
      <c r="L393" s="885"/>
      <c r="M393" s="915"/>
    </row>
    <row r="394" spans="2:13" x14ac:dyDescent="0.25">
      <c r="B394" s="887" t="s">
        <v>39</v>
      </c>
      <c r="C394" s="892">
        <f ca="1">IF(E394="","",MAX(INDIRECT(ADDRESS(ROW()-7,COLUMN())):INDIRECT(ADDRESS(ROW()-1,COLUMN())))+1)</f>
        <v>201</v>
      </c>
      <c r="D394" s="888" t="s">
        <v>633</v>
      </c>
      <c r="E394" s="883" t="s">
        <v>577</v>
      </c>
      <c r="F394" s="884">
        <v>100</v>
      </c>
      <c r="G394" s="884">
        <v>80</v>
      </c>
      <c r="H394" s="884">
        <f t="shared" ref="H394:H395" si="281">F394*G394</f>
        <v>8000</v>
      </c>
      <c r="I394" s="884">
        <f>ROUND(Labour_perc_roads*G394,1)</f>
        <v>2.2999999999999998</v>
      </c>
      <c r="J394" s="884">
        <f t="shared" ref="J394:J395" si="282">I394*F394</f>
        <v>229.99999999999997</v>
      </c>
      <c r="K394" s="884">
        <f>$M$1</f>
        <v>358.32</v>
      </c>
      <c r="L394" s="885">
        <f t="shared" ref="L394:L395" si="283">J394/K394</f>
        <v>0.64188434918508586</v>
      </c>
      <c r="M394" s="915">
        <f>IF(SUM(L394)&gt;0,J394/H394,"")</f>
        <v>2.8749999999999998E-2</v>
      </c>
    </row>
    <row r="395" spans="2:13" ht="26" x14ac:dyDescent="0.25">
      <c r="B395" s="882" t="s">
        <v>632</v>
      </c>
      <c r="C395" s="892">
        <f ca="1">IF(E395="","",MAX(INDIRECT(ADDRESS(ROW()-7,COLUMN())):INDIRECT(ADDRESS(ROW()-1,COLUMN())))+1)</f>
        <v>202</v>
      </c>
      <c r="D395" s="881" t="s">
        <v>631</v>
      </c>
      <c r="E395" s="883" t="s">
        <v>700</v>
      </c>
      <c r="F395" s="884">
        <v>400</v>
      </c>
      <c r="G395" s="884">
        <v>10</v>
      </c>
      <c r="H395" s="884">
        <f t="shared" si="281"/>
        <v>4000</v>
      </c>
      <c r="I395" s="884">
        <f>ROUND(Labour_perc_roads*G395,1)</f>
        <v>0.3</v>
      </c>
      <c r="J395" s="884">
        <f t="shared" si="282"/>
        <v>120</v>
      </c>
      <c r="K395" s="884">
        <f>$M$1</f>
        <v>358.32</v>
      </c>
      <c r="L395" s="885">
        <f t="shared" si="283"/>
        <v>0.33489618218352313</v>
      </c>
      <c r="M395" s="915">
        <f>IF(SUM(L395)&gt;0,J395/H395,"")</f>
        <v>0.03</v>
      </c>
    </row>
    <row r="396" spans="2:13" ht="13" x14ac:dyDescent="0.25">
      <c r="B396" s="882" t="s">
        <v>630</v>
      </c>
      <c r="C396" s="911" t="str">
        <f ca="1">IF(E396="","",MAX(INDIRECT(ADDRESS(ROW()-7,COLUMN())):INDIRECT(ADDRESS(ROW()-1,COLUMN())))+1)</f>
        <v/>
      </c>
      <c r="D396" s="881" t="s">
        <v>629</v>
      </c>
      <c r="E396" s="883"/>
      <c r="F396" s="884"/>
      <c r="G396" s="884"/>
      <c r="H396" s="884"/>
      <c r="I396" s="884"/>
      <c r="J396" s="884"/>
      <c r="K396" s="884"/>
      <c r="L396" s="885"/>
      <c r="M396" s="915"/>
    </row>
    <row r="397" spans="2:13" ht="50" x14ac:dyDescent="0.25">
      <c r="B397" s="887" t="s">
        <v>628</v>
      </c>
      <c r="C397" s="892">
        <f ca="1">IF(E397="","",MAX(INDIRECT(ADDRESS(ROW()-7,COLUMN())):INDIRECT(ADDRESS(ROW()-1,COLUMN())))+1)</f>
        <v>203</v>
      </c>
      <c r="D397" s="888" t="s">
        <v>1719</v>
      </c>
      <c r="E397" s="883" t="s">
        <v>577</v>
      </c>
      <c r="F397" s="884">
        <v>40</v>
      </c>
      <c r="G397" s="884">
        <v>1600</v>
      </c>
      <c r="H397" s="884">
        <f t="shared" ref="H397:H399" si="284">F397*G397</f>
        <v>64000</v>
      </c>
      <c r="I397" s="884">
        <f>_Gabion</f>
        <v>358</v>
      </c>
      <c r="J397" s="884">
        <f t="shared" ref="J397:J399" si="285">I397*F397</f>
        <v>14320</v>
      </c>
      <c r="K397" s="884">
        <f>$M$1</f>
        <v>358.32</v>
      </c>
      <c r="L397" s="885">
        <f t="shared" ref="L397:L399" si="286">J397/K397</f>
        <v>39.964277740567091</v>
      </c>
      <c r="M397" s="915">
        <f>IF(SUM(L397)&gt;0,J397/H397,"")</f>
        <v>0.22375</v>
      </c>
    </row>
    <row r="398" spans="2:13" ht="50" x14ac:dyDescent="0.25">
      <c r="B398" s="887" t="s">
        <v>627</v>
      </c>
      <c r="C398" s="892">
        <f ca="1">IF(E398="","",MAX(INDIRECT(ADDRESS(ROW()-7,COLUMN())):INDIRECT(ADDRESS(ROW()-1,COLUMN())))+1)</f>
        <v>204</v>
      </c>
      <c r="D398" s="888" t="s">
        <v>1720</v>
      </c>
      <c r="E398" s="883" t="s">
        <v>577</v>
      </c>
      <c r="F398" s="884">
        <v>324</v>
      </c>
      <c r="G398" s="884">
        <v>1600</v>
      </c>
      <c r="H398" s="884">
        <f t="shared" si="284"/>
        <v>518400</v>
      </c>
      <c r="I398" s="884">
        <f>_Gabion</f>
        <v>358</v>
      </c>
      <c r="J398" s="884">
        <f t="shared" si="285"/>
        <v>115992</v>
      </c>
      <c r="K398" s="884">
        <f>$M$1</f>
        <v>358.32</v>
      </c>
      <c r="L398" s="885">
        <f t="shared" si="286"/>
        <v>323.71064969859344</v>
      </c>
      <c r="M398" s="915">
        <f>IF(SUM(L398)&gt;0,J398/H398,"")</f>
        <v>0.22375</v>
      </c>
    </row>
    <row r="399" spans="2:13" ht="26" x14ac:dyDescent="0.25">
      <c r="B399" s="882" t="s">
        <v>626</v>
      </c>
      <c r="C399" s="892">
        <f ca="1">IF(E399="","",MAX(INDIRECT(ADDRESS(ROW()-7,COLUMN())):INDIRECT(ADDRESS(ROW()-1,COLUMN())))+1)</f>
        <v>205</v>
      </c>
      <c r="D399" s="881" t="s">
        <v>2164</v>
      </c>
      <c r="E399" s="883" t="s">
        <v>700</v>
      </c>
      <c r="F399" s="884">
        <v>1080</v>
      </c>
      <c r="G399" s="884">
        <v>18</v>
      </c>
      <c r="H399" s="884">
        <f t="shared" si="284"/>
        <v>19440</v>
      </c>
      <c r="I399" s="884">
        <f>_Geofabric</f>
        <v>6</v>
      </c>
      <c r="J399" s="884">
        <f t="shared" si="285"/>
        <v>6480</v>
      </c>
      <c r="K399" s="884">
        <f>$M$1</f>
        <v>358.32</v>
      </c>
      <c r="L399" s="885">
        <f t="shared" si="286"/>
        <v>18.084393837910248</v>
      </c>
      <c r="M399" s="915">
        <f>IF(SUM(L399)&gt;0,J399/H399,"")</f>
        <v>0.33333333333333331</v>
      </c>
    </row>
    <row r="400" spans="2:13" x14ac:dyDescent="0.25">
      <c r="B400" s="887"/>
      <c r="C400" s="892" t="str">
        <f ca="1">IF(E400="","",MAX(INDIRECT(ADDRESS(ROW()-7,COLUMN())):INDIRECT(ADDRESS(ROW()-1,COLUMN())))+1)</f>
        <v/>
      </c>
      <c r="D400" s="888"/>
      <c r="E400" s="883"/>
      <c r="F400" s="884"/>
      <c r="G400" s="884"/>
      <c r="H400" s="884"/>
      <c r="I400" s="884"/>
      <c r="J400" s="884"/>
      <c r="K400" s="884"/>
      <c r="L400" s="885"/>
      <c r="M400" s="915"/>
    </row>
    <row r="401" spans="2:13" ht="13" x14ac:dyDescent="0.25">
      <c r="B401" s="882" t="s">
        <v>810</v>
      </c>
      <c r="C401" s="911" t="str">
        <f ca="1">IF(E401="","",MAX(INDIRECT(ADDRESS(ROW()-7,COLUMN())):INDIRECT(ADDRESS(ROW()-1,COLUMN())))+1)</f>
        <v/>
      </c>
      <c r="D401" s="881" t="s">
        <v>809</v>
      </c>
      <c r="E401" s="883"/>
      <c r="F401" s="884"/>
      <c r="G401" s="884"/>
      <c r="H401" s="884"/>
      <c r="I401" s="884"/>
      <c r="J401" s="884"/>
      <c r="K401" s="884"/>
      <c r="L401" s="885"/>
      <c r="M401" s="915"/>
    </row>
    <row r="402" spans="2:13" ht="13" x14ac:dyDescent="0.25">
      <c r="B402" s="882" t="s">
        <v>669</v>
      </c>
      <c r="C402" s="911" t="str">
        <f ca="1">IF(E402="","",MAX(INDIRECT(ADDRESS(ROW()-7,COLUMN())):INDIRECT(ADDRESS(ROW()-1,COLUMN())))+1)</f>
        <v/>
      </c>
      <c r="D402" s="881" t="s">
        <v>668</v>
      </c>
      <c r="E402" s="883"/>
      <c r="F402" s="884"/>
      <c r="G402" s="884"/>
      <c r="H402" s="884"/>
      <c r="I402" s="884"/>
      <c r="J402" s="884"/>
      <c r="K402" s="884"/>
      <c r="L402" s="885"/>
      <c r="M402" s="915"/>
    </row>
    <row r="403" spans="2:13" ht="25" x14ac:dyDescent="0.25">
      <c r="B403" s="887" t="s">
        <v>650</v>
      </c>
      <c r="C403" s="892" t="str">
        <f ca="1">IF(E403="","",MAX(INDIRECT(ADDRESS(ROW()-7,COLUMN())):INDIRECT(ADDRESS(ROW()-1,COLUMN())))+1)</f>
        <v/>
      </c>
      <c r="D403" s="888" t="s">
        <v>667</v>
      </c>
      <c r="E403" s="883"/>
      <c r="F403" s="884"/>
      <c r="G403" s="884"/>
      <c r="H403" s="884"/>
      <c r="I403" s="884"/>
      <c r="J403" s="884"/>
      <c r="K403" s="884"/>
      <c r="L403" s="885"/>
      <c r="M403" s="915"/>
    </row>
    <row r="404" spans="2:13" x14ac:dyDescent="0.25">
      <c r="B404" s="887" t="s">
        <v>39</v>
      </c>
      <c r="C404" s="892">
        <f ca="1">IF(E404="","",MAX(INDIRECT(ADDRESS(ROW()-7,COLUMN())):INDIRECT(ADDRESS(ROW()-1,COLUMN())))+1)</f>
        <v>206</v>
      </c>
      <c r="D404" s="888" t="s">
        <v>649</v>
      </c>
      <c r="E404" s="883" t="s">
        <v>6</v>
      </c>
      <c r="F404" s="884">
        <v>1920</v>
      </c>
      <c r="G404" s="884">
        <v>500</v>
      </c>
      <c r="H404" s="884">
        <f t="shared" ref="H404:H405" si="287">F404*G404</f>
        <v>960000</v>
      </c>
      <c r="I404" s="884">
        <f>_GRail</f>
        <v>55.1</v>
      </c>
      <c r="J404" s="884">
        <f t="shared" ref="J404:J405" si="288">I404*F404</f>
        <v>105792</v>
      </c>
      <c r="K404" s="884">
        <f>$M$1</f>
        <v>358.32</v>
      </c>
      <c r="L404" s="885">
        <f t="shared" ref="L404:L405" si="289">J404/K404</f>
        <v>295.24447421299396</v>
      </c>
      <c r="M404" s="915">
        <f>IF(SUM(L404)&gt;0,J404/H404,"")</f>
        <v>0.11020000000000001</v>
      </c>
    </row>
    <row r="405" spans="2:13" ht="37.5" x14ac:dyDescent="0.25">
      <c r="B405" s="887" t="s">
        <v>43</v>
      </c>
      <c r="C405" s="892">
        <f ca="1">IF(E405="","",MAX(INDIRECT(ADDRESS(ROW()-7,COLUMN())):INDIRECT(ADDRESS(ROW()-1,COLUMN())))+1)</f>
        <v>207</v>
      </c>
      <c r="D405" s="888" t="s">
        <v>2010</v>
      </c>
      <c r="E405" s="883" t="s">
        <v>6</v>
      </c>
      <c r="F405" s="884">
        <v>10</v>
      </c>
      <c r="G405" s="884">
        <v>200</v>
      </c>
      <c r="H405" s="884">
        <f t="shared" si="287"/>
        <v>2000</v>
      </c>
      <c r="I405" s="884">
        <f>ROUND(Labour_perc_roads*G405,1)</f>
        <v>5.8</v>
      </c>
      <c r="J405" s="884">
        <f t="shared" si="288"/>
        <v>58</v>
      </c>
      <c r="K405" s="884">
        <f>$M$1</f>
        <v>358.32</v>
      </c>
      <c r="L405" s="885">
        <f t="shared" si="289"/>
        <v>0.16186648805536952</v>
      </c>
      <c r="M405" s="915">
        <f>IF(SUM(L405)&gt;0,J405/H405,"")</f>
        <v>2.9000000000000001E-2</v>
      </c>
    </row>
    <row r="406" spans="2:13" ht="25" x14ac:dyDescent="0.25">
      <c r="B406" s="887" t="s">
        <v>666</v>
      </c>
      <c r="C406" s="892" t="str">
        <f ca="1">IF(E406="","",MAX(INDIRECT(ADDRESS(ROW()-7,COLUMN())):INDIRECT(ADDRESS(ROW()-1,COLUMN())))+1)</f>
        <v/>
      </c>
      <c r="D406" s="888" t="s">
        <v>665</v>
      </c>
      <c r="E406" s="883"/>
      <c r="F406" s="884"/>
      <c r="G406" s="884"/>
      <c r="H406" s="884"/>
      <c r="I406" s="884"/>
      <c r="J406" s="884"/>
      <c r="K406" s="884"/>
      <c r="L406" s="885"/>
      <c r="M406" s="915"/>
    </row>
    <row r="407" spans="2:13" x14ac:dyDescent="0.25">
      <c r="B407" s="887" t="s">
        <v>39</v>
      </c>
      <c r="C407" s="892">
        <f ca="1">IF(E407="","",MAX(INDIRECT(ADDRESS(ROW()-7,COLUMN())):INDIRECT(ADDRESS(ROW()-1,COLUMN())))+1)</f>
        <v>208</v>
      </c>
      <c r="D407" s="888" t="s">
        <v>664</v>
      </c>
      <c r="E407" s="883" t="s">
        <v>34</v>
      </c>
      <c r="F407" s="884">
        <v>14</v>
      </c>
      <c r="G407" s="884">
        <v>750</v>
      </c>
      <c r="H407" s="884">
        <f t="shared" ref="H407" si="290">F407*G407</f>
        <v>10500</v>
      </c>
      <c r="I407" s="884">
        <f>ROUND(Labour_perc_roads*G407,1)</f>
        <v>21.8</v>
      </c>
      <c r="J407" s="884">
        <f t="shared" ref="J407" si="291">I407*F407</f>
        <v>305.2</v>
      </c>
      <c r="K407" s="884">
        <f>$M$1</f>
        <v>358.32</v>
      </c>
      <c r="L407" s="885">
        <f t="shared" ref="L407" si="292">J407/K407</f>
        <v>0.85175262335342705</v>
      </c>
      <c r="M407" s="915">
        <f>IF(SUM(L407)&gt;0,J407/H407,"")</f>
        <v>2.9066666666666664E-2</v>
      </c>
    </row>
    <row r="408" spans="2:13" ht="13" x14ac:dyDescent="0.25">
      <c r="B408" s="882" t="s">
        <v>663</v>
      </c>
      <c r="C408" s="911" t="str">
        <f ca="1">IF(E408="","",MAX(INDIRECT(ADDRESS(ROW()-7,COLUMN())):INDIRECT(ADDRESS(ROW()-1,COLUMN())))+1)</f>
        <v/>
      </c>
      <c r="D408" s="881" t="s">
        <v>662</v>
      </c>
      <c r="E408" s="883"/>
      <c r="F408" s="884"/>
      <c r="G408" s="884"/>
      <c r="H408" s="884"/>
      <c r="I408" s="884"/>
      <c r="J408" s="884"/>
      <c r="K408" s="884"/>
      <c r="L408" s="885"/>
      <c r="M408" s="915"/>
    </row>
    <row r="409" spans="2:13" ht="37.5" x14ac:dyDescent="0.25">
      <c r="B409" s="887" t="s">
        <v>661</v>
      </c>
      <c r="C409" s="892">
        <f ca="1">IF(E409="","",MAX(INDIRECT(ADDRESS(ROW()-7,COLUMN())):INDIRECT(ADDRESS(ROW()-1,COLUMN())))+1)</f>
        <v>209</v>
      </c>
      <c r="D409" s="888" t="s">
        <v>660</v>
      </c>
      <c r="E409" s="883" t="s">
        <v>6</v>
      </c>
      <c r="F409" s="884">
        <v>100</v>
      </c>
      <c r="G409" s="884">
        <v>300</v>
      </c>
      <c r="H409" s="884">
        <f t="shared" ref="H409" si="293">F409*G409</f>
        <v>30000</v>
      </c>
      <c r="I409" s="884">
        <f>ROUND(Labour_perc_roads*G409,1)</f>
        <v>8.6999999999999993</v>
      </c>
      <c r="J409" s="884">
        <f t="shared" ref="J409" si="294">I409*F409</f>
        <v>869.99999999999989</v>
      </c>
      <c r="K409" s="884">
        <f>$M$1</f>
        <v>358.32</v>
      </c>
      <c r="L409" s="885">
        <f t="shared" ref="L409" si="295">J409/K409</f>
        <v>2.4279973208305421</v>
      </c>
      <c r="M409" s="915">
        <f>IF(SUM(L409)&gt;0,J409/H409,"")</f>
        <v>2.8999999999999995E-2</v>
      </c>
    </row>
    <row r="410" spans="2:13" ht="26" x14ac:dyDescent="0.25">
      <c r="B410" s="882" t="s">
        <v>659</v>
      </c>
      <c r="C410" s="911" t="str">
        <f ca="1">IF(E410="","",MAX(INDIRECT(ADDRESS(ROW()-7,COLUMN())):INDIRECT(ADDRESS(ROW()-1,COLUMN())))+1)</f>
        <v/>
      </c>
      <c r="D410" s="881" t="s">
        <v>658</v>
      </c>
      <c r="E410" s="883"/>
      <c r="F410" s="884"/>
      <c r="G410" s="884"/>
      <c r="H410" s="884"/>
      <c r="I410" s="884"/>
      <c r="J410" s="884"/>
      <c r="K410" s="884"/>
      <c r="L410" s="885"/>
      <c r="M410" s="915"/>
    </row>
    <row r="411" spans="2:13" x14ac:dyDescent="0.25">
      <c r="B411" s="887" t="s">
        <v>657</v>
      </c>
      <c r="C411" s="892">
        <f ca="1">IF(E411="","",MAX(INDIRECT(ADDRESS(ROW()-7,COLUMN())):INDIRECT(ADDRESS(ROW()-1,COLUMN())))+1)</f>
        <v>210</v>
      </c>
      <c r="D411" s="888" t="s">
        <v>656</v>
      </c>
      <c r="E411" s="883" t="s">
        <v>34</v>
      </c>
      <c r="F411" s="884">
        <v>21</v>
      </c>
      <c r="G411" s="884">
        <v>350</v>
      </c>
      <c r="H411" s="884">
        <f t="shared" ref="H411" si="296">F411*G411</f>
        <v>7350</v>
      </c>
      <c r="I411" s="884">
        <f>_GPost</f>
        <v>179</v>
      </c>
      <c r="J411" s="884">
        <f t="shared" ref="J411" si="297">I411*F411</f>
        <v>3759</v>
      </c>
      <c r="K411" s="884">
        <f>$M$1</f>
        <v>358.32</v>
      </c>
      <c r="L411" s="885">
        <f t="shared" ref="L411" si="298">J411/K411</f>
        <v>10.490622906898862</v>
      </c>
      <c r="M411" s="915">
        <f>IF(SUM(L411)&gt;0,J411/H411,"")</f>
        <v>0.51142857142857145</v>
      </c>
    </row>
    <row r="412" spans="2:13" ht="13" x14ac:dyDescent="0.25">
      <c r="B412" s="882" t="s">
        <v>655</v>
      </c>
      <c r="C412" s="911" t="str">
        <f ca="1">IF(E412="","",MAX(INDIRECT(ADDRESS(ROW()-7,COLUMN())):INDIRECT(ADDRESS(ROW()-1,COLUMN())))+1)</f>
        <v/>
      </c>
      <c r="D412" s="881" t="s">
        <v>646</v>
      </c>
      <c r="E412" s="883"/>
      <c r="F412" s="884"/>
      <c r="G412" s="884"/>
      <c r="H412" s="884"/>
      <c r="I412" s="884"/>
      <c r="J412" s="884"/>
      <c r="K412" s="884"/>
      <c r="L412" s="885"/>
      <c r="M412" s="915"/>
    </row>
    <row r="413" spans="2:13" x14ac:dyDescent="0.25">
      <c r="B413" s="887" t="s">
        <v>654</v>
      </c>
      <c r="C413" s="892">
        <f ca="1">IF(E413="","",MAX(INDIRECT(ADDRESS(ROW()-7,COLUMN())):INDIRECT(ADDRESS(ROW()-1,COLUMN())))+1)</f>
        <v>211</v>
      </c>
      <c r="D413" s="888" t="s">
        <v>653</v>
      </c>
      <c r="E413" s="883" t="s">
        <v>34</v>
      </c>
      <c r="F413" s="884">
        <v>300</v>
      </c>
      <c r="G413" s="884">
        <v>35</v>
      </c>
      <c r="H413" s="884">
        <f t="shared" ref="H413:H414" si="299">F413*G413</f>
        <v>10500</v>
      </c>
      <c r="I413" s="884">
        <f>ROUND(Labour_perc_roads*G413,1)</f>
        <v>1</v>
      </c>
      <c r="J413" s="884">
        <f t="shared" ref="J413:J414" si="300">I413*F413</f>
        <v>300</v>
      </c>
      <c r="K413" s="884">
        <f>$M$1</f>
        <v>358.32</v>
      </c>
      <c r="L413" s="885">
        <f t="shared" ref="L413:L414" si="301">J413/K413</f>
        <v>0.83724045545880776</v>
      </c>
      <c r="M413" s="915">
        <f>IF(SUM(L413)&gt;0,J413/H413,"")</f>
        <v>2.8571428571428571E-2</v>
      </c>
    </row>
    <row r="414" spans="2:13" ht="13" x14ac:dyDescent="0.25">
      <c r="B414" s="882" t="s">
        <v>652</v>
      </c>
      <c r="C414" s="892">
        <f ca="1">IF(E414="","",MAX(INDIRECT(ADDRESS(ROW()-7,COLUMN())):INDIRECT(ADDRESS(ROW()-1,COLUMN())))+1)</f>
        <v>212</v>
      </c>
      <c r="D414" s="881" t="s">
        <v>651</v>
      </c>
      <c r="E414" s="883" t="s">
        <v>6</v>
      </c>
      <c r="F414" s="884">
        <v>100</v>
      </c>
      <c r="G414" s="884">
        <v>150</v>
      </c>
      <c r="H414" s="884">
        <f t="shared" si="299"/>
        <v>15000</v>
      </c>
      <c r="I414" s="884">
        <f>_GRail</f>
        <v>55.1</v>
      </c>
      <c r="J414" s="884">
        <f t="shared" si="300"/>
        <v>5510</v>
      </c>
      <c r="K414" s="884">
        <f>$M$1</f>
        <v>358.32</v>
      </c>
      <c r="L414" s="885">
        <f t="shared" si="301"/>
        <v>15.377316365260103</v>
      </c>
      <c r="M414" s="915">
        <f>IF(SUM(L414)&gt;0,J414/H414,"")</f>
        <v>0.36733333333333335</v>
      </c>
    </row>
    <row r="415" spans="2:13" ht="26" x14ac:dyDescent="0.25">
      <c r="B415" s="882" t="s">
        <v>648</v>
      </c>
      <c r="C415" s="911" t="str">
        <f ca="1">IF(E415="","",MAX(INDIRECT(ADDRESS(ROW()-7,COLUMN())):INDIRECT(ADDRESS(ROW()-1,COLUMN())))+1)</f>
        <v/>
      </c>
      <c r="D415" s="881" t="s">
        <v>647</v>
      </c>
      <c r="E415" s="883"/>
      <c r="F415" s="884"/>
      <c r="G415" s="884"/>
      <c r="H415" s="884"/>
      <c r="I415" s="884"/>
      <c r="J415" s="884"/>
      <c r="K415" s="884"/>
      <c r="L415" s="885"/>
      <c r="M415" s="915"/>
    </row>
    <row r="416" spans="2:13" x14ac:dyDescent="0.25">
      <c r="B416" s="887" t="s">
        <v>645</v>
      </c>
      <c r="C416" s="892">
        <f ca="1">IF(E416="","",MAX(INDIRECT(ADDRESS(ROW()-7,COLUMN())):INDIRECT(ADDRESS(ROW()-1,COLUMN())))+1)</f>
        <v>213</v>
      </c>
      <c r="D416" s="888" t="s">
        <v>644</v>
      </c>
      <c r="E416" s="883" t="s">
        <v>34</v>
      </c>
      <c r="F416" s="884">
        <v>300</v>
      </c>
      <c r="G416" s="884">
        <v>10</v>
      </c>
      <c r="H416" s="884">
        <f t="shared" ref="H416:H421" si="302">F416*G416</f>
        <v>3000</v>
      </c>
      <c r="I416" s="884">
        <f>ROUND(Labour_perc_roads*G416,1)</f>
        <v>0.3</v>
      </c>
      <c r="J416" s="884">
        <f t="shared" ref="J416:J421" si="303">I416*F416</f>
        <v>90</v>
      </c>
      <c r="K416" s="884">
        <f t="shared" ref="K416:K421" si="304">$M$1</f>
        <v>358.32</v>
      </c>
      <c r="L416" s="885">
        <f t="shared" ref="L416:L421" si="305">J416/K416</f>
        <v>0.25117213663764232</v>
      </c>
      <c r="M416" s="915">
        <f t="shared" ref="M416:M421" si="306">IF(SUM(L416)&gt;0,J416/H416,"")</f>
        <v>0.03</v>
      </c>
    </row>
    <row r="417" spans="2:13" ht="25" x14ac:dyDescent="0.25">
      <c r="B417" s="887" t="s">
        <v>643</v>
      </c>
      <c r="C417" s="892">
        <f ca="1">IF(E417="","",MAX(INDIRECT(ADDRESS(ROW()-7,COLUMN())):INDIRECT(ADDRESS(ROW()-1,COLUMN())))+1)</f>
        <v>214</v>
      </c>
      <c r="D417" s="888" t="s">
        <v>642</v>
      </c>
      <c r="E417" s="883" t="s">
        <v>34</v>
      </c>
      <c r="F417" s="884">
        <v>300</v>
      </c>
      <c r="G417" s="884">
        <v>15</v>
      </c>
      <c r="H417" s="884">
        <f t="shared" si="302"/>
        <v>4500</v>
      </c>
      <c r="I417" s="884">
        <f>ROUND(Labour_perc_roads*G417,1)</f>
        <v>0.4</v>
      </c>
      <c r="J417" s="884">
        <f t="shared" si="303"/>
        <v>120</v>
      </c>
      <c r="K417" s="884">
        <f t="shared" si="304"/>
        <v>358.32</v>
      </c>
      <c r="L417" s="885">
        <f t="shared" si="305"/>
        <v>0.33489618218352313</v>
      </c>
      <c r="M417" s="915">
        <f t="shared" si="306"/>
        <v>2.6666666666666668E-2</v>
      </c>
    </row>
    <row r="418" spans="2:13" ht="25" x14ac:dyDescent="0.25">
      <c r="B418" s="887" t="s">
        <v>641</v>
      </c>
      <c r="C418" s="892">
        <f ca="1">IF(E418="","",MAX(INDIRECT(ADDRESS(ROW()-7,COLUMN())):INDIRECT(ADDRESS(ROW()-1,COLUMN())))+1)</f>
        <v>215</v>
      </c>
      <c r="D418" s="888" t="s">
        <v>640</v>
      </c>
      <c r="E418" s="883" t="s">
        <v>34</v>
      </c>
      <c r="F418" s="884">
        <v>300</v>
      </c>
      <c r="G418" s="884">
        <v>25</v>
      </c>
      <c r="H418" s="884">
        <f t="shared" si="302"/>
        <v>7500</v>
      </c>
      <c r="I418" s="884">
        <f>ROUND(Labour_perc_roads*G418,1)</f>
        <v>0.7</v>
      </c>
      <c r="J418" s="884">
        <f t="shared" si="303"/>
        <v>210</v>
      </c>
      <c r="K418" s="884">
        <f t="shared" si="304"/>
        <v>358.32</v>
      </c>
      <c r="L418" s="885">
        <f t="shared" si="305"/>
        <v>0.5860683188211655</v>
      </c>
      <c r="M418" s="915">
        <f t="shared" si="306"/>
        <v>2.8000000000000001E-2</v>
      </c>
    </row>
    <row r="419" spans="2:13" x14ac:dyDescent="0.25">
      <c r="B419" s="887" t="s">
        <v>639</v>
      </c>
      <c r="C419" s="892">
        <f ca="1">IF(E419="","",MAX(INDIRECT(ADDRESS(ROW()-7,COLUMN())):INDIRECT(ADDRESS(ROW()-1,COLUMN())))+1)</f>
        <v>216</v>
      </c>
      <c r="D419" s="888" t="s">
        <v>2007</v>
      </c>
      <c r="E419" s="883" t="s">
        <v>34</v>
      </c>
      <c r="F419" s="884">
        <v>300</v>
      </c>
      <c r="G419" s="884">
        <v>10</v>
      </c>
      <c r="H419" s="884">
        <f t="shared" si="302"/>
        <v>3000</v>
      </c>
      <c r="I419" s="884">
        <f>ROUND(Labour_perc_roads*G419,1)</f>
        <v>0.3</v>
      </c>
      <c r="J419" s="884">
        <f t="shared" si="303"/>
        <v>90</v>
      </c>
      <c r="K419" s="884">
        <f t="shared" si="304"/>
        <v>358.32</v>
      </c>
      <c r="L419" s="885">
        <f t="shared" si="305"/>
        <v>0.25117213663764232</v>
      </c>
      <c r="M419" s="915">
        <f t="shared" si="306"/>
        <v>0.03</v>
      </c>
    </row>
    <row r="420" spans="2:13" ht="26" x14ac:dyDescent="0.25">
      <c r="B420" s="882" t="s">
        <v>638</v>
      </c>
      <c r="C420" s="892">
        <f ca="1">IF(E420="","",MAX(INDIRECT(ADDRESS(ROW()-7,COLUMN())):INDIRECT(ADDRESS(ROW()-1,COLUMN())))+1)</f>
        <v>217</v>
      </c>
      <c r="D420" s="881" t="s">
        <v>637</v>
      </c>
      <c r="E420" s="883" t="s">
        <v>34</v>
      </c>
      <c r="F420" s="884">
        <v>500</v>
      </c>
      <c r="G420" s="884">
        <v>12</v>
      </c>
      <c r="H420" s="884">
        <f t="shared" si="302"/>
        <v>6000</v>
      </c>
      <c r="I420" s="884">
        <f>ROUND(Labour_perc_roads*G420,1)</f>
        <v>0.3</v>
      </c>
      <c r="J420" s="884">
        <f t="shared" si="303"/>
        <v>150</v>
      </c>
      <c r="K420" s="884">
        <f t="shared" si="304"/>
        <v>358.32</v>
      </c>
      <c r="L420" s="885">
        <f t="shared" si="305"/>
        <v>0.41862022772940388</v>
      </c>
      <c r="M420" s="915">
        <f t="shared" si="306"/>
        <v>2.5000000000000001E-2</v>
      </c>
    </row>
    <row r="421" spans="2:13" ht="39" x14ac:dyDescent="0.25">
      <c r="B421" s="882" t="s">
        <v>2008</v>
      </c>
      <c r="C421" s="892">
        <f ca="1">IF(E421="","",MAX(INDIRECT(ADDRESS(ROW()-7,COLUMN())):INDIRECT(ADDRESS(ROW()-1,COLUMN())))+1)</f>
        <v>218</v>
      </c>
      <c r="D421" s="881" t="s">
        <v>2050</v>
      </c>
      <c r="E421" s="883" t="s">
        <v>799</v>
      </c>
      <c r="F421" s="884">
        <v>10</v>
      </c>
      <c r="G421" s="884">
        <v>1500</v>
      </c>
      <c r="H421" s="884">
        <f t="shared" si="302"/>
        <v>15000</v>
      </c>
      <c r="I421" s="884">
        <f>_Mix</f>
        <v>392</v>
      </c>
      <c r="J421" s="884">
        <f t="shared" si="303"/>
        <v>3920</v>
      </c>
      <c r="K421" s="884">
        <f t="shared" si="304"/>
        <v>358.32</v>
      </c>
      <c r="L421" s="885">
        <f t="shared" si="305"/>
        <v>10.939941951328422</v>
      </c>
      <c r="M421" s="915">
        <f t="shared" si="306"/>
        <v>0.26133333333333331</v>
      </c>
    </row>
    <row r="422" spans="2:13" x14ac:dyDescent="0.25">
      <c r="B422" s="887"/>
      <c r="C422" s="892" t="str">
        <f ca="1">IF(E422="","",MAX(INDIRECT(ADDRESS(ROW()-7,COLUMN())):INDIRECT(ADDRESS(ROW()-1,COLUMN())))+1)</f>
        <v/>
      </c>
      <c r="D422" s="888"/>
      <c r="E422" s="883"/>
      <c r="F422" s="884"/>
      <c r="G422" s="884"/>
      <c r="H422" s="884"/>
      <c r="I422" s="884"/>
      <c r="J422" s="884"/>
      <c r="K422" s="884"/>
      <c r="L422" s="885"/>
      <c r="M422" s="915"/>
    </row>
    <row r="423" spans="2:13" ht="13" x14ac:dyDescent="0.25">
      <c r="B423" s="882" t="s">
        <v>811</v>
      </c>
      <c r="C423" s="911" t="str">
        <f ca="1">IF(E423="","",MAX(INDIRECT(ADDRESS(ROW()-7,COLUMN())):INDIRECT(ADDRESS(ROW()-1,COLUMN())))+1)</f>
        <v/>
      </c>
      <c r="D423" s="881" t="s">
        <v>812</v>
      </c>
      <c r="E423" s="883"/>
      <c r="F423" s="884"/>
      <c r="G423" s="884"/>
      <c r="H423" s="884"/>
      <c r="I423" s="884"/>
      <c r="J423" s="884"/>
      <c r="K423" s="884"/>
      <c r="L423" s="885"/>
      <c r="M423" s="915"/>
    </row>
    <row r="424" spans="2:13" ht="26" x14ac:dyDescent="0.25">
      <c r="B424" s="882" t="s">
        <v>1893</v>
      </c>
      <c r="C424" s="892">
        <f ca="1">IF(E424="","",MAX(INDIRECT(ADDRESS(ROW()-7,COLUMN())):INDIRECT(ADDRESS(ROW()-1,COLUMN())))+1)</f>
        <v>219</v>
      </c>
      <c r="D424" s="881" t="s">
        <v>174</v>
      </c>
      <c r="E424" s="883" t="s">
        <v>22</v>
      </c>
      <c r="F424" s="884">
        <v>5</v>
      </c>
      <c r="G424" s="884">
        <v>5000</v>
      </c>
      <c r="H424" s="884">
        <f t="shared" ref="H424" si="307">F424*G424</f>
        <v>25000</v>
      </c>
      <c r="I424" s="884">
        <f>G424*30/100</f>
        <v>1500</v>
      </c>
      <c r="J424" s="884">
        <f t="shared" ref="J424" si="308">I424*F424</f>
        <v>7500</v>
      </c>
      <c r="K424" s="884">
        <f>$M$1</f>
        <v>358.32</v>
      </c>
      <c r="L424" s="885">
        <f t="shared" ref="L424" si="309">J424/K424</f>
        <v>20.931011386470196</v>
      </c>
      <c r="M424" s="915">
        <f>IF(SUM(L424)&gt;0,J424/H424,"")</f>
        <v>0.3</v>
      </c>
    </row>
    <row r="425" spans="2:13" ht="52" x14ac:dyDescent="0.25">
      <c r="B425" s="882" t="s">
        <v>688</v>
      </c>
      <c r="C425" s="911" t="str">
        <f ca="1">IF(E425="","",MAX(INDIRECT(ADDRESS(ROW()-7,COLUMN())):INDIRECT(ADDRESS(ROW()-1,COLUMN())))+1)</f>
        <v/>
      </c>
      <c r="D425" s="881" t="s">
        <v>687</v>
      </c>
      <c r="E425" s="883"/>
      <c r="F425" s="884"/>
      <c r="G425" s="884"/>
      <c r="H425" s="884"/>
      <c r="I425" s="884"/>
      <c r="J425" s="884"/>
      <c r="K425" s="884"/>
      <c r="L425" s="885"/>
      <c r="M425" s="915"/>
    </row>
    <row r="426" spans="2:13" ht="37.5" x14ac:dyDescent="0.25">
      <c r="B426" s="887" t="s">
        <v>686</v>
      </c>
      <c r="C426" s="892">
        <f ca="1">IF(E426="","",MAX(INDIRECT(ADDRESS(ROW()-7,COLUMN())):INDIRECT(ADDRESS(ROW()-1,COLUMN())))+1)</f>
        <v>220</v>
      </c>
      <c r="D426" s="888" t="s">
        <v>2077</v>
      </c>
      <c r="E426" s="883" t="s">
        <v>22</v>
      </c>
      <c r="F426" s="884">
        <v>20</v>
      </c>
      <c r="G426" s="884">
        <v>5000</v>
      </c>
      <c r="H426" s="884">
        <f t="shared" ref="H426:H428" si="310">F426*G426</f>
        <v>100000</v>
      </c>
      <c r="I426" s="884">
        <f>ROUND(12%*G426,1)</f>
        <v>600</v>
      </c>
      <c r="J426" s="884">
        <f t="shared" ref="J426:J428" si="311">I426*F426</f>
        <v>12000</v>
      </c>
      <c r="K426" s="884">
        <f>$M$1</f>
        <v>358.32</v>
      </c>
      <c r="L426" s="885">
        <f t="shared" ref="L426:L428" si="312">J426/K426</f>
        <v>33.489618218352312</v>
      </c>
      <c r="M426" s="915">
        <f>IF(SUM(L426)&gt;0,J426/H426,"")</f>
        <v>0.12</v>
      </c>
    </row>
    <row r="427" spans="2:13" ht="25" x14ac:dyDescent="0.25">
      <c r="B427" s="887" t="s">
        <v>685</v>
      </c>
      <c r="C427" s="892">
        <f ca="1">IF(E427="","",MAX(INDIRECT(ADDRESS(ROW()-7,COLUMN())):INDIRECT(ADDRESS(ROW()-1,COLUMN())))+1)</f>
        <v>221</v>
      </c>
      <c r="D427" s="888" t="s">
        <v>2078</v>
      </c>
      <c r="E427" s="883" t="s">
        <v>34</v>
      </c>
      <c r="F427" s="884">
        <v>480</v>
      </c>
      <c r="G427" s="884">
        <v>100</v>
      </c>
      <c r="H427" s="884">
        <f t="shared" si="310"/>
        <v>48000</v>
      </c>
      <c r="I427" s="884">
        <f>ROUND(12%*G427,1)</f>
        <v>12</v>
      </c>
      <c r="J427" s="884">
        <f t="shared" si="311"/>
        <v>5760</v>
      </c>
      <c r="K427" s="884">
        <f>$M$1</f>
        <v>358.32</v>
      </c>
      <c r="L427" s="885">
        <f t="shared" si="312"/>
        <v>16.075016744809108</v>
      </c>
      <c r="M427" s="915">
        <f>IF(SUM(L427)&gt;0,J427/H427,"")</f>
        <v>0.12</v>
      </c>
    </row>
    <row r="428" spans="2:13" ht="25" x14ac:dyDescent="0.25">
      <c r="B428" s="887" t="s">
        <v>684</v>
      </c>
      <c r="C428" s="892">
        <f ca="1">IF(E428="","",MAX(INDIRECT(ADDRESS(ROW()-7,COLUMN())):INDIRECT(ADDRESS(ROW()-1,COLUMN())))+1)</f>
        <v>222</v>
      </c>
      <c r="D428" s="888" t="s">
        <v>2079</v>
      </c>
      <c r="E428" s="883" t="s">
        <v>34</v>
      </c>
      <c r="F428" s="884">
        <v>1400</v>
      </c>
      <c r="G428" s="884">
        <v>20</v>
      </c>
      <c r="H428" s="884">
        <f t="shared" si="310"/>
        <v>28000</v>
      </c>
      <c r="I428" s="884">
        <f>ROUND(12%*G428,1)</f>
        <v>2.4</v>
      </c>
      <c r="J428" s="884">
        <f t="shared" si="311"/>
        <v>3360</v>
      </c>
      <c r="K428" s="884">
        <f>$M$1</f>
        <v>358.32</v>
      </c>
      <c r="L428" s="885">
        <f t="shared" si="312"/>
        <v>9.377093101138648</v>
      </c>
      <c r="M428" s="915">
        <f>IF(SUM(L428)&gt;0,J428/H428,"")</f>
        <v>0.12</v>
      </c>
    </row>
    <row r="429" spans="2:13" x14ac:dyDescent="0.25">
      <c r="B429" s="887" t="s">
        <v>683</v>
      </c>
      <c r="C429" s="892" t="str">
        <f ca="1">IF(E429="","",MAX(INDIRECT(ADDRESS(ROW()-7,COLUMN())):INDIRECT(ADDRESS(ROW()-1,COLUMN())))+1)</f>
        <v/>
      </c>
      <c r="D429" s="888" t="s">
        <v>682</v>
      </c>
      <c r="E429" s="883"/>
      <c r="F429" s="884"/>
      <c r="G429" s="884"/>
      <c r="H429" s="884"/>
      <c r="I429" s="884"/>
      <c r="J429" s="884"/>
      <c r="K429" s="884"/>
      <c r="L429" s="885"/>
      <c r="M429" s="915"/>
    </row>
    <row r="430" spans="2:13" x14ac:dyDescent="0.25">
      <c r="B430" s="887" t="s">
        <v>39</v>
      </c>
      <c r="C430" s="892" t="str">
        <f ca="1">IF(E430="","",MAX(INDIRECT(ADDRESS(ROW()-7,COLUMN())):INDIRECT(ADDRESS(ROW()-1,COLUMN())))+1)</f>
        <v/>
      </c>
      <c r="D430" s="888" t="s">
        <v>1854</v>
      </c>
      <c r="E430" s="883"/>
      <c r="F430" s="884"/>
      <c r="G430" s="884"/>
      <c r="H430" s="884"/>
      <c r="I430" s="884"/>
      <c r="J430" s="884"/>
      <c r="K430" s="884"/>
      <c r="L430" s="885"/>
      <c r="M430" s="915"/>
    </row>
    <row r="431" spans="2:13" ht="50" x14ac:dyDescent="0.25">
      <c r="B431" s="887" t="s">
        <v>235</v>
      </c>
      <c r="C431" s="892">
        <f ca="1">IF(E431="","",MAX(INDIRECT(ADDRESS(ROW()-7,COLUMN())):INDIRECT(ADDRESS(ROW()-1,COLUMN())))+1)</f>
        <v>223</v>
      </c>
      <c r="D431" s="888" t="s">
        <v>2080</v>
      </c>
      <c r="E431" s="883" t="s">
        <v>34</v>
      </c>
      <c r="F431" s="884">
        <v>40</v>
      </c>
      <c r="G431" s="884">
        <v>900</v>
      </c>
      <c r="H431" s="884">
        <f t="shared" ref="H431" si="313">F431*G431</f>
        <v>36000</v>
      </c>
      <c r="I431" s="884">
        <f>ROUND(12%*G431,1)</f>
        <v>108</v>
      </c>
      <c r="J431" s="884">
        <f t="shared" ref="J431" si="314">I431*F431</f>
        <v>4320</v>
      </c>
      <c r="K431" s="884">
        <f>$M$1</f>
        <v>358.32</v>
      </c>
      <c r="L431" s="885">
        <f t="shared" ref="L431" si="315">J431/K431</f>
        <v>12.056262558606832</v>
      </c>
      <c r="M431" s="915">
        <f>IF(SUM(L431)&gt;0,J431/H431,"")</f>
        <v>0.12</v>
      </c>
    </row>
    <row r="432" spans="2:13" x14ac:dyDescent="0.25">
      <c r="B432" s="887" t="s">
        <v>41</v>
      </c>
      <c r="C432" s="892" t="str">
        <f ca="1">IF(E432="","",MAX(INDIRECT(ADDRESS(ROW()-7,COLUMN())):INDIRECT(ADDRESS(ROW()-1,COLUMN())))+1)</f>
        <v/>
      </c>
      <c r="D432" s="888" t="s">
        <v>681</v>
      </c>
      <c r="E432" s="883"/>
      <c r="F432" s="884"/>
      <c r="G432" s="884"/>
      <c r="H432" s="884"/>
      <c r="I432" s="884"/>
      <c r="J432" s="884"/>
      <c r="K432" s="884"/>
      <c r="L432" s="885"/>
      <c r="M432" s="915"/>
    </row>
    <row r="433" spans="2:13" ht="62.5" x14ac:dyDescent="0.25">
      <c r="B433" s="887" t="s">
        <v>235</v>
      </c>
      <c r="C433" s="892">
        <f ca="1">IF(E433="","",MAX(INDIRECT(ADDRESS(ROW()-7,COLUMN())):INDIRECT(ADDRESS(ROW()-1,COLUMN())))+1)</f>
        <v>224</v>
      </c>
      <c r="D433" s="888" t="s">
        <v>2081</v>
      </c>
      <c r="E433" s="883" t="s">
        <v>34</v>
      </c>
      <c r="F433" s="884">
        <v>50</v>
      </c>
      <c r="G433" s="884">
        <v>900</v>
      </c>
      <c r="H433" s="884">
        <f t="shared" ref="H433:H434" si="316">F433*G433</f>
        <v>45000</v>
      </c>
      <c r="I433" s="884">
        <f>ROUND(12%*G433,1)</f>
        <v>108</v>
      </c>
      <c r="J433" s="884">
        <f t="shared" ref="J433:J434" si="317">I433*F433</f>
        <v>5400</v>
      </c>
      <c r="K433" s="884">
        <f>$M$1</f>
        <v>358.32</v>
      </c>
      <c r="L433" s="885">
        <f t="shared" ref="L433:L434" si="318">J433/K433</f>
        <v>15.07032819825854</v>
      </c>
      <c r="M433" s="915">
        <f>IF(SUM(L433)&gt;0,J433/H433,"")</f>
        <v>0.12</v>
      </c>
    </row>
    <row r="434" spans="2:13" ht="26" x14ac:dyDescent="0.25">
      <c r="B434" s="882" t="s">
        <v>680</v>
      </c>
      <c r="C434" s="892">
        <f ca="1">IF(E434="","",MAX(INDIRECT(ADDRESS(ROW()-7,COLUMN())):INDIRECT(ADDRESS(ROW()-1,COLUMN())))+1)</f>
        <v>225</v>
      </c>
      <c r="D434" s="881" t="s">
        <v>2082</v>
      </c>
      <c r="E434" s="883" t="s">
        <v>34</v>
      </c>
      <c r="F434" s="884">
        <v>5</v>
      </c>
      <c r="G434" s="884">
        <v>3500</v>
      </c>
      <c r="H434" s="884">
        <f t="shared" si="316"/>
        <v>17500</v>
      </c>
      <c r="I434" s="884">
        <f>ROUND(12%*G434,1)</f>
        <v>420</v>
      </c>
      <c r="J434" s="884">
        <f t="shared" si="317"/>
        <v>2100</v>
      </c>
      <c r="K434" s="884">
        <f>$M$1</f>
        <v>358.32</v>
      </c>
      <c r="L434" s="885">
        <f t="shared" si="318"/>
        <v>5.8606831882116541</v>
      </c>
      <c r="M434" s="915">
        <f>IF(SUM(L434)&gt;0,J434/H434,"")</f>
        <v>0.12</v>
      </c>
    </row>
    <row r="435" spans="2:13" ht="13" x14ac:dyDescent="0.25">
      <c r="B435" s="882" t="s">
        <v>2059</v>
      </c>
      <c r="C435" s="911" t="str">
        <f ca="1">IF(E435="","",MAX(INDIRECT(ADDRESS(ROW()-7,COLUMN())):INDIRECT(ADDRESS(ROW()-1,COLUMN())))+1)</f>
        <v/>
      </c>
      <c r="D435" s="881" t="s">
        <v>2060</v>
      </c>
      <c r="E435" s="883"/>
      <c r="F435" s="884"/>
      <c r="G435" s="884"/>
      <c r="H435" s="884"/>
      <c r="I435" s="884"/>
      <c r="J435" s="884"/>
      <c r="K435" s="884"/>
      <c r="L435" s="885"/>
      <c r="M435" s="915"/>
    </row>
    <row r="436" spans="2:13" x14ac:dyDescent="0.25">
      <c r="B436" s="887" t="s">
        <v>679</v>
      </c>
      <c r="C436" s="892" t="str">
        <f ca="1">IF(E436="","",MAX(INDIRECT(ADDRESS(ROW()-7,COLUMN())):INDIRECT(ADDRESS(ROW()-1,COLUMN())))+1)</f>
        <v/>
      </c>
      <c r="D436" s="888" t="s">
        <v>678</v>
      </c>
      <c r="E436" s="883"/>
      <c r="F436" s="884"/>
      <c r="G436" s="884"/>
      <c r="H436" s="884"/>
      <c r="I436" s="884"/>
      <c r="J436" s="884"/>
      <c r="K436" s="884"/>
      <c r="L436" s="885"/>
      <c r="M436" s="915"/>
    </row>
    <row r="437" spans="2:13" ht="25" x14ac:dyDescent="0.25">
      <c r="B437" s="887" t="s">
        <v>39</v>
      </c>
      <c r="C437" s="892">
        <f ca="1">IF(E437="","",MAX(INDIRECT(ADDRESS(ROW()-7,COLUMN())):INDIRECT(ADDRESS(ROW()-1,COLUMN())))+1)</f>
        <v>226</v>
      </c>
      <c r="D437" s="888" t="s">
        <v>2083</v>
      </c>
      <c r="E437" s="883" t="s">
        <v>22</v>
      </c>
      <c r="F437" s="884">
        <v>0.2</v>
      </c>
      <c r="G437" s="884">
        <v>100000</v>
      </c>
      <c r="H437" s="884">
        <f t="shared" ref="H437:H439" si="319">F437*G437</f>
        <v>20000</v>
      </c>
      <c r="I437" s="884">
        <f>ROUND(12%*G437,1)</f>
        <v>12000</v>
      </c>
      <c r="J437" s="884">
        <f t="shared" ref="J437:J439" si="320">I437*F437</f>
        <v>2400</v>
      </c>
      <c r="K437" s="884">
        <f>$M$1</f>
        <v>358.32</v>
      </c>
      <c r="L437" s="885">
        <f t="shared" ref="L437:L439" si="321">J437/K437</f>
        <v>6.6979236436704621</v>
      </c>
      <c r="M437" s="915">
        <f>IF(SUM(L437)&gt;0,J437/H437,"")</f>
        <v>0.12</v>
      </c>
    </row>
    <row r="438" spans="2:13" ht="50" x14ac:dyDescent="0.25">
      <c r="B438" s="887" t="s">
        <v>52</v>
      </c>
      <c r="C438" s="892">
        <f ca="1">IF(E438="","",MAX(INDIRECT(ADDRESS(ROW()-7,COLUMN())):INDIRECT(ADDRESS(ROW()-1,COLUMN())))+1)</f>
        <v>227</v>
      </c>
      <c r="D438" s="888" t="s">
        <v>2084</v>
      </c>
      <c r="E438" s="883" t="s">
        <v>22</v>
      </c>
      <c r="F438" s="884">
        <v>0.2</v>
      </c>
      <c r="G438" s="884">
        <v>100000</v>
      </c>
      <c r="H438" s="884">
        <f t="shared" si="319"/>
        <v>20000</v>
      </c>
      <c r="I438" s="884">
        <f>ROUND(12%*G438,1)</f>
        <v>12000</v>
      </c>
      <c r="J438" s="884">
        <f t="shared" si="320"/>
        <v>2400</v>
      </c>
      <c r="K438" s="884">
        <f>$M$1</f>
        <v>358.32</v>
      </c>
      <c r="L438" s="885">
        <f t="shared" si="321"/>
        <v>6.6979236436704621</v>
      </c>
      <c r="M438" s="915">
        <f>IF(SUM(L438)&gt;0,J438/H438,"")</f>
        <v>0.12</v>
      </c>
    </row>
    <row r="439" spans="2:13" ht="37.5" x14ac:dyDescent="0.25">
      <c r="B439" s="887" t="s">
        <v>43</v>
      </c>
      <c r="C439" s="892">
        <f ca="1">IF(E439="","",MAX(INDIRECT(ADDRESS(ROW()-7,COLUMN())):INDIRECT(ADDRESS(ROW()-1,COLUMN())))+1)</f>
        <v>228</v>
      </c>
      <c r="D439" s="888" t="s">
        <v>2085</v>
      </c>
      <c r="E439" s="883" t="s">
        <v>22</v>
      </c>
      <c r="F439" s="884">
        <v>0.12</v>
      </c>
      <c r="G439" s="884">
        <v>400000</v>
      </c>
      <c r="H439" s="884">
        <f t="shared" si="319"/>
        <v>48000</v>
      </c>
      <c r="I439" s="884">
        <f>ROUND(12%*G439,1)</f>
        <v>48000</v>
      </c>
      <c r="J439" s="884">
        <f t="shared" si="320"/>
        <v>5760</v>
      </c>
      <c r="K439" s="884">
        <f>$M$1</f>
        <v>358.32</v>
      </c>
      <c r="L439" s="885">
        <f t="shared" si="321"/>
        <v>16.075016744809108</v>
      </c>
      <c r="M439" s="915">
        <f>IF(SUM(L439)&gt;0,J439/H439,"")</f>
        <v>0.12</v>
      </c>
    </row>
    <row r="440" spans="2:13" ht="13" x14ac:dyDescent="0.25">
      <c r="B440" s="882" t="s">
        <v>677</v>
      </c>
      <c r="C440" s="911" t="str">
        <f ca="1">IF(E440="","",MAX(INDIRECT(ADDRESS(ROW()-7,COLUMN())):INDIRECT(ADDRESS(ROW()-1,COLUMN())))+1)</f>
        <v/>
      </c>
      <c r="D440" s="881" t="s">
        <v>676</v>
      </c>
      <c r="E440" s="883"/>
      <c r="F440" s="884"/>
      <c r="G440" s="884"/>
      <c r="H440" s="884"/>
      <c r="I440" s="884"/>
      <c r="J440" s="884"/>
      <c r="K440" s="884"/>
      <c r="L440" s="885"/>
      <c r="M440" s="915"/>
    </row>
    <row r="441" spans="2:13" ht="50" x14ac:dyDescent="0.25">
      <c r="B441" s="887" t="s">
        <v>675</v>
      </c>
      <c r="C441" s="892">
        <f ca="1">IF(E441="","",MAX(INDIRECT(ADDRESS(ROW()-7,COLUMN())):INDIRECT(ADDRESS(ROW()-1,COLUMN())))+1)</f>
        <v>229</v>
      </c>
      <c r="D441" s="888" t="s">
        <v>2086</v>
      </c>
      <c r="E441" s="883" t="s">
        <v>22</v>
      </c>
      <c r="F441" s="884">
        <v>0.2</v>
      </c>
      <c r="G441" s="884">
        <v>200000</v>
      </c>
      <c r="H441" s="884">
        <f t="shared" ref="H441:H442" si="322">F441*G441</f>
        <v>40000</v>
      </c>
      <c r="I441" s="884">
        <f>ROUND(12%*G441,1)</f>
        <v>24000</v>
      </c>
      <c r="J441" s="884">
        <f t="shared" ref="J441:J442" si="323">I441*F441</f>
        <v>4800</v>
      </c>
      <c r="K441" s="884">
        <f>$M$1</f>
        <v>358.32</v>
      </c>
      <c r="L441" s="885">
        <f t="shared" ref="L441:L442" si="324">J441/K441</f>
        <v>13.395847287340924</v>
      </c>
      <c r="M441" s="915">
        <f>IF(SUM(L441)&gt;0,J441/H441,"")</f>
        <v>0.12</v>
      </c>
    </row>
    <row r="442" spans="2:13" ht="50" x14ac:dyDescent="0.25">
      <c r="B442" s="887" t="s">
        <v>674</v>
      </c>
      <c r="C442" s="892">
        <f ca="1">IF(E442="","",MAX(INDIRECT(ADDRESS(ROW()-7,COLUMN())):INDIRECT(ADDRESS(ROW()-1,COLUMN())))+1)</f>
        <v>230</v>
      </c>
      <c r="D442" s="888" t="s">
        <v>2087</v>
      </c>
      <c r="E442" s="883" t="s">
        <v>22</v>
      </c>
      <c r="F442" s="884">
        <v>0.2</v>
      </c>
      <c r="G442" s="884">
        <v>650000</v>
      </c>
      <c r="H442" s="884">
        <f t="shared" si="322"/>
        <v>130000</v>
      </c>
      <c r="I442" s="884">
        <f>ROUND(12%*G442,1)</f>
        <v>78000</v>
      </c>
      <c r="J442" s="884">
        <f t="shared" si="323"/>
        <v>15600</v>
      </c>
      <c r="K442" s="884">
        <f>$M$1</f>
        <v>358.32</v>
      </c>
      <c r="L442" s="885">
        <f t="shared" si="324"/>
        <v>43.536503683858008</v>
      </c>
      <c r="M442" s="915">
        <f>IF(SUM(L442)&gt;0,J442/H442,"")</f>
        <v>0.12</v>
      </c>
    </row>
    <row r="443" spans="2:13" x14ac:dyDescent="0.25">
      <c r="B443" s="887" t="s">
        <v>673</v>
      </c>
      <c r="C443" s="892" t="str">
        <f ca="1">IF(E443="","",MAX(INDIRECT(ADDRESS(ROW()-7,COLUMN())):INDIRECT(ADDRESS(ROW()-1,COLUMN())))+1)</f>
        <v/>
      </c>
      <c r="D443" s="888" t="s">
        <v>1894</v>
      </c>
      <c r="E443" s="883"/>
      <c r="F443" s="884"/>
      <c r="G443" s="884"/>
      <c r="H443" s="884"/>
      <c r="I443" s="884"/>
      <c r="J443" s="884"/>
      <c r="K443" s="884"/>
      <c r="L443" s="885"/>
      <c r="M443" s="915"/>
    </row>
    <row r="444" spans="2:13" ht="37.5" x14ac:dyDescent="0.25">
      <c r="B444" s="887" t="s">
        <v>39</v>
      </c>
      <c r="C444" s="892">
        <f ca="1">IF(E444="","",MAX(INDIRECT(ADDRESS(ROW()-7,COLUMN())):INDIRECT(ADDRESS(ROW()-1,COLUMN())))+1)</f>
        <v>231</v>
      </c>
      <c r="D444" s="888" t="s">
        <v>1787</v>
      </c>
      <c r="E444" s="883" t="s">
        <v>672</v>
      </c>
      <c r="F444" s="884">
        <v>5</v>
      </c>
      <c r="G444" s="884">
        <v>2500</v>
      </c>
      <c r="H444" s="884">
        <f t="shared" ref="H444:H447" si="325">F444*G444</f>
        <v>12500</v>
      </c>
      <c r="I444" s="884">
        <f>ROUND(12%*G444,1)</f>
        <v>300</v>
      </c>
      <c r="J444" s="884">
        <f t="shared" ref="J444:J447" si="326">I444*F444</f>
        <v>1500</v>
      </c>
      <c r="K444" s="884">
        <f>$M$1</f>
        <v>358.32</v>
      </c>
      <c r="L444" s="885">
        <f t="shared" ref="L444:L447" si="327">J444/K444</f>
        <v>4.186202277294039</v>
      </c>
      <c r="M444" s="915">
        <f>IF(SUM(L444)&gt;0,J444/H444,"")</f>
        <v>0.12</v>
      </c>
    </row>
    <row r="445" spans="2:13" ht="50" x14ac:dyDescent="0.25">
      <c r="B445" s="887" t="s">
        <v>41</v>
      </c>
      <c r="C445" s="892">
        <f ca="1">IF(E445="","",MAX(INDIRECT(ADDRESS(ROW()-7,COLUMN())):INDIRECT(ADDRESS(ROW()-1,COLUMN())))+1)</f>
        <v>232</v>
      </c>
      <c r="D445" s="888" t="s">
        <v>1788</v>
      </c>
      <c r="E445" s="883" t="s">
        <v>672</v>
      </c>
      <c r="F445" s="884">
        <v>2</v>
      </c>
      <c r="G445" s="884">
        <v>4000</v>
      </c>
      <c r="H445" s="884">
        <f t="shared" si="325"/>
        <v>8000</v>
      </c>
      <c r="I445" s="884">
        <f>ROUND(12%*G445,1)</f>
        <v>480</v>
      </c>
      <c r="J445" s="884">
        <f t="shared" si="326"/>
        <v>960</v>
      </c>
      <c r="K445" s="884">
        <f>$M$1</f>
        <v>358.32</v>
      </c>
      <c r="L445" s="885">
        <f t="shared" si="327"/>
        <v>2.679169457468185</v>
      </c>
      <c r="M445" s="915">
        <f>IF(SUM(L445)&gt;0,J445/H445,"")</f>
        <v>0.12</v>
      </c>
    </row>
    <row r="446" spans="2:13" ht="26" x14ac:dyDescent="0.25">
      <c r="B446" s="882" t="s">
        <v>671</v>
      </c>
      <c r="C446" s="892">
        <f ca="1">IF(E446="","",MAX(INDIRECT(ADDRESS(ROW()-7,COLUMN())):INDIRECT(ADDRESS(ROW()-1,COLUMN())))+1)</f>
        <v>233</v>
      </c>
      <c r="D446" s="881" t="s">
        <v>670</v>
      </c>
      <c r="E446" s="883" t="s">
        <v>34</v>
      </c>
      <c r="F446" s="884">
        <v>20</v>
      </c>
      <c r="G446" s="884">
        <v>100</v>
      </c>
      <c r="H446" s="884">
        <f t="shared" si="325"/>
        <v>2000</v>
      </c>
      <c r="I446" s="884">
        <f>ROUND(12%*G446,1)</f>
        <v>12</v>
      </c>
      <c r="J446" s="884">
        <f t="shared" si="326"/>
        <v>240</v>
      </c>
      <c r="K446" s="884">
        <f>$M$1</f>
        <v>358.32</v>
      </c>
      <c r="L446" s="885">
        <f t="shared" si="327"/>
        <v>0.66979236436704626</v>
      </c>
      <c r="M446" s="915">
        <f>IF(SUM(L446)&gt;0,J446/H446,"")</f>
        <v>0.12</v>
      </c>
    </row>
    <row r="447" spans="2:13" ht="65" x14ac:dyDescent="0.25">
      <c r="B447" s="882" t="s">
        <v>2089</v>
      </c>
      <c r="C447" s="892">
        <f ca="1">IF(E447="","",MAX(INDIRECT(ADDRESS(ROW()-7,COLUMN())):INDIRECT(ADDRESS(ROW()-1,COLUMN())))+1)</f>
        <v>234</v>
      </c>
      <c r="D447" s="881" t="s">
        <v>2088</v>
      </c>
      <c r="E447" s="883" t="s">
        <v>556</v>
      </c>
      <c r="F447" s="884">
        <v>220000</v>
      </c>
      <c r="G447" s="884">
        <v>1</v>
      </c>
      <c r="H447" s="884">
        <f t="shared" si="325"/>
        <v>220000</v>
      </c>
      <c r="I447" s="884">
        <f>ROUND(20%*G447,2)</f>
        <v>0.2</v>
      </c>
      <c r="J447" s="884">
        <f t="shared" si="326"/>
        <v>44000</v>
      </c>
      <c r="K447" s="884">
        <f>$M$1</f>
        <v>358.32</v>
      </c>
      <c r="L447" s="885">
        <f t="shared" si="327"/>
        <v>122.79526680062514</v>
      </c>
      <c r="M447" s="915">
        <f>IF(SUM(L447)&gt;0,J447/H447,"")</f>
        <v>0.2</v>
      </c>
    </row>
    <row r="448" spans="2:13" x14ac:dyDescent="0.25">
      <c r="B448" s="887"/>
      <c r="C448" s="892" t="str">
        <f ca="1">IF(E448="","",MAX(INDIRECT(ADDRESS(ROW()-7,COLUMN())):INDIRECT(ADDRESS(ROW()-1,COLUMN())))+1)</f>
        <v/>
      </c>
      <c r="D448" s="888"/>
      <c r="E448" s="883"/>
      <c r="F448" s="884"/>
      <c r="G448" s="884"/>
      <c r="H448" s="884"/>
      <c r="I448" s="884"/>
      <c r="J448" s="884"/>
      <c r="K448" s="884"/>
      <c r="L448" s="885"/>
      <c r="M448" s="915"/>
    </row>
    <row r="449" spans="2:13" ht="13" x14ac:dyDescent="0.25">
      <c r="B449" s="882" t="s">
        <v>719</v>
      </c>
      <c r="C449" s="911" t="str">
        <f ca="1">IF(E449="","",MAX(INDIRECT(ADDRESS(ROW()-7,COLUMN())):INDIRECT(ADDRESS(ROW()-1,COLUMN())))+1)</f>
        <v/>
      </c>
      <c r="D449" s="881" t="s">
        <v>718</v>
      </c>
      <c r="E449" s="883"/>
      <c r="F449" s="884"/>
      <c r="G449" s="884"/>
      <c r="H449" s="884"/>
      <c r="I449" s="884"/>
      <c r="J449" s="884"/>
      <c r="K449" s="884"/>
      <c r="L449" s="885"/>
      <c r="M449" s="915"/>
    </row>
    <row r="450" spans="2:13" ht="65" x14ac:dyDescent="0.25">
      <c r="B450" s="882" t="s">
        <v>717</v>
      </c>
      <c r="C450" s="911" t="str">
        <f ca="1">IF(E450="","",MAX(INDIRECT(ADDRESS(ROW()-7,COLUMN())):INDIRECT(ADDRESS(ROW()-1,COLUMN())))+1)</f>
        <v/>
      </c>
      <c r="D450" s="881" t="s">
        <v>716</v>
      </c>
      <c r="E450" s="883"/>
      <c r="F450" s="884"/>
      <c r="G450" s="884"/>
      <c r="H450" s="884"/>
      <c r="I450" s="884"/>
      <c r="J450" s="884"/>
      <c r="K450" s="884"/>
      <c r="L450" s="885"/>
      <c r="M450" s="915"/>
    </row>
    <row r="451" spans="2:13" x14ac:dyDescent="0.25">
      <c r="B451" s="887" t="s">
        <v>715</v>
      </c>
      <c r="C451" s="892" t="str">
        <f ca="1">IF(E451="","",MAX(INDIRECT(ADDRESS(ROW()-7,COLUMN())):INDIRECT(ADDRESS(ROW()-1,COLUMN())))+1)</f>
        <v/>
      </c>
      <c r="D451" s="888" t="s">
        <v>714</v>
      </c>
      <c r="E451" s="883"/>
      <c r="F451" s="884"/>
      <c r="G451" s="884"/>
      <c r="H451" s="884"/>
      <c r="I451" s="884"/>
      <c r="J451" s="884"/>
      <c r="K451" s="884"/>
      <c r="L451" s="885"/>
      <c r="M451" s="915"/>
    </row>
    <row r="452" spans="2:13" x14ac:dyDescent="0.25">
      <c r="B452" s="887" t="s">
        <v>41</v>
      </c>
      <c r="C452" s="892">
        <f ca="1">IF(E452="","",MAX(INDIRECT(ADDRESS(ROW()-7,COLUMN())):INDIRECT(ADDRESS(ROW()-1,COLUMN())))+1)</f>
        <v>235</v>
      </c>
      <c r="D452" s="888" t="s">
        <v>2165</v>
      </c>
      <c r="E452" s="883" t="s">
        <v>700</v>
      </c>
      <c r="F452" s="884">
        <v>40</v>
      </c>
      <c r="G452" s="884">
        <v>900</v>
      </c>
      <c r="H452" s="884">
        <f t="shared" ref="H452" si="328">F452*G452</f>
        <v>36000</v>
      </c>
      <c r="I452" s="884">
        <f>_Sign</f>
        <v>90</v>
      </c>
      <c r="J452" s="884">
        <f t="shared" ref="J452" si="329">I452*F452</f>
        <v>3600</v>
      </c>
      <c r="K452" s="884">
        <f>$M$1</f>
        <v>358.32</v>
      </c>
      <c r="L452" s="885">
        <f t="shared" ref="L452" si="330">J452/K452</f>
        <v>10.046885465505694</v>
      </c>
      <c r="M452" s="915">
        <f>IF(SUM(L452)&gt;0,J452/H452,"")</f>
        <v>0.1</v>
      </c>
    </row>
    <row r="453" spans="2:13" x14ac:dyDescent="0.25">
      <c r="B453" s="887" t="s">
        <v>712</v>
      </c>
      <c r="C453" s="892" t="str">
        <f ca="1">IF(E453="","",MAX(INDIRECT(ADDRESS(ROW()-7,COLUMN())):INDIRECT(ADDRESS(ROW()-1,COLUMN())))+1)</f>
        <v/>
      </c>
      <c r="D453" s="888" t="s">
        <v>711</v>
      </c>
      <c r="E453" s="883"/>
      <c r="F453" s="884"/>
      <c r="G453" s="884"/>
      <c r="H453" s="884"/>
      <c r="I453" s="884"/>
      <c r="J453" s="884"/>
      <c r="K453" s="884"/>
      <c r="L453" s="885"/>
      <c r="M453" s="915"/>
    </row>
    <row r="454" spans="2:13" ht="25" x14ac:dyDescent="0.25">
      <c r="B454" s="887" t="s">
        <v>39</v>
      </c>
      <c r="C454" s="892">
        <f ca="1">IF(E454="","",MAX(INDIRECT(ADDRESS(ROW()-7,COLUMN())):INDIRECT(ADDRESS(ROW()-1,COLUMN())))+1)</f>
        <v>236</v>
      </c>
      <c r="D454" s="888" t="s">
        <v>2166</v>
      </c>
      <c r="E454" s="883" t="s">
        <v>34</v>
      </c>
      <c r="F454" s="884">
        <v>16</v>
      </c>
      <c r="G454" s="884">
        <v>900</v>
      </c>
      <c r="H454" s="884">
        <f t="shared" ref="H454:H455" si="331">F454*G454</f>
        <v>14400</v>
      </c>
      <c r="I454" s="884">
        <f>_Sign</f>
        <v>90</v>
      </c>
      <c r="J454" s="884">
        <f t="shared" ref="J454:J455" si="332">I454*F454</f>
        <v>1440</v>
      </c>
      <c r="K454" s="884">
        <f>$M$1</f>
        <v>358.32</v>
      </c>
      <c r="L454" s="885">
        <f t="shared" ref="L454:L455" si="333">J454/K454</f>
        <v>4.0187541862022771</v>
      </c>
      <c r="M454" s="915">
        <f>IF(SUM(L454)&gt;0,J454/H454,"")</f>
        <v>0.1</v>
      </c>
    </row>
    <row r="455" spans="2:13" ht="25" x14ac:dyDescent="0.25">
      <c r="B455" s="887" t="s">
        <v>41</v>
      </c>
      <c r="C455" s="892">
        <f ca="1">IF(E455="","",MAX(INDIRECT(ADDRESS(ROW()-7,COLUMN())):INDIRECT(ADDRESS(ROW()-1,COLUMN())))+1)</f>
        <v>237</v>
      </c>
      <c r="D455" s="888" t="s">
        <v>1989</v>
      </c>
      <c r="E455" s="883" t="s">
        <v>34</v>
      </c>
      <c r="F455" s="884">
        <v>16</v>
      </c>
      <c r="G455" s="884">
        <v>1100</v>
      </c>
      <c r="H455" s="884">
        <f t="shared" si="331"/>
        <v>17600</v>
      </c>
      <c r="I455" s="884">
        <f>_Sign</f>
        <v>90</v>
      </c>
      <c r="J455" s="884">
        <f t="shared" si="332"/>
        <v>1440</v>
      </c>
      <c r="K455" s="884">
        <f>$M$1</f>
        <v>358.32</v>
      </c>
      <c r="L455" s="885">
        <f t="shared" si="333"/>
        <v>4.0187541862022771</v>
      </c>
      <c r="M455" s="915">
        <f>IF(SUM(L455)&gt;0,J455/H455,"")</f>
        <v>8.1818181818181818E-2</v>
      </c>
    </row>
    <row r="456" spans="2:13" x14ac:dyDescent="0.25">
      <c r="B456" s="887" t="s">
        <v>708</v>
      </c>
      <c r="C456" s="892" t="str">
        <f ca="1">IF(E456="","",MAX(INDIRECT(ADDRESS(ROW()-7,COLUMN())):INDIRECT(ADDRESS(ROW()-1,COLUMN())))+1)</f>
        <v/>
      </c>
      <c r="D456" s="888" t="s">
        <v>707</v>
      </c>
      <c r="E456" s="883"/>
      <c r="F456" s="884"/>
      <c r="G456" s="884"/>
      <c r="H456" s="884"/>
      <c r="I456" s="884"/>
      <c r="J456" s="884"/>
      <c r="K456" s="884"/>
      <c r="L456" s="885"/>
      <c r="M456" s="915"/>
    </row>
    <row r="457" spans="2:13" ht="25" x14ac:dyDescent="0.25">
      <c r="B457" s="887" t="s">
        <v>52</v>
      </c>
      <c r="C457" s="892">
        <f ca="1">IF(E457="","",MAX(INDIRECT(ADDRESS(ROW()-7,COLUMN())):INDIRECT(ADDRESS(ROW()-1,COLUMN())))+1)</f>
        <v>238</v>
      </c>
      <c r="D457" s="888" t="s">
        <v>2167</v>
      </c>
      <c r="E457" s="883" t="s">
        <v>34</v>
      </c>
      <c r="F457" s="884">
        <v>16</v>
      </c>
      <c r="G457" s="884">
        <v>800</v>
      </c>
      <c r="H457" s="884">
        <f t="shared" ref="H457" si="334">F457*G457</f>
        <v>12800</v>
      </c>
      <c r="I457" s="884">
        <f>_Sign</f>
        <v>90</v>
      </c>
      <c r="J457" s="884">
        <f t="shared" ref="J457" si="335">I457*F457</f>
        <v>1440</v>
      </c>
      <c r="K457" s="884">
        <f>$M$1</f>
        <v>358.32</v>
      </c>
      <c r="L457" s="885">
        <f t="shared" ref="L457" si="336">J457/K457</f>
        <v>4.0187541862022771</v>
      </c>
      <c r="M457" s="915">
        <f>IF(SUM(L457)&gt;0,J457/H457,"")</f>
        <v>0.1125</v>
      </c>
    </row>
    <row r="458" spans="2:13" ht="26" x14ac:dyDescent="0.25">
      <c r="B458" s="882" t="s">
        <v>703</v>
      </c>
      <c r="C458" s="911" t="str">
        <f ca="1">IF(E458="","",MAX(INDIRECT(ADDRESS(ROW()-7,COLUMN())):INDIRECT(ADDRESS(ROW()-1,COLUMN())))+1)</f>
        <v/>
      </c>
      <c r="D458" s="881" t="s">
        <v>702</v>
      </c>
      <c r="E458" s="883"/>
      <c r="F458" s="884"/>
      <c r="G458" s="884"/>
      <c r="H458" s="884"/>
      <c r="I458" s="884"/>
      <c r="J458" s="884"/>
      <c r="K458" s="884"/>
      <c r="L458" s="885"/>
      <c r="M458" s="915"/>
    </row>
    <row r="459" spans="2:13" x14ac:dyDescent="0.25">
      <c r="B459" s="887" t="s">
        <v>701</v>
      </c>
      <c r="C459" s="892" t="str">
        <f ca="1">IF(E459="","",MAX(INDIRECT(ADDRESS(ROW()-7,COLUMN())):INDIRECT(ADDRESS(ROW()-1,COLUMN())))+1)</f>
        <v/>
      </c>
      <c r="D459" s="888" t="s">
        <v>656</v>
      </c>
      <c r="E459" s="883"/>
      <c r="F459" s="884"/>
      <c r="G459" s="884"/>
      <c r="H459" s="884"/>
      <c r="I459" s="884"/>
      <c r="J459" s="884"/>
      <c r="K459" s="884"/>
      <c r="L459" s="885"/>
      <c r="M459" s="915"/>
    </row>
    <row r="460" spans="2:13" ht="25" x14ac:dyDescent="0.25">
      <c r="B460" s="887" t="s">
        <v>39</v>
      </c>
      <c r="C460" s="892">
        <f ca="1">IF(E460="","",MAX(INDIRECT(ADDRESS(ROW()-7,COLUMN())):INDIRECT(ADDRESS(ROW()-1,COLUMN())))+1)</f>
        <v>239</v>
      </c>
      <c r="D460" s="888" t="s">
        <v>1722</v>
      </c>
      <c r="E460" s="883" t="s">
        <v>6</v>
      </c>
      <c r="F460" s="884">
        <v>60</v>
      </c>
      <c r="G460" s="884">
        <v>180</v>
      </c>
      <c r="H460" s="884">
        <f t="shared" ref="H460" si="337">F460*G460</f>
        <v>10800</v>
      </c>
      <c r="I460" s="884">
        <f>ROUND(Labour_perc_roads*G460,1)</f>
        <v>5.2</v>
      </c>
      <c r="J460" s="884">
        <f t="shared" ref="J460" si="338">I460*F460</f>
        <v>312</v>
      </c>
      <c r="K460" s="884">
        <f>$M$1</f>
        <v>358.32</v>
      </c>
      <c r="L460" s="885">
        <f t="shared" ref="L460" si="339">J460/K460</f>
        <v>0.87073007367716004</v>
      </c>
      <c r="M460" s="915">
        <f>IF(SUM(L460)&gt;0,J460/H460,"")</f>
        <v>2.8888888888888888E-2</v>
      </c>
    </row>
    <row r="461" spans="2:13" ht="26" x14ac:dyDescent="0.25">
      <c r="B461" s="882" t="s">
        <v>699</v>
      </c>
      <c r="C461" s="911" t="str">
        <f ca="1">IF(E461="","",MAX(INDIRECT(ADDRESS(ROW()-7,COLUMN())):INDIRECT(ADDRESS(ROW()-1,COLUMN())))+1)</f>
        <v/>
      </c>
      <c r="D461" s="881" t="s">
        <v>698</v>
      </c>
      <c r="E461" s="883"/>
      <c r="F461" s="884"/>
      <c r="G461" s="884"/>
      <c r="H461" s="884"/>
      <c r="I461" s="884"/>
      <c r="J461" s="884"/>
      <c r="K461" s="884"/>
      <c r="L461" s="885"/>
      <c r="M461" s="915"/>
    </row>
    <row r="462" spans="2:13" ht="37.5" x14ac:dyDescent="0.25">
      <c r="B462" s="887" t="s">
        <v>697</v>
      </c>
      <c r="C462" s="892">
        <f ca="1">IF(E462="","",MAX(INDIRECT(ADDRESS(ROW()-7,COLUMN())):INDIRECT(ADDRESS(ROW()-1,COLUMN())))+1)</f>
        <v>240</v>
      </c>
      <c r="D462" s="888" t="s">
        <v>696</v>
      </c>
      <c r="E462" s="883" t="s">
        <v>577</v>
      </c>
      <c r="F462" s="884">
        <v>10</v>
      </c>
      <c r="G462" s="884">
        <v>300</v>
      </c>
      <c r="H462" s="884">
        <f t="shared" ref="H462:H464" si="340">F462*G462</f>
        <v>3000</v>
      </c>
      <c r="I462" s="884">
        <f>_Excavation+_Backfill</f>
        <v>202</v>
      </c>
      <c r="J462" s="884">
        <f t="shared" ref="J462:J464" si="341">I462*F462</f>
        <v>2020</v>
      </c>
      <c r="K462" s="884">
        <f>$M$1</f>
        <v>358.32</v>
      </c>
      <c r="L462" s="885">
        <f t="shared" ref="L462:L464" si="342">J462/K462</f>
        <v>5.6374190667559727</v>
      </c>
      <c r="M462" s="915">
        <f>IF(SUM(L462)&gt;0,J462/H462,"")</f>
        <v>0.67333333333333334</v>
      </c>
    </row>
    <row r="463" spans="2:13" ht="25" x14ac:dyDescent="0.25">
      <c r="B463" s="887" t="s">
        <v>695</v>
      </c>
      <c r="C463" s="892">
        <f ca="1">IF(E463="","",MAX(INDIRECT(ADDRESS(ROW()-7,COLUMN())):INDIRECT(ADDRESS(ROW()-1,COLUMN())))+1)</f>
        <v>241</v>
      </c>
      <c r="D463" s="888" t="s">
        <v>694</v>
      </c>
      <c r="E463" s="883" t="s">
        <v>577</v>
      </c>
      <c r="F463" s="884">
        <v>4</v>
      </c>
      <c r="G463" s="884">
        <v>300</v>
      </c>
      <c r="H463" s="884">
        <f t="shared" si="340"/>
        <v>1200</v>
      </c>
      <c r="I463" s="884">
        <f>ROUND(Labour_perc_roads*G463,1)</f>
        <v>8.6999999999999993</v>
      </c>
      <c r="J463" s="884">
        <f t="shared" si="341"/>
        <v>34.799999999999997</v>
      </c>
      <c r="K463" s="884">
        <f>$M$1</f>
        <v>358.32</v>
      </c>
      <c r="L463" s="885">
        <f t="shared" si="342"/>
        <v>9.7119892833221699E-2</v>
      </c>
      <c r="M463" s="915">
        <f>IF(SUM(L463)&gt;0,J463/H463,"")</f>
        <v>2.8999999999999998E-2</v>
      </c>
    </row>
    <row r="464" spans="2:13" ht="25" x14ac:dyDescent="0.25">
      <c r="B464" s="887" t="s">
        <v>693</v>
      </c>
      <c r="C464" s="892">
        <f ca="1">IF(E464="","",MAX(INDIRECT(ADDRESS(ROW()-7,COLUMN())):INDIRECT(ADDRESS(ROW()-1,COLUMN())))+1)</f>
        <v>242</v>
      </c>
      <c r="D464" s="888" t="s">
        <v>692</v>
      </c>
      <c r="E464" s="883" t="s">
        <v>577</v>
      </c>
      <c r="F464" s="884">
        <v>2</v>
      </c>
      <c r="G464" s="884">
        <v>500</v>
      </c>
      <c r="H464" s="884">
        <f t="shared" si="340"/>
        <v>1000</v>
      </c>
      <c r="I464" s="884">
        <f>ROUND(Labour_perc_roads*G464,1)</f>
        <v>14.5</v>
      </c>
      <c r="J464" s="884">
        <f t="shared" si="341"/>
        <v>29</v>
      </c>
      <c r="K464" s="884">
        <f>$M$1</f>
        <v>358.32</v>
      </c>
      <c r="L464" s="885">
        <f t="shared" si="342"/>
        <v>8.0933244027684759E-2</v>
      </c>
      <c r="M464" s="915">
        <f>IF(SUM(L464)&gt;0,J464/H464,"")</f>
        <v>2.9000000000000001E-2</v>
      </c>
    </row>
    <row r="465" spans="2:13" ht="13" x14ac:dyDescent="0.25">
      <c r="B465" s="882" t="s">
        <v>691</v>
      </c>
      <c r="C465" s="911" t="str">
        <f ca="1">IF(E465="","",MAX(INDIRECT(ADDRESS(ROW()-7,COLUMN())):INDIRECT(ADDRESS(ROW()-1,COLUMN())))+1)</f>
        <v/>
      </c>
      <c r="D465" s="881" t="s">
        <v>690</v>
      </c>
      <c r="E465" s="883"/>
      <c r="F465" s="884"/>
      <c r="G465" s="884"/>
      <c r="H465" s="884"/>
      <c r="I465" s="884"/>
      <c r="J465" s="884"/>
      <c r="K465" s="884"/>
      <c r="L465" s="885"/>
      <c r="M465" s="915"/>
    </row>
    <row r="466" spans="2:13" x14ac:dyDescent="0.25">
      <c r="B466" s="887" t="s">
        <v>689</v>
      </c>
      <c r="C466" s="892">
        <f ca="1">IF(E466="","",MAX(INDIRECT(ADDRESS(ROW()-7,COLUMN())):INDIRECT(ADDRESS(ROW()-1,COLUMN())))+1)</f>
        <v>243</v>
      </c>
      <c r="D466" s="888" t="s">
        <v>2168</v>
      </c>
      <c r="E466" s="883" t="s">
        <v>34</v>
      </c>
      <c r="F466" s="884">
        <v>16</v>
      </c>
      <c r="G466" s="884">
        <v>550</v>
      </c>
      <c r="H466" s="884">
        <f t="shared" ref="H466" si="343">F466*G466</f>
        <v>8800</v>
      </c>
      <c r="I466" s="884">
        <f>_Sign</f>
        <v>90</v>
      </c>
      <c r="J466" s="884">
        <f t="shared" ref="J466" si="344">I466*F466</f>
        <v>1440</v>
      </c>
      <c r="K466" s="884">
        <f>$M$1</f>
        <v>358.32</v>
      </c>
      <c r="L466" s="885">
        <f t="shared" ref="L466" si="345">J466/K466</f>
        <v>4.0187541862022771</v>
      </c>
      <c r="M466" s="915">
        <f>IF(SUM(L466)&gt;0,J466/H466,"")</f>
        <v>0.16363636363636364</v>
      </c>
    </row>
    <row r="467" spans="2:13" x14ac:dyDescent="0.25">
      <c r="B467" s="887"/>
      <c r="C467" s="892" t="str">
        <f ca="1">IF(E467="","",MAX(INDIRECT(ADDRESS(ROW()-7,COLUMN())):INDIRECT(ADDRESS(ROW()-1,COLUMN())))+1)</f>
        <v/>
      </c>
      <c r="D467" s="888"/>
      <c r="E467" s="883"/>
      <c r="F467" s="884"/>
      <c r="G467" s="884"/>
      <c r="H467" s="884"/>
      <c r="I467" s="884"/>
      <c r="J467" s="884"/>
      <c r="K467" s="884"/>
      <c r="L467" s="885"/>
      <c r="M467" s="915"/>
    </row>
    <row r="468" spans="2:13" ht="13" x14ac:dyDescent="0.25">
      <c r="B468" s="882" t="s">
        <v>741</v>
      </c>
      <c r="C468" s="911" t="str">
        <f ca="1">IF(E468="","",MAX(INDIRECT(ADDRESS(ROW()-7,COLUMN())):INDIRECT(ADDRESS(ROW()-1,COLUMN())))+1)</f>
        <v/>
      </c>
      <c r="D468" s="881" t="s">
        <v>740</v>
      </c>
      <c r="E468" s="883"/>
      <c r="F468" s="884"/>
      <c r="G468" s="884"/>
      <c r="H468" s="884"/>
      <c r="I468" s="884"/>
      <c r="J468" s="884"/>
      <c r="K468" s="884"/>
      <c r="L468" s="885"/>
      <c r="M468" s="915"/>
    </row>
    <row r="469" spans="2:13" ht="13" x14ac:dyDescent="0.25">
      <c r="B469" s="882" t="s">
        <v>1884</v>
      </c>
      <c r="C469" s="911" t="str">
        <f ca="1">IF(E469="","",MAX(INDIRECT(ADDRESS(ROW()-7,COLUMN())):INDIRECT(ADDRESS(ROW()-1,COLUMN())))+1)</f>
        <v/>
      </c>
      <c r="D469" s="881" t="s">
        <v>739</v>
      </c>
      <c r="E469" s="883"/>
      <c r="F469" s="884"/>
      <c r="G469" s="884"/>
      <c r="H469" s="884"/>
      <c r="I469" s="884"/>
      <c r="J469" s="884"/>
      <c r="K469" s="884"/>
      <c r="L469" s="885"/>
      <c r="M469" s="915"/>
    </row>
    <row r="470" spans="2:13" ht="25" x14ac:dyDescent="0.25">
      <c r="B470" s="887" t="s">
        <v>738</v>
      </c>
      <c r="C470" s="892" t="str">
        <f ca="1">IF(E470="","",MAX(INDIRECT(ADDRESS(ROW()-7,COLUMN())):INDIRECT(ADDRESS(ROW()-1,COLUMN())))+1)</f>
        <v/>
      </c>
      <c r="D470" s="888" t="s">
        <v>2138</v>
      </c>
      <c r="E470" s="883"/>
      <c r="F470" s="884"/>
      <c r="G470" s="884"/>
      <c r="H470" s="884"/>
      <c r="I470" s="884"/>
      <c r="J470" s="884"/>
      <c r="K470" s="884"/>
      <c r="L470" s="885"/>
      <c r="M470" s="915"/>
    </row>
    <row r="471" spans="2:13" x14ac:dyDescent="0.25">
      <c r="B471" s="887"/>
      <c r="C471" s="892">
        <f ca="1">IF(E471="","",MAX(INDIRECT(ADDRESS(ROW()-7,COLUMN())):INDIRECT(ADDRESS(ROW()-1,COLUMN())))+1)</f>
        <v>244</v>
      </c>
      <c r="D471" s="888" t="s">
        <v>1691</v>
      </c>
      <c r="E471" s="883" t="s">
        <v>22</v>
      </c>
      <c r="F471" s="884">
        <v>6.0000000000000009</v>
      </c>
      <c r="G471" s="884">
        <v>4100</v>
      </c>
      <c r="H471" s="884">
        <f t="shared" ref="H471:H472" si="346">F471*G471</f>
        <v>24600.000000000004</v>
      </c>
      <c r="I471" s="884">
        <f>ROUND(6%*G471,0)</f>
        <v>246</v>
      </c>
      <c r="J471" s="884">
        <f t="shared" ref="J471:J472" si="347">I471*F471</f>
        <v>1476.0000000000002</v>
      </c>
      <c r="K471" s="884">
        <f>$M$1</f>
        <v>358.32</v>
      </c>
      <c r="L471" s="885">
        <f t="shared" ref="L471:L472" si="348">J471/K471</f>
        <v>4.1192230408573351</v>
      </c>
      <c r="M471" s="915">
        <f>IF(SUM(L471)&gt;0,J471/H471,"")</f>
        <v>0.06</v>
      </c>
    </row>
    <row r="472" spans="2:13" x14ac:dyDescent="0.25">
      <c r="B472" s="887"/>
      <c r="C472" s="892">
        <f ca="1">IF(E472="","",MAX(INDIRECT(ADDRESS(ROW()-7,COLUMN())):INDIRECT(ADDRESS(ROW()-1,COLUMN())))+1)</f>
        <v>245</v>
      </c>
      <c r="D472" s="888" t="s">
        <v>1692</v>
      </c>
      <c r="E472" s="883" t="s">
        <v>22</v>
      </c>
      <c r="F472" s="884">
        <v>2.4000000000000004</v>
      </c>
      <c r="G472" s="884">
        <v>5500</v>
      </c>
      <c r="H472" s="884">
        <f t="shared" si="346"/>
        <v>13200.000000000002</v>
      </c>
      <c r="I472" s="884">
        <f>ROUND(6%*G472,0)</f>
        <v>330</v>
      </c>
      <c r="J472" s="884">
        <f t="shared" si="347"/>
        <v>792.00000000000011</v>
      </c>
      <c r="K472" s="884">
        <f>$M$1</f>
        <v>358.32</v>
      </c>
      <c r="L472" s="885">
        <f t="shared" si="348"/>
        <v>2.2103148024112529</v>
      </c>
      <c r="M472" s="915">
        <f>IF(SUM(L472)&gt;0,J472/H472,"")</f>
        <v>0.06</v>
      </c>
    </row>
    <row r="473" spans="2:13" ht="25" x14ac:dyDescent="0.25">
      <c r="B473" s="887" t="s">
        <v>737</v>
      </c>
      <c r="C473" s="892" t="str">
        <f ca="1">IF(E473="","",MAX(INDIRECT(ADDRESS(ROW()-7,COLUMN())):INDIRECT(ADDRESS(ROW()-1,COLUMN())))+1)</f>
        <v/>
      </c>
      <c r="D473" s="888" t="s">
        <v>2139</v>
      </c>
      <c r="E473" s="883"/>
      <c r="F473" s="884"/>
      <c r="G473" s="884"/>
      <c r="H473" s="884"/>
      <c r="I473" s="884"/>
      <c r="J473" s="884"/>
      <c r="K473" s="884"/>
      <c r="L473" s="885"/>
      <c r="M473" s="915"/>
    </row>
    <row r="474" spans="2:13" x14ac:dyDescent="0.25">
      <c r="B474" s="887"/>
      <c r="C474" s="892">
        <f ca="1">IF(E474="","",MAX(INDIRECT(ADDRESS(ROW()-7,COLUMN())):INDIRECT(ADDRESS(ROW()-1,COLUMN())))+1)</f>
        <v>246</v>
      </c>
      <c r="D474" s="888" t="s">
        <v>1691</v>
      </c>
      <c r="E474" s="883" t="s">
        <v>22</v>
      </c>
      <c r="F474" s="884">
        <v>4.8000000000000007</v>
      </c>
      <c r="G474" s="884">
        <v>4100</v>
      </c>
      <c r="H474" s="884">
        <f t="shared" ref="H474:H480" si="349">F474*G474</f>
        <v>19680.000000000004</v>
      </c>
      <c r="I474" s="884">
        <f t="shared" ref="I474:I480" si="350">ROUND(6%*G474,0)</f>
        <v>246</v>
      </c>
      <c r="J474" s="884">
        <f t="shared" ref="J474:J480" si="351">I474*F474</f>
        <v>1180.8000000000002</v>
      </c>
      <c r="K474" s="884">
        <f t="shared" ref="K474:K480" si="352">$M$1</f>
        <v>358.32</v>
      </c>
      <c r="L474" s="885">
        <f t="shared" ref="L474:L480" si="353">J474/K474</f>
        <v>3.2953784326858679</v>
      </c>
      <c r="M474" s="915">
        <f t="shared" ref="M474:M480" si="354">IF(SUM(L474)&gt;0,J474/H474,"")</f>
        <v>0.06</v>
      </c>
    </row>
    <row r="475" spans="2:13" ht="25" x14ac:dyDescent="0.25">
      <c r="B475" s="887" t="s">
        <v>736</v>
      </c>
      <c r="C475" s="892">
        <f ca="1">IF(E475="","",MAX(INDIRECT(ADDRESS(ROW()-7,COLUMN())):INDIRECT(ADDRESS(ROW()-1,COLUMN())))+1)</f>
        <v>247</v>
      </c>
      <c r="D475" s="888" t="s">
        <v>2140</v>
      </c>
      <c r="E475" s="883" t="s">
        <v>700</v>
      </c>
      <c r="F475" s="884">
        <v>10</v>
      </c>
      <c r="G475" s="884">
        <v>150</v>
      </c>
      <c r="H475" s="884">
        <f t="shared" si="349"/>
        <v>1500</v>
      </c>
      <c r="I475" s="884">
        <f t="shared" si="350"/>
        <v>9</v>
      </c>
      <c r="J475" s="884">
        <f t="shared" si="351"/>
        <v>90</v>
      </c>
      <c r="K475" s="884">
        <f t="shared" si="352"/>
        <v>358.32</v>
      </c>
      <c r="L475" s="885">
        <f t="shared" si="353"/>
        <v>0.25117213663764232</v>
      </c>
      <c r="M475" s="915">
        <f t="shared" si="354"/>
        <v>0.06</v>
      </c>
    </row>
    <row r="476" spans="2:13" ht="25" x14ac:dyDescent="0.25">
      <c r="B476" s="887" t="s">
        <v>735</v>
      </c>
      <c r="C476" s="892">
        <f ca="1">IF(E476="","",MAX(INDIRECT(ADDRESS(ROW()-7,COLUMN())):INDIRECT(ADDRESS(ROW()-1,COLUMN())))+1)</f>
        <v>248</v>
      </c>
      <c r="D476" s="888" t="s">
        <v>2141</v>
      </c>
      <c r="E476" s="883" t="s">
        <v>700</v>
      </c>
      <c r="F476" s="884">
        <v>10</v>
      </c>
      <c r="G476" s="884">
        <v>150</v>
      </c>
      <c r="H476" s="884">
        <f t="shared" si="349"/>
        <v>1500</v>
      </c>
      <c r="I476" s="884">
        <f t="shared" si="350"/>
        <v>9</v>
      </c>
      <c r="J476" s="884">
        <f t="shared" si="351"/>
        <v>90</v>
      </c>
      <c r="K476" s="884">
        <f t="shared" si="352"/>
        <v>358.32</v>
      </c>
      <c r="L476" s="885">
        <f t="shared" si="353"/>
        <v>0.25117213663764232</v>
      </c>
      <c r="M476" s="915">
        <f t="shared" si="354"/>
        <v>0.06</v>
      </c>
    </row>
    <row r="477" spans="2:13" ht="37.5" x14ac:dyDescent="0.25">
      <c r="B477" s="887" t="s">
        <v>734</v>
      </c>
      <c r="C477" s="892">
        <f ca="1">IF(E477="","",MAX(INDIRECT(ADDRESS(ROW()-7,COLUMN())):INDIRECT(ADDRESS(ROW()-1,COLUMN())))+1)</f>
        <v>249</v>
      </c>
      <c r="D477" s="888" t="s">
        <v>2142</v>
      </c>
      <c r="E477" s="883" t="s">
        <v>555</v>
      </c>
      <c r="F477" s="884">
        <v>10</v>
      </c>
      <c r="G477" s="884">
        <v>150</v>
      </c>
      <c r="H477" s="884">
        <f t="shared" si="349"/>
        <v>1500</v>
      </c>
      <c r="I477" s="884">
        <f t="shared" si="350"/>
        <v>9</v>
      </c>
      <c r="J477" s="884">
        <f t="shared" si="351"/>
        <v>90</v>
      </c>
      <c r="K477" s="884">
        <f t="shared" si="352"/>
        <v>358.32</v>
      </c>
      <c r="L477" s="885">
        <f t="shared" si="353"/>
        <v>0.25117213663764232</v>
      </c>
      <c r="M477" s="915">
        <f t="shared" si="354"/>
        <v>0.06</v>
      </c>
    </row>
    <row r="478" spans="2:13" ht="25" x14ac:dyDescent="0.25">
      <c r="B478" s="887" t="s">
        <v>724</v>
      </c>
      <c r="C478" s="892">
        <f ca="1">IF(E478="","",MAX(INDIRECT(ADDRESS(ROW()-7,COLUMN())):INDIRECT(ADDRESS(ROW()-1,COLUMN())))+1)</f>
        <v>250</v>
      </c>
      <c r="D478" s="888" t="s">
        <v>2143</v>
      </c>
      <c r="E478" s="883" t="s">
        <v>34</v>
      </c>
      <c r="F478" s="884">
        <v>600.00000000000011</v>
      </c>
      <c r="G478" s="884">
        <v>70</v>
      </c>
      <c r="H478" s="884">
        <f t="shared" si="349"/>
        <v>42000.000000000007</v>
      </c>
      <c r="I478" s="884">
        <f t="shared" si="350"/>
        <v>4</v>
      </c>
      <c r="J478" s="884">
        <f t="shared" si="351"/>
        <v>2400.0000000000005</v>
      </c>
      <c r="K478" s="884">
        <f t="shared" si="352"/>
        <v>358.32</v>
      </c>
      <c r="L478" s="885">
        <f t="shared" si="353"/>
        <v>6.6979236436704639</v>
      </c>
      <c r="M478" s="915">
        <f t="shared" si="354"/>
        <v>5.7142857142857141E-2</v>
      </c>
    </row>
    <row r="479" spans="2:13" ht="25" x14ac:dyDescent="0.25">
      <c r="B479" s="887" t="s">
        <v>723</v>
      </c>
      <c r="C479" s="892">
        <f ca="1">IF(E479="","",MAX(INDIRECT(ADDRESS(ROW()-7,COLUMN())):INDIRECT(ADDRESS(ROW()-1,COLUMN())))+1)</f>
        <v>251</v>
      </c>
      <c r="D479" s="888" t="s">
        <v>2022</v>
      </c>
      <c r="E479" s="883" t="s">
        <v>34</v>
      </c>
      <c r="F479" s="884">
        <v>300.00000000000006</v>
      </c>
      <c r="G479" s="884">
        <v>30</v>
      </c>
      <c r="H479" s="884">
        <f t="shared" si="349"/>
        <v>9000.0000000000018</v>
      </c>
      <c r="I479" s="884">
        <f t="shared" si="350"/>
        <v>2</v>
      </c>
      <c r="J479" s="884">
        <f t="shared" si="351"/>
        <v>600.00000000000011</v>
      </c>
      <c r="K479" s="884">
        <f t="shared" si="352"/>
        <v>358.32</v>
      </c>
      <c r="L479" s="885">
        <f t="shared" si="353"/>
        <v>1.674480910917616</v>
      </c>
      <c r="M479" s="915">
        <f t="shared" si="354"/>
        <v>6.6666666666666666E-2</v>
      </c>
    </row>
    <row r="480" spans="2:13" ht="39" x14ac:dyDescent="0.25">
      <c r="B480" s="882" t="s">
        <v>1882</v>
      </c>
      <c r="C480" s="892">
        <f ca="1">IF(E480="","",MAX(INDIRECT(ADDRESS(ROW()-7,COLUMN())):INDIRECT(ADDRESS(ROW()-1,COLUMN())))+1)</f>
        <v>252</v>
      </c>
      <c r="D480" s="881" t="s">
        <v>722</v>
      </c>
      <c r="E480" s="883" t="s">
        <v>22</v>
      </c>
      <c r="F480" s="884">
        <v>8</v>
      </c>
      <c r="G480" s="884">
        <v>1300</v>
      </c>
      <c r="H480" s="884">
        <f t="shared" si="349"/>
        <v>10400</v>
      </c>
      <c r="I480" s="884">
        <f t="shared" si="350"/>
        <v>78</v>
      </c>
      <c r="J480" s="884">
        <f t="shared" si="351"/>
        <v>624</v>
      </c>
      <c r="K480" s="884">
        <f t="shared" si="352"/>
        <v>358.32</v>
      </c>
      <c r="L480" s="885">
        <f t="shared" si="353"/>
        <v>1.7414601473543201</v>
      </c>
      <c r="M480" s="915">
        <f t="shared" si="354"/>
        <v>0.06</v>
      </c>
    </row>
    <row r="481" spans="2:13" x14ac:dyDescent="0.25">
      <c r="B481" s="887"/>
      <c r="C481" s="892" t="str">
        <f ca="1">IF(E481="","",MAX(INDIRECT(ADDRESS(ROW()-7,COLUMN())):INDIRECT(ADDRESS(ROW()-1,COLUMN())))+1)</f>
        <v/>
      </c>
      <c r="D481" s="888"/>
      <c r="E481" s="883"/>
      <c r="F481" s="884"/>
      <c r="G481" s="884"/>
      <c r="H481" s="884"/>
      <c r="I481" s="884"/>
      <c r="J481" s="884"/>
      <c r="K481" s="884"/>
      <c r="L481" s="885"/>
      <c r="M481" s="915"/>
    </row>
    <row r="482" spans="2:13" ht="13" x14ac:dyDescent="0.25">
      <c r="B482" s="891" t="s">
        <v>2172</v>
      </c>
      <c r="C482" s="919"/>
      <c r="D482" s="924"/>
      <c r="E482" s="920"/>
      <c r="F482" s="921"/>
      <c r="G482" s="921"/>
      <c r="H482" s="921"/>
      <c r="I482" s="921"/>
      <c r="J482" s="921"/>
      <c r="K482" s="921"/>
      <c r="L482" s="922"/>
      <c r="M482" s="923"/>
    </row>
    <row r="483" spans="2:13" ht="13" x14ac:dyDescent="0.25">
      <c r="B483" s="882" t="s">
        <v>14</v>
      </c>
      <c r="C483" s="911" t="str">
        <f ca="1">IF(E483="","",MAX(INDIRECT(ADDRESS(ROW()-7,COLUMN())):INDIRECT(ADDRESS(ROW()-1,COLUMN())))+1)</f>
        <v/>
      </c>
      <c r="D483" s="881" t="s">
        <v>13</v>
      </c>
      <c r="E483" s="883"/>
      <c r="F483" s="884"/>
      <c r="G483" s="884"/>
      <c r="H483" s="884"/>
      <c r="I483" s="884"/>
      <c r="J483" s="884"/>
      <c r="K483" s="884"/>
      <c r="L483" s="885"/>
      <c r="M483" s="915"/>
    </row>
    <row r="484" spans="2:13" ht="13" x14ac:dyDescent="0.25">
      <c r="B484" s="882" t="s">
        <v>35</v>
      </c>
      <c r="C484" s="911" t="str">
        <f ca="1">IF(E484="","",MAX(INDIRECT(ADDRESS(ROW()-7,COLUMN())):INDIRECT(ADDRESS(ROW()-1,COLUMN())))+1)</f>
        <v/>
      </c>
      <c r="D484" s="881" t="s">
        <v>36</v>
      </c>
      <c r="E484" s="883"/>
      <c r="F484" s="884"/>
      <c r="G484" s="884"/>
      <c r="H484" s="884"/>
      <c r="I484" s="884"/>
      <c r="J484" s="884"/>
      <c r="K484" s="884"/>
      <c r="L484" s="885"/>
      <c r="M484" s="915"/>
    </row>
    <row r="485" spans="2:13" x14ac:dyDescent="0.25">
      <c r="B485" s="887" t="s">
        <v>37</v>
      </c>
      <c r="C485" s="892" t="str">
        <f ca="1">IF(E485="","",MAX(INDIRECT(ADDRESS(ROW()-7,COLUMN())):INDIRECT(ADDRESS(ROW()-1,COLUMN())))+1)</f>
        <v/>
      </c>
      <c r="D485" s="888" t="s">
        <v>38</v>
      </c>
      <c r="E485" s="883"/>
      <c r="F485" s="884"/>
      <c r="G485" s="884"/>
      <c r="H485" s="884"/>
      <c r="I485" s="884"/>
      <c r="J485" s="884"/>
      <c r="K485" s="884"/>
      <c r="L485" s="885"/>
      <c r="M485" s="915"/>
    </row>
    <row r="486" spans="2:13" x14ac:dyDescent="0.25">
      <c r="B486" s="887" t="s">
        <v>39</v>
      </c>
      <c r="C486" s="892">
        <f ca="1">IF(E486="","",MAX(INDIRECT(ADDRESS(ROW()-7,COLUMN())):INDIRECT(ADDRESS(ROW()-1,COLUMN())))+1)</f>
        <v>253</v>
      </c>
      <c r="D486" s="888" t="s">
        <v>40</v>
      </c>
      <c r="E486" s="883" t="s">
        <v>191</v>
      </c>
      <c r="F486" s="884">
        <v>180</v>
      </c>
      <c r="G486" s="884">
        <v>40</v>
      </c>
      <c r="H486" s="884">
        <f t="shared" ref="H486" si="355">F486*G486</f>
        <v>7200</v>
      </c>
      <c r="I486" s="884">
        <f>G486*97/100</f>
        <v>38.799999999999997</v>
      </c>
      <c r="J486" s="884">
        <f t="shared" ref="J486" si="356">I486*F486</f>
        <v>6983.9999999999991</v>
      </c>
      <c r="K486" s="884">
        <f>$M$1</f>
        <v>358.32</v>
      </c>
      <c r="L486" s="885">
        <f t="shared" ref="L486" si="357">J486/K486</f>
        <v>19.490957803081042</v>
      </c>
      <c r="M486" s="915">
        <f>IF(SUM(L486)&gt;0,J486/H486,"")</f>
        <v>0.96999999999999986</v>
      </c>
    </row>
    <row r="487" spans="2:13" x14ac:dyDescent="0.25">
      <c r="B487" s="887"/>
      <c r="C487" s="892" t="str">
        <f ca="1">IF(E487="","",MAX(INDIRECT(ADDRESS(ROW()-7,COLUMN())):INDIRECT(ADDRESS(ROW()-1,COLUMN())))+1)</f>
        <v/>
      </c>
      <c r="D487" s="888"/>
      <c r="E487" s="883"/>
      <c r="F487" s="884"/>
      <c r="G487" s="884"/>
      <c r="H487" s="884"/>
      <c r="I487" s="884"/>
      <c r="J487" s="884"/>
      <c r="K487" s="884"/>
      <c r="L487" s="885"/>
      <c r="M487" s="915"/>
    </row>
    <row r="488" spans="2:13" ht="13" x14ac:dyDescent="0.25">
      <c r="B488" s="882" t="s">
        <v>277</v>
      </c>
      <c r="C488" s="911" t="str">
        <f ca="1">IF(E488="","",MAX(INDIRECT(ADDRESS(ROW()-7,COLUMN())):INDIRECT(ADDRESS(ROW()-1,COLUMN())))+1)</f>
        <v/>
      </c>
      <c r="D488" s="881" t="s">
        <v>278</v>
      </c>
      <c r="E488" s="883"/>
      <c r="F488" s="884"/>
      <c r="G488" s="884"/>
      <c r="H488" s="884"/>
      <c r="I488" s="884"/>
      <c r="J488" s="884"/>
      <c r="K488" s="884"/>
      <c r="L488" s="885"/>
      <c r="M488" s="915"/>
    </row>
    <row r="489" spans="2:13" ht="13" x14ac:dyDescent="0.25">
      <c r="B489" s="882" t="s">
        <v>286</v>
      </c>
      <c r="C489" s="911" t="str">
        <f ca="1">IF(E489="","",MAX(INDIRECT(ADDRESS(ROW()-7,COLUMN())):INDIRECT(ADDRESS(ROW()-1,COLUMN())))+1)</f>
        <v/>
      </c>
      <c r="D489" s="881" t="s">
        <v>279</v>
      </c>
      <c r="E489" s="883"/>
      <c r="F489" s="884"/>
      <c r="G489" s="884"/>
      <c r="H489" s="884"/>
      <c r="I489" s="884"/>
      <c r="J489" s="884"/>
      <c r="K489" s="884"/>
      <c r="L489" s="885"/>
      <c r="M489" s="915"/>
    </row>
    <row r="490" spans="2:13" ht="25" x14ac:dyDescent="0.25">
      <c r="B490" s="887" t="s">
        <v>287</v>
      </c>
      <c r="C490" s="892" t="str">
        <f ca="1">IF(E490="","",MAX(INDIRECT(ADDRESS(ROW()-7,COLUMN())):INDIRECT(ADDRESS(ROW()-1,COLUMN())))+1)</f>
        <v/>
      </c>
      <c r="D490" s="888" t="s">
        <v>280</v>
      </c>
      <c r="E490" s="883"/>
      <c r="F490" s="884"/>
      <c r="G490" s="884"/>
      <c r="H490" s="884"/>
      <c r="I490" s="884"/>
      <c r="J490" s="884"/>
      <c r="K490" s="884"/>
      <c r="L490" s="885"/>
      <c r="M490" s="915"/>
    </row>
    <row r="491" spans="2:13" x14ac:dyDescent="0.25">
      <c r="B491" s="887" t="s">
        <v>39</v>
      </c>
      <c r="C491" s="892">
        <f ca="1">IF(E491="","",MAX(INDIRECT(ADDRESS(ROW()-7,COLUMN())):INDIRECT(ADDRESS(ROW()-1,COLUMN())))+1)</f>
        <v>254</v>
      </c>
      <c r="D491" s="888" t="s">
        <v>281</v>
      </c>
      <c r="E491" s="883" t="s">
        <v>799</v>
      </c>
      <c r="F491" s="884">
        <v>1100</v>
      </c>
      <c r="G491" s="884">
        <v>50</v>
      </c>
      <c r="H491" s="884">
        <f t="shared" ref="H491:H493" si="358">F491*G491</f>
        <v>55000</v>
      </c>
      <c r="I491" s="884">
        <f>ROUND(Labour_perc_roads*G491,1)</f>
        <v>1.5</v>
      </c>
      <c r="J491" s="884">
        <f t="shared" ref="J491:J493" si="359">I491*F491</f>
        <v>1650</v>
      </c>
      <c r="K491" s="884">
        <f t="shared" ref="K491:K493" si="360">$M$1</f>
        <v>358.32</v>
      </c>
      <c r="L491" s="885">
        <f t="shared" ref="L491:L493" si="361">J491/K491</f>
        <v>4.604822505023443</v>
      </c>
      <c r="M491" s="915">
        <f>IF(SUM(L491)&gt;0,J491/H491,"")</f>
        <v>0.03</v>
      </c>
    </row>
    <row r="492" spans="2:13" ht="25" x14ac:dyDescent="0.25">
      <c r="B492" s="887" t="s">
        <v>288</v>
      </c>
      <c r="C492" s="892">
        <f ca="1">IF(E492="","",MAX(INDIRECT(ADDRESS(ROW()-7,COLUMN())):INDIRECT(ADDRESS(ROW()-1,COLUMN())))+1)</f>
        <v>255</v>
      </c>
      <c r="D492" s="888" t="s">
        <v>283</v>
      </c>
      <c r="E492" s="883" t="s">
        <v>799</v>
      </c>
      <c r="F492" s="884">
        <v>400</v>
      </c>
      <c r="G492" s="884">
        <v>350</v>
      </c>
      <c r="H492" s="884">
        <f t="shared" si="358"/>
        <v>140000</v>
      </c>
      <c r="I492" s="884">
        <f>ROUND(Labour_perc_roads*G492,1)</f>
        <v>10.199999999999999</v>
      </c>
      <c r="J492" s="884">
        <f t="shared" si="359"/>
        <v>4079.9999999999995</v>
      </c>
      <c r="K492" s="884">
        <f t="shared" si="360"/>
        <v>358.32</v>
      </c>
      <c r="L492" s="885">
        <f t="shared" si="361"/>
        <v>11.386470194239784</v>
      </c>
      <c r="M492" s="915">
        <f>IF(SUM(L492)&gt;0,J492/H492,"")</f>
        <v>2.914285714285714E-2</v>
      </c>
    </row>
    <row r="493" spans="2:13" ht="25" x14ac:dyDescent="0.25">
      <c r="B493" s="887" t="s">
        <v>290</v>
      </c>
      <c r="C493" s="892">
        <f ca="1">IF(E493="","",MAX(INDIRECT(ADDRESS(ROW()-7,COLUMN())):INDIRECT(ADDRESS(ROW()-1,COLUMN())))+1)</f>
        <v>256</v>
      </c>
      <c r="D493" s="888" t="s">
        <v>285</v>
      </c>
      <c r="E493" s="883" t="s">
        <v>799</v>
      </c>
      <c r="F493" s="884">
        <v>500</v>
      </c>
      <c r="G493" s="884">
        <v>230</v>
      </c>
      <c r="H493" s="884">
        <f t="shared" si="358"/>
        <v>115000</v>
      </c>
      <c r="I493" s="884">
        <f>ROUND(90%*G493,1)</f>
        <v>207</v>
      </c>
      <c r="J493" s="884">
        <f t="shared" si="359"/>
        <v>103500</v>
      </c>
      <c r="K493" s="884">
        <f t="shared" si="360"/>
        <v>358.32</v>
      </c>
      <c r="L493" s="885">
        <f t="shared" si="361"/>
        <v>288.84795713328867</v>
      </c>
      <c r="M493" s="915">
        <f>IF(SUM(L493)&gt;0,J493/H493,"")</f>
        <v>0.9</v>
      </c>
    </row>
    <row r="494" spans="2:13" ht="13" x14ac:dyDescent="0.25">
      <c r="B494" s="882" t="s">
        <v>299</v>
      </c>
      <c r="C494" s="911" t="str">
        <f ca="1">IF(E494="","",MAX(INDIRECT(ADDRESS(ROW()-7,COLUMN())):INDIRECT(ADDRESS(ROW()-1,COLUMN())))+1)</f>
        <v/>
      </c>
      <c r="D494" s="881" t="s">
        <v>297</v>
      </c>
      <c r="E494" s="883"/>
      <c r="F494" s="884"/>
      <c r="G494" s="884"/>
      <c r="H494" s="884"/>
      <c r="I494" s="884"/>
      <c r="J494" s="884"/>
      <c r="K494" s="884"/>
      <c r="L494" s="885"/>
      <c r="M494" s="915"/>
    </row>
    <row r="495" spans="2:13" x14ac:dyDescent="0.25">
      <c r="B495" s="887" t="s">
        <v>300</v>
      </c>
      <c r="C495" s="892">
        <f ca="1">IF(E495="","",MAX(INDIRECT(ADDRESS(ROW()-7,COLUMN())):INDIRECT(ADDRESS(ROW()-1,COLUMN())))+1)</f>
        <v>257</v>
      </c>
      <c r="D495" s="888" t="s">
        <v>298</v>
      </c>
      <c r="E495" s="883" t="s">
        <v>799</v>
      </c>
      <c r="F495" s="884">
        <v>1100</v>
      </c>
      <c r="G495" s="884">
        <v>42.5</v>
      </c>
      <c r="H495" s="884">
        <f t="shared" ref="H495:H496" si="362">F495*G495</f>
        <v>46750</v>
      </c>
      <c r="I495" s="884">
        <f>ROUND(Labour_perc_roads*G495,1)</f>
        <v>1.2</v>
      </c>
      <c r="J495" s="884">
        <f t="shared" ref="J495:J496" si="363">I495*F495</f>
        <v>1320</v>
      </c>
      <c r="K495" s="884">
        <f t="shared" ref="K495:K496" si="364">$M$1</f>
        <v>358.32</v>
      </c>
      <c r="L495" s="885">
        <f t="shared" ref="L495:L496" si="365">J495/K495</f>
        <v>3.6838580040187541</v>
      </c>
      <c r="M495" s="915">
        <f>IF(SUM(L495)&gt;0,J495/H495,"")</f>
        <v>2.823529411764706E-2</v>
      </c>
    </row>
    <row r="496" spans="2:13" ht="26" x14ac:dyDescent="0.25">
      <c r="B496" s="882" t="s">
        <v>1886</v>
      </c>
      <c r="C496" s="892">
        <f ca="1">IF(E496="","",MAX(INDIRECT(ADDRESS(ROW()-7,COLUMN())):INDIRECT(ADDRESS(ROW()-1,COLUMN())))+1)</f>
        <v>258</v>
      </c>
      <c r="D496" s="881" t="s">
        <v>302</v>
      </c>
      <c r="E496" s="883" t="s">
        <v>799</v>
      </c>
      <c r="F496" s="884">
        <v>100</v>
      </c>
      <c r="G496" s="884">
        <v>20</v>
      </c>
      <c r="H496" s="884">
        <f t="shared" si="362"/>
        <v>2000</v>
      </c>
      <c r="I496" s="884">
        <f>ROUND(Labour_perc_roads*G496,1)</f>
        <v>0.6</v>
      </c>
      <c r="J496" s="884">
        <f t="shared" si="363"/>
        <v>60</v>
      </c>
      <c r="K496" s="884">
        <f t="shared" si="364"/>
        <v>358.32</v>
      </c>
      <c r="L496" s="885">
        <f t="shared" si="365"/>
        <v>0.16744809109176156</v>
      </c>
      <c r="M496" s="915">
        <f>IF(SUM(L496)&gt;0,J496/H496,"")</f>
        <v>0.03</v>
      </c>
    </row>
    <row r="497" spans="2:13" x14ac:dyDescent="0.25">
      <c r="B497" s="887"/>
      <c r="C497" s="892" t="str">
        <f ca="1">IF(E497="","",MAX(INDIRECT(ADDRESS(ROW()-7,COLUMN())):INDIRECT(ADDRESS(ROW()-1,COLUMN())))+1)</f>
        <v/>
      </c>
      <c r="D497" s="888"/>
      <c r="E497" s="883"/>
      <c r="F497" s="884"/>
      <c r="G497" s="884"/>
      <c r="H497" s="884"/>
      <c r="I497" s="884"/>
      <c r="J497" s="884"/>
      <c r="K497" s="884"/>
      <c r="L497" s="885"/>
      <c r="M497" s="915"/>
    </row>
    <row r="498" spans="2:13" ht="26" x14ac:dyDescent="0.25">
      <c r="B498" s="882" t="s">
        <v>312</v>
      </c>
      <c r="C498" s="911" t="str">
        <f ca="1">IF(E498="","",MAX(INDIRECT(ADDRESS(ROW()-7,COLUMN())):INDIRECT(ADDRESS(ROW()-1,COLUMN())))+1)</f>
        <v/>
      </c>
      <c r="D498" s="881" t="s">
        <v>311</v>
      </c>
      <c r="E498" s="883"/>
      <c r="F498" s="884"/>
      <c r="G498" s="884"/>
      <c r="H498" s="884"/>
      <c r="I498" s="884"/>
      <c r="J498" s="884"/>
      <c r="K498" s="884"/>
      <c r="L498" s="885"/>
      <c r="M498" s="915"/>
    </row>
    <row r="499" spans="2:13" ht="26" x14ac:dyDescent="0.25">
      <c r="B499" s="882" t="s">
        <v>313</v>
      </c>
      <c r="C499" s="911" t="str">
        <f ca="1">IF(E499="","",MAX(INDIRECT(ADDRESS(ROW()-7,COLUMN())):INDIRECT(ADDRESS(ROW()-1,COLUMN())))+1)</f>
        <v/>
      </c>
      <c r="D499" s="881" t="s">
        <v>1901</v>
      </c>
      <c r="E499" s="883"/>
      <c r="F499" s="884"/>
      <c r="G499" s="884"/>
      <c r="H499" s="884"/>
      <c r="I499" s="884"/>
      <c r="J499" s="884"/>
      <c r="K499" s="884"/>
      <c r="L499" s="885"/>
      <c r="M499" s="915"/>
    </row>
    <row r="500" spans="2:13" x14ac:dyDescent="0.25">
      <c r="B500" s="887" t="s">
        <v>39</v>
      </c>
      <c r="C500" s="892" t="str">
        <f ca="1">IF(E500="","",MAX(INDIRECT(ADDRESS(ROW()-7,COLUMN())):INDIRECT(ADDRESS(ROW()-1,COLUMN())))+1)</f>
        <v/>
      </c>
      <c r="D500" s="888" t="s">
        <v>1733</v>
      </c>
      <c r="E500" s="883"/>
      <c r="F500" s="884"/>
      <c r="G500" s="884"/>
      <c r="H500" s="884"/>
      <c r="I500" s="884"/>
      <c r="J500" s="884"/>
      <c r="K500" s="884"/>
      <c r="L500" s="885"/>
      <c r="M500" s="915"/>
    </row>
    <row r="501" spans="2:13" ht="37.5" x14ac:dyDescent="0.25">
      <c r="B501" s="887" t="s">
        <v>990</v>
      </c>
      <c r="C501" s="892">
        <f ca="1">IF(E501="","",MAX(INDIRECT(ADDRESS(ROW()-7,COLUMN())):INDIRECT(ADDRESS(ROW()-1,COLUMN())))+1)</f>
        <v>259</v>
      </c>
      <c r="D501" s="888" t="s">
        <v>1736</v>
      </c>
      <c r="E501" s="883" t="s">
        <v>555</v>
      </c>
      <c r="F501" s="884">
        <v>166</v>
      </c>
      <c r="G501" s="884">
        <v>450</v>
      </c>
      <c r="H501" s="884">
        <f t="shared" ref="H501:H503" si="366">F501*G501</f>
        <v>74700</v>
      </c>
      <c r="I501" s="884">
        <f>_Formwork*0.9</f>
        <v>120.60000000000001</v>
      </c>
      <c r="J501" s="884">
        <f t="shared" ref="J501:J503" si="367">I501*F501</f>
        <v>20019.600000000002</v>
      </c>
      <c r="K501" s="884">
        <f t="shared" ref="K501:K503" si="368">$M$1</f>
        <v>358.32</v>
      </c>
      <c r="L501" s="885">
        <f t="shared" ref="L501:L503" si="369">J501/K501</f>
        <v>55.870730073677166</v>
      </c>
      <c r="M501" s="915">
        <f>IF(SUM(L501)&gt;0,J501/H501,"")</f>
        <v>0.26800000000000002</v>
      </c>
    </row>
    <row r="502" spans="2:13" x14ac:dyDescent="0.25">
      <c r="B502" s="887" t="s">
        <v>991</v>
      </c>
      <c r="C502" s="892">
        <f ca="1">IF(E502="","",MAX(INDIRECT(ADDRESS(ROW()-7,COLUMN())):INDIRECT(ADDRESS(ROW()-1,COLUMN())))+1)</f>
        <v>260</v>
      </c>
      <c r="D502" s="888" t="s">
        <v>1734</v>
      </c>
      <c r="E502" s="883" t="s">
        <v>555</v>
      </c>
      <c r="F502" s="884">
        <v>53</v>
      </c>
      <c r="G502" s="884">
        <v>450</v>
      </c>
      <c r="H502" s="884">
        <f t="shared" si="366"/>
        <v>23850</v>
      </c>
      <c r="I502" s="884">
        <f>_Formwork*0.9</f>
        <v>120.60000000000001</v>
      </c>
      <c r="J502" s="884">
        <f t="shared" si="367"/>
        <v>6391.8</v>
      </c>
      <c r="K502" s="884">
        <f t="shared" si="368"/>
        <v>358.32</v>
      </c>
      <c r="L502" s="885">
        <f t="shared" si="369"/>
        <v>17.838245144005359</v>
      </c>
      <c r="M502" s="915">
        <f>IF(SUM(L502)&gt;0,J502/H502,"")</f>
        <v>0.26800000000000002</v>
      </c>
    </row>
    <row r="503" spans="2:13" x14ac:dyDescent="0.25">
      <c r="B503" s="887" t="s">
        <v>1679</v>
      </c>
      <c r="C503" s="892">
        <f ca="1">IF(E503="","",MAX(INDIRECT(ADDRESS(ROW()-7,COLUMN())):INDIRECT(ADDRESS(ROW()-1,COLUMN())))+1)</f>
        <v>261</v>
      </c>
      <c r="D503" s="888" t="s">
        <v>1735</v>
      </c>
      <c r="E503" s="883" t="s">
        <v>555</v>
      </c>
      <c r="F503" s="884">
        <v>63</v>
      </c>
      <c r="G503" s="884">
        <v>450</v>
      </c>
      <c r="H503" s="884">
        <f t="shared" si="366"/>
        <v>28350</v>
      </c>
      <c r="I503" s="884">
        <f>_Formwork*0.9</f>
        <v>120.60000000000001</v>
      </c>
      <c r="J503" s="884">
        <f t="shared" si="367"/>
        <v>7597.8</v>
      </c>
      <c r="K503" s="884">
        <f t="shared" si="368"/>
        <v>358.32</v>
      </c>
      <c r="L503" s="885">
        <f t="shared" si="369"/>
        <v>21.203951774949765</v>
      </c>
      <c r="M503" s="915">
        <f>IF(SUM(L503)&gt;0,J503/H503,"")</f>
        <v>0.26800000000000002</v>
      </c>
    </row>
    <row r="504" spans="2:13" x14ac:dyDescent="0.25">
      <c r="B504" s="887" t="s">
        <v>41</v>
      </c>
      <c r="C504" s="892" t="str">
        <f ca="1">IF(E504="","",MAX(INDIRECT(ADDRESS(ROW()-7,COLUMN())):INDIRECT(ADDRESS(ROW()-1,COLUMN())))+1)</f>
        <v/>
      </c>
      <c r="D504" s="888" t="s">
        <v>1742</v>
      </c>
      <c r="E504" s="883"/>
      <c r="F504" s="884"/>
      <c r="G504" s="884"/>
      <c r="H504" s="884"/>
      <c r="I504" s="884"/>
      <c r="J504" s="884"/>
      <c r="K504" s="884"/>
      <c r="L504" s="885"/>
      <c r="M504" s="915"/>
    </row>
    <row r="505" spans="2:13" x14ac:dyDescent="0.25">
      <c r="B505" s="887" t="s">
        <v>990</v>
      </c>
      <c r="C505" s="892">
        <f ca="1">IF(E505="","",MAX(INDIRECT(ADDRESS(ROW()-7,COLUMN())):INDIRECT(ADDRESS(ROW()-1,COLUMN())))+1)</f>
        <v>262</v>
      </c>
      <c r="D505" s="888" t="s">
        <v>1738</v>
      </c>
      <c r="E505" s="883" t="s">
        <v>555</v>
      </c>
      <c r="F505" s="884">
        <v>710</v>
      </c>
      <c r="G505" s="884">
        <v>500</v>
      </c>
      <c r="H505" s="884">
        <f t="shared" ref="H505:H508" si="370">F505*G505</f>
        <v>355000</v>
      </c>
      <c r="I505" s="884">
        <f>_Formwork*0.9</f>
        <v>120.60000000000001</v>
      </c>
      <c r="J505" s="884">
        <f t="shared" ref="J505:J508" si="371">I505*F505</f>
        <v>85626</v>
      </c>
      <c r="K505" s="884">
        <f t="shared" ref="K505:K508" si="372">$M$1</f>
        <v>358.32</v>
      </c>
      <c r="L505" s="885">
        <f t="shared" ref="L505:L508" si="373">J505/K505</f>
        <v>238.96517079705291</v>
      </c>
      <c r="M505" s="915">
        <f>IF(SUM(L505)&gt;0,J505/H505,"")</f>
        <v>0.2412</v>
      </c>
    </row>
    <row r="506" spans="2:13" x14ac:dyDescent="0.25">
      <c r="B506" s="887" t="s">
        <v>991</v>
      </c>
      <c r="C506" s="892">
        <f ca="1">IF(E506="","",MAX(INDIRECT(ADDRESS(ROW()-7,COLUMN())):INDIRECT(ADDRESS(ROW()-1,COLUMN())))+1)</f>
        <v>263</v>
      </c>
      <c r="D506" s="888" t="s">
        <v>1739</v>
      </c>
      <c r="E506" s="883" t="s">
        <v>555</v>
      </c>
      <c r="F506" s="884">
        <v>428</v>
      </c>
      <c r="G506" s="884">
        <v>500</v>
      </c>
      <c r="H506" s="884">
        <f t="shared" si="370"/>
        <v>214000</v>
      </c>
      <c r="I506" s="884">
        <f>_Formwork*0.9</f>
        <v>120.60000000000001</v>
      </c>
      <c r="J506" s="884">
        <f t="shared" si="371"/>
        <v>51616.800000000003</v>
      </c>
      <c r="K506" s="884">
        <f t="shared" si="372"/>
        <v>358.32</v>
      </c>
      <c r="L506" s="885">
        <f t="shared" si="373"/>
        <v>144.05224380442064</v>
      </c>
      <c r="M506" s="915">
        <f>IF(SUM(L506)&gt;0,J506/H506,"")</f>
        <v>0.24120000000000003</v>
      </c>
    </row>
    <row r="507" spans="2:13" x14ac:dyDescent="0.25">
      <c r="B507" s="887" t="s">
        <v>1679</v>
      </c>
      <c r="C507" s="892">
        <f ca="1">IF(E507="","",MAX(INDIRECT(ADDRESS(ROW()-7,COLUMN())):INDIRECT(ADDRESS(ROW()-1,COLUMN())))+1)</f>
        <v>264</v>
      </c>
      <c r="D507" s="888" t="s">
        <v>1740</v>
      </c>
      <c r="E507" s="883" t="s">
        <v>555</v>
      </c>
      <c r="F507" s="884">
        <v>133</v>
      </c>
      <c r="G507" s="884">
        <v>500</v>
      </c>
      <c r="H507" s="884">
        <f t="shared" si="370"/>
        <v>66500</v>
      </c>
      <c r="I507" s="884">
        <f>_Formwork*0.9</f>
        <v>120.60000000000001</v>
      </c>
      <c r="J507" s="884">
        <f t="shared" si="371"/>
        <v>16039.800000000001</v>
      </c>
      <c r="K507" s="884">
        <f t="shared" si="372"/>
        <v>358.32</v>
      </c>
      <c r="L507" s="885">
        <f t="shared" si="373"/>
        <v>44.763898191560621</v>
      </c>
      <c r="M507" s="915">
        <f>IF(SUM(L507)&gt;0,J507/H507,"")</f>
        <v>0.24120000000000003</v>
      </c>
    </row>
    <row r="508" spans="2:13" x14ac:dyDescent="0.25">
      <c r="B508" s="887" t="s">
        <v>1737</v>
      </c>
      <c r="C508" s="892">
        <f ca="1">IF(E508="","",MAX(INDIRECT(ADDRESS(ROW()-7,COLUMN())):INDIRECT(ADDRESS(ROW()-1,COLUMN())))+1)</f>
        <v>265</v>
      </c>
      <c r="D508" s="888" t="s">
        <v>1741</v>
      </c>
      <c r="E508" s="883" t="s">
        <v>555</v>
      </c>
      <c r="F508" s="884">
        <v>21</v>
      </c>
      <c r="G508" s="884">
        <v>500</v>
      </c>
      <c r="H508" s="884">
        <f t="shared" si="370"/>
        <v>10500</v>
      </c>
      <c r="I508" s="884">
        <f>_Formwork*0.9</f>
        <v>120.60000000000001</v>
      </c>
      <c r="J508" s="884">
        <f t="shared" si="371"/>
        <v>2532.6000000000004</v>
      </c>
      <c r="K508" s="884">
        <f t="shared" si="372"/>
        <v>358.32</v>
      </c>
      <c r="L508" s="885">
        <f t="shared" si="373"/>
        <v>7.0679839249832561</v>
      </c>
      <c r="M508" s="915">
        <f>IF(SUM(L508)&gt;0,J508/H508,"")</f>
        <v>0.24120000000000003</v>
      </c>
    </row>
    <row r="509" spans="2:13" ht="26" x14ac:dyDescent="0.25">
      <c r="B509" s="882" t="s">
        <v>314</v>
      </c>
      <c r="C509" s="911" t="str">
        <f ca="1">IF(E509="","",MAX(INDIRECT(ADDRESS(ROW()-7,COLUMN())):INDIRECT(ADDRESS(ROW()-1,COLUMN())))+1)</f>
        <v/>
      </c>
      <c r="D509" s="881" t="s">
        <v>1902</v>
      </c>
      <c r="E509" s="883"/>
      <c r="F509" s="884"/>
      <c r="G509" s="884"/>
      <c r="H509" s="884"/>
      <c r="I509" s="884"/>
      <c r="J509" s="884"/>
      <c r="K509" s="884"/>
      <c r="L509" s="885"/>
      <c r="M509" s="915"/>
    </row>
    <row r="510" spans="2:13" x14ac:dyDescent="0.25">
      <c r="B510" s="887" t="s">
        <v>39</v>
      </c>
      <c r="C510" s="892" t="str">
        <f ca="1">IF(E510="","",MAX(INDIRECT(ADDRESS(ROW()-7,COLUMN())):INDIRECT(ADDRESS(ROW()-1,COLUMN())))+1)</f>
        <v/>
      </c>
      <c r="D510" s="888" t="s">
        <v>1742</v>
      </c>
      <c r="E510" s="883"/>
      <c r="F510" s="884"/>
      <c r="G510" s="884"/>
      <c r="H510" s="884"/>
      <c r="I510" s="884"/>
      <c r="J510" s="884"/>
      <c r="K510" s="884"/>
      <c r="L510" s="885"/>
      <c r="M510" s="915"/>
    </row>
    <row r="511" spans="2:13" x14ac:dyDescent="0.25">
      <c r="B511" s="887" t="s">
        <v>990</v>
      </c>
      <c r="C511" s="892">
        <f ca="1">IF(E511="","",MAX(INDIRECT(ADDRESS(ROW()-7,COLUMN())):INDIRECT(ADDRESS(ROW()-1,COLUMN())))+1)</f>
        <v>266</v>
      </c>
      <c r="D511" s="888" t="s">
        <v>1743</v>
      </c>
      <c r="E511" s="883" t="s">
        <v>555</v>
      </c>
      <c r="F511" s="884">
        <v>473</v>
      </c>
      <c r="G511" s="884">
        <v>1500</v>
      </c>
      <c r="H511" s="884">
        <f t="shared" ref="H511" si="374">F511*G511</f>
        <v>709500</v>
      </c>
      <c r="I511" s="884">
        <f>_Formwork</f>
        <v>134</v>
      </c>
      <c r="J511" s="884">
        <f t="shared" ref="J511" si="375">I511*F511</f>
        <v>63382</v>
      </c>
      <c r="K511" s="884">
        <f>$M$1</f>
        <v>358.32</v>
      </c>
      <c r="L511" s="885">
        <f t="shared" ref="L511" si="376">J511/K511</f>
        <v>176.88658182630053</v>
      </c>
      <c r="M511" s="915">
        <f>IF(SUM(L511)&gt;0,J511/H511,"")</f>
        <v>8.9333333333333334E-2</v>
      </c>
    </row>
    <row r="512" spans="2:13" x14ac:dyDescent="0.25">
      <c r="B512" s="887"/>
      <c r="C512" s="892" t="str">
        <f ca="1">IF(E512="","",MAX(INDIRECT(ADDRESS(ROW()-7,COLUMN())):INDIRECT(ADDRESS(ROW()-1,COLUMN())))+1)</f>
        <v/>
      </c>
      <c r="D512" s="888"/>
      <c r="E512" s="883"/>
      <c r="F512" s="884"/>
      <c r="G512" s="884"/>
      <c r="H512" s="884"/>
      <c r="I512" s="884"/>
      <c r="J512" s="884"/>
      <c r="K512" s="884"/>
      <c r="L512" s="885"/>
      <c r="M512" s="915"/>
    </row>
    <row r="513" spans="2:13" ht="13" x14ac:dyDescent="0.25">
      <c r="B513" s="882" t="s">
        <v>316</v>
      </c>
      <c r="C513" s="911" t="str">
        <f ca="1">IF(E513="","",MAX(INDIRECT(ADDRESS(ROW()-7,COLUMN())):INDIRECT(ADDRESS(ROW()-1,COLUMN())))+1)</f>
        <v/>
      </c>
      <c r="D513" s="881" t="s">
        <v>317</v>
      </c>
      <c r="E513" s="883"/>
      <c r="F513" s="884"/>
      <c r="G513" s="884"/>
      <c r="H513" s="884"/>
      <c r="I513" s="884"/>
      <c r="J513" s="884"/>
      <c r="K513" s="884"/>
      <c r="L513" s="885"/>
      <c r="M513" s="915"/>
    </row>
    <row r="514" spans="2:13" ht="13" x14ac:dyDescent="0.25">
      <c r="B514" s="882" t="s">
        <v>318</v>
      </c>
      <c r="C514" s="911" t="str">
        <f ca="1">IF(E514="","",MAX(INDIRECT(ADDRESS(ROW()-7,COLUMN())):INDIRECT(ADDRESS(ROW()-1,COLUMN())))+1)</f>
        <v/>
      </c>
      <c r="D514" s="881" t="s">
        <v>322</v>
      </c>
      <c r="E514" s="883"/>
      <c r="F514" s="884"/>
      <c r="G514" s="884"/>
      <c r="H514" s="884"/>
      <c r="I514" s="884"/>
      <c r="J514" s="884"/>
      <c r="K514" s="884"/>
      <c r="L514" s="885"/>
      <c r="M514" s="915"/>
    </row>
    <row r="515" spans="2:13" ht="25" x14ac:dyDescent="0.25">
      <c r="B515" s="887" t="s">
        <v>319</v>
      </c>
      <c r="C515" s="892" t="str">
        <f ca="1">IF(E515="","",MAX(INDIRECT(ADDRESS(ROW()-7,COLUMN())):INDIRECT(ADDRESS(ROW()-1,COLUMN())))+1)</f>
        <v/>
      </c>
      <c r="D515" s="888" t="s">
        <v>1744</v>
      </c>
      <c r="E515" s="883"/>
      <c r="F515" s="884"/>
      <c r="G515" s="884"/>
      <c r="H515" s="884"/>
      <c r="I515" s="884"/>
      <c r="J515" s="884"/>
      <c r="K515" s="884"/>
      <c r="L515" s="885"/>
      <c r="M515" s="915"/>
    </row>
    <row r="516" spans="2:13" x14ac:dyDescent="0.25">
      <c r="B516" s="887" t="s">
        <v>39</v>
      </c>
      <c r="C516" s="892">
        <f ca="1">IF(E516="","",MAX(INDIRECT(ADDRESS(ROW()-7,COLUMN())):INDIRECT(ADDRESS(ROW()-1,COLUMN())))+1)</f>
        <v>267</v>
      </c>
      <c r="D516" s="888" t="s">
        <v>1751</v>
      </c>
      <c r="E516" s="883" t="s">
        <v>7</v>
      </c>
      <c r="F516" s="884">
        <v>5.6</v>
      </c>
      <c r="G516" s="884">
        <v>15000</v>
      </c>
      <c r="H516" s="884">
        <f t="shared" ref="H516:H517" si="377">F516*G516</f>
        <v>84000</v>
      </c>
      <c r="I516" s="884">
        <f>ROUND(9%*G516,1)</f>
        <v>1350</v>
      </c>
      <c r="J516" s="884">
        <f t="shared" ref="J516:J517" si="378">I516*F516</f>
        <v>7559.9999999999991</v>
      </c>
      <c r="K516" s="884">
        <f t="shared" ref="K516:K517" si="379">$M$1</f>
        <v>358.32</v>
      </c>
      <c r="L516" s="885">
        <f t="shared" ref="L516:L517" si="380">J516/K516</f>
        <v>21.098459477561953</v>
      </c>
      <c r="M516" s="915">
        <f>IF(SUM(L516)&gt;0,J516/H516,"")</f>
        <v>8.9999999999999983E-2</v>
      </c>
    </row>
    <row r="517" spans="2:13" x14ac:dyDescent="0.25">
      <c r="B517" s="887" t="s">
        <v>41</v>
      </c>
      <c r="C517" s="892">
        <f ca="1">IF(E517="","",MAX(INDIRECT(ADDRESS(ROW()-7,COLUMN())):INDIRECT(ADDRESS(ROW()-1,COLUMN())))+1)</f>
        <v>268</v>
      </c>
      <c r="D517" s="888" t="s">
        <v>1752</v>
      </c>
      <c r="E517" s="883" t="s">
        <v>7</v>
      </c>
      <c r="F517" s="884">
        <v>51.3</v>
      </c>
      <c r="G517" s="884">
        <v>15000</v>
      </c>
      <c r="H517" s="884">
        <f t="shared" si="377"/>
        <v>769500</v>
      </c>
      <c r="I517" s="884">
        <f>ROUND(9%*G517,1)</f>
        <v>1350</v>
      </c>
      <c r="J517" s="884">
        <f t="shared" si="378"/>
        <v>69255</v>
      </c>
      <c r="K517" s="884">
        <f t="shared" si="379"/>
        <v>358.32</v>
      </c>
      <c r="L517" s="885">
        <f t="shared" si="380"/>
        <v>193.27695914266579</v>
      </c>
      <c r="M517" s="915">
        <f>IF(SUM(L517)&gt;0,J517/H517,"")</f>
        <v>0.09</v>
      </c>
    </row>
    <row r="518" spans="2:13" x14ac:dyDescent="0.25">
      <c r="B518" s="887" t="s">
        <v>320</v>
      </c>
      <c r="C518" s="892" t="str">
        <f ca="1">IF(E518="","",MAX(INDIRECT(ADDRESS(ROW()-7,COLUMN())):INDIRECT(ADDRESS(ROW()-1,COLUMN())))+1)</f>
        <v/>
      </c>
      <c r="D518" s="888" t="s">
        <v>1739</v>
      </c>
      <c r="E518" s="883"/>
      <c r="F518" s="884"/>
      <c r="G518" s="884"/>
      <c r="H518" s="884"/>
      <c r="I518" s="884"/>
      <c r="J518" s="884"/>
      <c r="K518" s="884"/>
      <c r="L518" s="885"/>
      <c r="M518" s="915"/>
    </row>
    <row r="519" spans="2:13" x14ac:dyDescent="0.25">
      <c r="B519" s="887" t="s">
        <v>39</v>
      </c>
      <c r="C519" s="892">
        <f ca="1">IF(E519="","",MAX(INDIRECT(ADDRESS(ROW()-7,COLUMN())):INDIRECT(ADDRESS(ROW()-1,COLUMN())))+1)</f>
        <v>269</v>
      </c>
      <c r="D519" s="888" t="s">
        <v>1751</v>
      </c>
      <c r="E519" s="883" t="s">
        <v>7</v>
      </c>
      <c r="F519" s="884">
        <v>2.4</v>
      </c>
      <c r="G519" s="884">
        <v>15000</v>
      </c>
      <c r="H519" s="884">
        <f t="shared" ref="H519:H520" si="381">F519*G519</f>
        <v>36000</v>
      </c>
      <c r="I519" s="884">
        <f>ROUND(9%*G519,1)</f>
        <v>1350</v>
      </c>
      <c r="J519" s="884">
        <f t="shared" ref="J519:J520" si="382">I519*F519</f>
        <v>3240</v>
      </c>
      <c r="K519" s="884">
        <f t="shared" ref="K519:K520" si="383">$M$1</f>
        <v>358.32</v>
      </c>
      <c r="L519" s="885">
        <f t="shared" ref="L519:L520" si="384">J519/K519</f>
        <v>9.0421969189551241</v>
      </c>
      <c r="M519" s="915">
        <f>IF(SUM(L519)&gt;0,J519/H519,"")</f>
        <v>0.09</v>
      </c>
    </row>
    <row r="520" spans="2:13" x14ac:dyDescent="0.25">
      <c r="B520" s="887" t="s">
        <v>41</v>
      </c>
      <c r="C520" s="892">
        <f ca="1">IF(E520="","",MAX(INDIRECT(ADDRESS(ROW()-7,COLUMN())):INDIRECT(ADDRESS(ROW()-1,COLUMN())))+1)</f>
        <v>270</v>
      </c>
      <c r="D520" s="888" t="s">
        <v>1752</v>
      </c>
      <c r="E520" s="883" t="s">
        <v>7</v>
      </c>
      <c r="F520" s="884">
        <v>22.9</v>
      </c>
      <c r="G520" s="884">
        <v>15000</v>
      </c>
      <c r="H520" s="884">
        <f t="shared" si="381"/>
        <v>343500</v>
      </c>
      <c r="I520" s="884">
        <f>ROUND(9%*G520,1)</f>
        <v>1350</v>
      </c>
      <c r="J520" s="884">
        <f t="shared" si="382"/>
        <v>30914.999999999996</v>
      </c>
      <c r="K520" s="884">
        <f t="shared" si="383"/>
        <v>358.32</v>
      </c>
      <c r="L520" s="885">
        <f t="shared" si="384"/>
        <v>86.277628935030137</v>
      </c>
      <c r="M520" s="915">
        <f>IF(SUM(L520)&gt;0,J520/H520,"")</f>
        <v>8.9999999999999983E-2</v>
      </c>
    </row>
    <row r="521" spans="2:13" x14ac:dyDescent="0.25">
      <c r="B521" s="887" t="s">
        <v>1745</v>
      </c>
      <c r="C521" s="892" t="str">
        <f ca="1">IF(E521="","",MAX(INDIRECT(ADDRESS(ROW()-7,COLUMN())):INDIRECT(ADDRESS(ROW()-1,COLUMN())))+1)</f>
        <v/>
      </c>
      <c r="D521" s="888" t="s">
        <v>1723</v>
      </c>
      <c r="E521" s="883"/>
      <c r="F521" s="884"/>
      <c r="G521" s="884"/>
      <c r="H521" s="884"/>
      <c r="I521" s="884"/>
      <c r="J521" s="884"/>
      <c r="K521" s="884"/>
      <c r="L521" s="885"/>
      <c r="M521" s="915"/>
    </row>
    <row r="522" spans="2:13" x14ac:dyDescent="0.25">
      <c r="B522" s="887" t="s">
        <v>39</v>
      </c>
      <c r="C522" s="892">
        <f ca="1">IF(E522="","",MAX(INDIRECT(ADDRESS(ROW()-7,COLUMN())):INDIRECT(ADDRESS(ROW()-1,COLUMN())))+1)</f>
        <v>271</v>
      </c>
      <c r="D522" s="888" t="s">
        <v>1751</v>
      </c>
      <c r="E522" s="883" t="s">
        <v>7</v>
      </c>
      <c r="F522" s="884">
        <v>3.6</v>
      </c>
      <c r="G522" s="884">
        <v>15000</v>
      </c>
      <c r="H522" s="884">
        <f t="shared" ref="H522:H523" si="385">F522*G522</f>
        <v>54000</v>
      </c>
      <c r="I522" s="884">
        <f>ROUND(9%*G522,1)</f>
        <v>1350</v>
      </c>
      <c r="J522" s="884">
        <f t="shared" ref="J522:J523" si="386">I522*F522</f>
        <v>4860</v>
      </c>
      <c r="K522" s="884">
        <f t="shared" ref="K522:K523" si="387">$M$1</f>
        <v>358.32</v>
      </c>
      <c r="L522" s="885">
        <f t="shared" ref="L522:L523" si="388">J522/K522</f>
        <v>13.563295378432686</v>
      </c>
      <c r="M522" s="915">
        <f>IF(SUM(L522)&gt;0,J522/H522,"")</f>
        <v>0.09</v>
      </c>
    </row>
    <row r="523" spans="2:13" x14ac:dyDescent="0.25">
      <c r="B523" s="887" t="s">
        <v>41</v>
      </c>
      <c r="C523" s="892">
        <f ca="1">IF(E523="","",MAX(INDIRECT(ADDRESS(ROW()-7,COLUMN())):INDIRECT(ADDRESS(ROW()-1,COLUMN())))+1)</f>
        <v>272</v>
      </c>
      <c r="D523" s="888" t="s">
        <v>1752</v>
      </c>
      <c r="E523" s="883" t="s">
        <v>7</v>
      </c>
      <c r="F523" s="884">
        <v>34.299999999999997</v>
      </c>
      <c r="G523" s="884">
        <v>15000</v>
      </c>
      <c r="H523" s="884">
        <f t="shared" si="385"/>
        <v>514499.99999999994</v>
      </c>
      <c r="I523" s="884">
        <f>ROUND(9%*G523,1)</f>
        <v>1350</v>
      </c>
      <c r="J523" s="884">
        <f t="shared" si="386"/>
        <v>46304.999999999993</v>
      </c>
      <c r="K523" s="884">
        <f t="shared" si="387"/>
        <v>358.32</v>
      </c>
      <c r="L523" s="885">
        <f t="shared" si="388"/>
        <v>129.22806430006696</v>
      </c>
      <c r="M523" s="915">
        <f>IF(SUM(L523)&gt;0,J523/H523,"")</f>
        <v>0.09</v>
      </c>
    </row>
    <row r="524" spans="2:13" x14ac:dyDescent="0.25">
      <c r="B524" s="887" t="s">
        <v>1746</v>
      </c>
      <c r="C524" s="892" t="str">
        <f ca="1">IF(E524="","",MAX(INDIRECT(ADDRESS(ROW()-7,COLUMN())):INDIRECT(ADDRESS(ROW()-1,COLUMN())))+1)</f>
        <v/>
      </c>
      <c r="D524" s="888" t="s">
        <v>1747</v>
      </c>
      <c r="E524" s="883"/>
      <c r="F524" s="884"/>
      <c r="G524" s="884"/>
      <c r="H524" s="884"/>
      <c r="I524" s="884"/>
      <c r="J524" s="884"/>
      <c r="K524" s="884"/>
      <c r="L524" s="885"/>
      <c r="M524" s="915"/>
    </row>
    <row r="525" spans="2:13" x14ac:dyDescent="0.25">
      <c r="B525" s="887" t="s">
        <v>39</v>
      </c>
      <c r="C525" s="892">
        <f ca="1">IF(E525="","",MAX(INDIRECT(ADDRESS(ROW()-7,COLUMN())):INDIRECT(ADDRESS(ROW()-1,COLUMN())))+1)</f>
        <v>273</v>
      </c>
      <c r="D525" s="888" t="s">
        <v>1751</v>
      </c>
      <c r="E525" s="883" t="s">
        <v>7</v>
      </c>
      <c r="F525" s="884">
        <v>0.4</v>
      </c>
      <c r="G525" s="884">
        <v>15000</v>
      </c>
      <c r="H525" s="884">
        <f t="shared" ref="H525:H526" si="389">F525*G525</f>
        <v>6000</v>
      </c>
      <c r="I525" s="884">
        <f>ROUND(9%*G525,1)</f>
        <v>1350</v>
      </c>
      <c r="J525" s="884">
        <f t="shared" ref="J525:J528" si="390">I525*F525</f>
        <v>540</v>
      </c>
      <c r="K525" s="884">
        <f t="shared" ref="K525:K526" si="391">$M$1</f>
        <v>358.32</v>
      </c>
      <c r="L525" s="885">
        <f t="shared" ref="L525:L526" si="392">J525/K525</f>
        <v>1.507032819825854</v>
      </c>
      <c r="M525" s="915">
        <f>IF(SUM(L525)&gt;0,J525/H525,"")</f>
        <v>0.09</v>
      </c>
    </row>
    <row r="526" spans="2:13" x14ac:dyDescent="0.25">
      <c r="B526" s="887" t="s">
        <v>41</v>
      </c>
      <c r="C526" s="892">
        <f ca="1">IF(E526="","",MAX(INDIRECT(ADDRESS(ROW()-7,COLUMN())):INDIRECT(ADDRESS(ROW()-1,COLUMN())))+1)</f>
        <v>274</v>
      </c>
      <c r="D526" s="888" t="s">
        <v>1752</v>
      </c>
      <c r="E526" s="883" t="s">
        <v>7</v>
      </c>
      <c r="F526" s="884">
        <v>3.6</v>
      </c>
      <c r="G526" s="884">
        <v>15000</v>
      </c>
      <c r="H526" s="884">
        <f t="shared" si="389"/>
        <v>54000</v>
      </c>
      <c r="I526" s="884">
        <f>ROUND(9%*G526,1)</f>
        <v>1350</v>
      </c>
      <c r="J526" s="884">
        <f t="shared" si="390"/>
        <v>4860</v>
      </c>
      <c r="K526" s="884">
        <f t="shared" si="391"/>
        <v>358.32</v>
      </c>
      <c r="L526" s="885">
        <f t="shared" si="392"/>
        <v>13.563295378432686</v>
      </c>
      <c r="M526" s="915">
        <f>IF(SUM(L526)&gt;0,J526/H526,"")</f>
        <v>0.09</v>
      </c>
    </row>
    <row r="527" spans="2:13" x14ac:dyDescent="0.25">
      <c r="B527" s="887" t="s">
        <v>1748</v>
      </c>
      <c r="C527" s="892" t="str">
        <f ca="1">IF(E527="","",MAX(INDIRECT(ADDRESS(ROW()-7,COLUMN())):INDIRECT(ADDRESS(ROW()-1,COLUMN())))+1)</f>
        <v/>
      </c>
      <c r="D527" s="888" t="s">
        <v>1741</v>
      </c>
      <c r="E527" s="883"/>
      <c r="F527" s="884"/>
      <c r="G527" s="884"/>
      <c r="H527" s="884"/>
      <c r="I527" s="884"/>
      <c r="J527" s="884"/>
      <c r="K527" s="884"/>
      <c r="L527" s="885"/>
      <c r="M527" s="915"/>
    </row>
    <row r="528" spans="2:13" x14ac:dyDescent="0.25">
      <c r="B528" s="887" t="s">
        <v>52</v>
      </c>
      <c r="C528" s="892">
        <f ca="1">IF(E528="","",MAX(INDIRECT(ADDRESS(ROW()-7,COLUMN())):INDIRECT(ADDRESS(ROW()-1,COLUMN())))+1)</f>
        <v>275</v>
      </c>
      <c r="D528" s="888" t="s">
        <v>1753</v>
      </c>
      <c r="E528" s="883" t="s">
        <v>24</v>
      </c>
      <c r="F528" s="884">
        <v>116</v>
      </c>
      <c r="G528" s="884">
        <v>22.5</v>
      </c>
      <c r="H528" s="884">
        <f t="shared" ref="H528" si="393">F528*G528</f>
        <v>2610</v>
      </c>
      <c r="I528" s="884">
        <f>ROUND(12%*G528,1)</f>
        <v>2.7</v>
      </c>
      <c r="J528" s="884">
        <f t="shared" si="390"/>
        <v>313.20000000000005</v>
      </c>
      <c r="K528" s="884">
        <f>$M$1</f>
        <v>358.32</v>
      </c>
      <c r="L528" s="885">
        <f t="shared" ref="L528" si="394">J528/K528</f>
        <v>0.87407903549899546</v>
      </c>
      <c r="M528" s="915">
        <f>IF(SUM(L528)&gt;0,J528/H528,"")</f>
        <v>0.12000000000000002</v>
      </c>
    </row>
    <row r="529" spans="2:13" x14ac:dyDescent="0.25">
      <c r="B529" s="887" t="s">
        <v>1749</v>
      </c>
      <c r="C529" s="892" t="str">
        <f ca="1">IF(E529="","",MAX(INDIRECT(ADDRESS(ROW()-7,COLUMN())):INDIRECT(ADDRESS(ROW()-1,COLUMN())))+1)</f>
        <v/>
      </c>
      <c r="D529" s="888" t="s">
        <v>1750</v>
      </c>
      <c r="E529" s="883"/>
      <c r="F529" s="884"/>
      <c r="G529" s="884"/>
      <c r="H529" s="884"/>
      <c r="I529" s="884"/>
      <c r="J529" s="884"/>
      <c r="K529" s="884"/>
      <c r="L529" s="885"/>
      <c r="M529" s="915"/>
    </row>
    <row r="530" spans="2:13" x14ac:dyDescent="0.25">
      <c r="B530" s="887" t="s">
        <v>39</v>
      </c>
      <c r="C530" s="892">
        <f ca="1">IF(E530="","",MAX(INDIRECT(ADDRESS(ROW()-7,COLUMN())):INDIRECT(ADDRESS(ROW()-1,COLUMN())))+1)</f>
        <v>276</v>
      </c>
      <c r="D530" s="888" t="s">
        <v>310</v>
      </c>
      <c r="E530" s="883" t="s">
        <v>7</v>
      </c>
      <c r="F530" s="884">
        <v>0.3</v>
      </c>
      <c r="G530" s="884">
        <v>15000</v>
      </c>
      <c r="H530" s="884">
        <f t="shared" ref="H530:H531" si="395">F530*G530</f>
        <v>4500</v>
      </c>
      <c r="I530" s="884">
        <f t="shared" ref="I530:I531" si="396">ROUND(9%*G530,1)</f>
        <v>1350</v>
      </c>
      <c r="J530" s="884">
        <f t="shared" ref="J530:J531" si="397">I530*F530</f>
        <v>405</v>
      </c>
      <c r="K530" s="884">
        <f t="shared" ref="K530:K531" si="398">$M$1</f>
        <v>358.32</v>
      </c>
      <c r="L530" s="885">
        <f t="shared" ref="L530:L531" si="399">J530/K530</f>
        <v>1.1302746148693905</v>
      </c>
      <c r="M530" s="915">
        <f>IF(SUM(L530)&gt;0,J530/H530,"")</f>
        <v>0.09</v>
      </c>
    </row>
    <row r="531" spans="2:13" x14ac:dyDescent="0.25">
      <c r="B531" s="887" t="s">
        <v>41</v>
      </c>
      <c r="C531" s="892">
        <f ca="1">IF(E531="","",MAX(INDIRECT(ADDRESS(ROW()-7,COLUMN())):INDIRECT(ADDRESS(ROW()-1,COLUMN())))+1)</f>
        <v>277</v>
      </c>
      <c r="D531" s="888" t="s">
        <v>1754</v>
      </c>
      <c r="E531" s="883" t="s">
        <v>7</v>
      </c>
      <c r="F531" s="884">
        <v>3.1</v>
      </c>
      <c r="G531" s="884">
        <v>15000</v>
      </c>
      <c r="H531" s="884">
        <f t="shared" si="395"/>
        <v>46500</v>
      </c>
      <c r="I531" s="884">
        <f t="shared" si="396"/>
        <v>1350</v>
      </c>
      <c r="J531" s="884">
        <f t="shared" si="397"/>
        <v>4185</v>
      </c>
      <c r="K531" s="884">
        <f t="shared" si="398"/>
        <v>358.32</v>
      </c>
      <c r="L531" s="885">
        <f t="shared" si="399"/>
        <v>11.679504353650369</v>
      </c>
      <c r="M531" s="915">
        <f>IF(SUM(L531)&gt;0,J531/H531,"")</f>
        <v>0.09</v>
      </c>
    </row>
    <row r="532" spans="2:13" x14ac:dyDescent="0.25">
      <c r="B532" s="887"/>
      <c r="C532" s="892" t="str">
        <f ca="1">IF(E532="","",MAX(INDIRECT(ADDRESS(ROW()-7,COLUMN())):INDIRECT(ADDRESS(ROW()-1,COLUMN())))+1)</f>
        <v/>
      </c>
      <c r="D532" s="888"/>
      <c r="E532" s="883"/>
      <c r="F532" s="884"/>
      <c r="G532" s="884"/>
      <c r="H532" s="884"/>
      <c r="I532" s="884"/>
      <c r="J532" s="884"/>
      <c r="K532" s="884"/>
      <c r="L532" s="885"/>
      <c r="M532" s="915"/>
    </row>
    <row r="533" spans="2:13" ht="13" x14ac:dyDescent="0.25">
      <c r="B533" s="882" t="s">
        <v>323</v>
      </c>
      <c r="C533" s="911" t="str">
        <f ca="1">IF(E533="","",MAX(INDIRECT(ADDRESS(ROW()-7,COLUMN())):INDIRECT(ADDRESS(ROW()-1,COLUMN())))+1)</f>
        <v/>
      </c>
      <c r="D533" s="881" t="s">
        <v>324</v>
      </c>
      <c r="E533" s="883"/>
      <c r="F533" s="884"/>
      <c r="G533" s="884"/>
      <c r="H533" s="884"/>
      <c r="I533" s="884"/>
      <c r="J533" s="884"/>
      <c r="K533" s="884"/>
      <c r="L533" s="885"/>
      <c r="M533" s="915"/>
    </row>
    <row r="534" spans="2:13" ht="13" x14ac:dyDescent="0.25">
      <c r="B534" s="882" t="s">
        <v>328</v>
      </c>
      <c r="C534" s="911" t="str">
        <f ca="1">IF(E534="","",MAX(INDIRECT(ADDRESS(ROW()-7,COLUMN())):INDIRECT(ADDRESS(ROW()-1,COLUMN())))+1)</f>
        <v/>
      </c>
      <c r="D534" s="881" t="s">
        <v>1848</v>
      </c>
      <c r="E534" s="883"/>
      <c r="F534" s="884"/>
      <c r="G534" s="884"/>
      <c r="H534" s="884"/>
      <c r="I534" s="884"/>
      <c r="J534" s="884"/>
      <c r="K534" s="884"/>
      <c r="L534" s="885"/>
      <c r="M534" s="915"/>
    </row>
    <row r="535" spans="2:13" x14ac:dyDescent="0.25">
      <c r="B535" s="887" t="s">
        <v>329</v>
      </c>
      <c r="C535" s="892" t="str">
        <f ca="1">IF(E535="","",MAX(INDIRECT(ADDRESS(ROW()-7,COLUMN())):INDIRECT(ADDRESS(ROW()-1,COLUMN())))+1)</f>
        <v/>
      </c>
      <c r="D535" s="888" t="s">
        <v>325</v>
      </c>
      <c r="E535" s="883"/>
      <c r="F535" s="884"/>
      <c r="G535" s="884"/>
      <c r="H535" s="884"/>
      <c r="I535" s="884"/>
      <c r="J535" s="884"/>
      <c r="K535" s="884"/>
      <c r="L535" s="885"/>
      <c r="M535" s="915"/>
    </row>
    <row r="536" spans="2:13" x14ac:dyDescent="0.25">
      <c r="B536" s="887" t="s">
        <v>39</v>
      </c>
      <c r="C536" s="892">
        <f ca="1">IF(E536="","",MAX(INDIRECT(ADDRESS(ROW()-7,COLUMN())):INDIRECT(ADDRESS(ROW()-1,COLUMN())))+1)</f>
        <v>278</v>
      </c>
      <c r="D536" s="888" t="s">
        <v>2023</v>
      </c>
      <c r="E536" s="883" t="s">
        <v>799</v>
      </c>
      <c r="F536" s="884">
        <v>342</v>
      </c>
      <c r="G536" s="884">
        <v>2250</v>
      </c>
      <c r="H536" s="884">
        <f t="shared" ref="H536:H544" si="400">F536*G536</f>
        <v>769500</v>
      </c>
      <c r="I536" s="884">
        <f t="shared" ref="I536:I544" si="401">ROUND(Labour_perc_roads*G536,1)</f>
        <v>65.3</v>
      </c>
      <c r="J536" s="884">
        <f t="shared" ref="J536:J544" si="402">I536*F536</f>
        <v>22332.6</v>
      </c>
      <c r="K536" s="884">
        <f t="shared" ref="K536:K544" si="403">$M$1</f>
        <v>358.32</v>
      </c>
      <c r="L536" s="885">
        <f t="shared" ref="L536:L544" si="404">J536/K536</f>
        <v>62.325853985264565</v>
      </c>
      <c r="M536" s="915">
        <f t="shared" ref="M536:M544" si="405">IF(SUM(L536)&gt;0,J536/H536,"")</f>
        <v>2.902222222222222E-2</v>
      </c>
    </row>
    <row r="537" spans="2:13" ht="25" x14ac:dyDescent="0.25">
      <c r="B537" s="887" t="s">
        <v>41</v>
      </c>
      <c r="C537" s="892">
        <f ca="1">IF(E537="","",MAX(INDIRECT(ADDRESS(ROW()-7,COLUMN())):INDIRECT(ADDRESS(ROW()-1,COLUMN())))+1)</f>
        <v>279</v>
      </c>
      <c r="D537" s="888" t="s">
        <v>2028</v>
      </c>
      <c r="E537" s="883" t="s">
        <v>799</v>
      </c>
      <c r="F537" s="884">
        <v>94</v>
      </c>
      <c r="G537" s="884">
        <v>2250</v>
      </c>
      <c r="H537" s="884">
        <f t="shared" si="400"/>
        <v>211500</v>
      </c>
      <c r="I537" s="884">
        <f t="shared" si="401"/>
        <v>65.3</v>
      </c>
      <c r="J537" s="884">
        <f t="shared" si="402"/>
        <v>6138.2</v>
      </c>
      <c r="K537" s="884">
        <f t="shared" si="403"/>
        <v>358.32</v>
      </c>
      <c r="L537" s="885">
        <f t="shared" si="404"/>
        <v>17.130497878990845</v>
      </c>
      <c r="M537" s="915">
        <f t="shared" si="405"/>
        <v>2.902222222222222E-2</v>
      </c>
    </row>
    <row r="538" spans="2:13" ht="25" x14ac:dyDescent="0.25">
      <c r="B538" s="887" t="s">
        <v>52</v>
      </c>
      <c r="C538" s="892">
        <f ca="1">IF(E538="","",MAX(INDIRECT(ADDRESS(ROW()-7,COLUMN())):INDIRECT(ADDRESS(ROW()-1,COLUMN())))+1)</f>
        <v>280</v>
      </c>
      <c r="D538" s="888" t="s">
        <v>2029</v>
      </c>
      <c r="E538" s="883" t="s">
        <v>799</v>
      </c>
      <c r="F538" s="884">
        <v>120</v>
      </c>
      <c r="G538" s="884">
        <v>2250</v>
      </c>
      <c r="H538" s="884">
        <f t="shared" si="400"/>
        <v>270000</v>
      </c>
      <c r="I538" s="884">
        <f t="shared" si="401"/>
        <v>65.3</v>
      </c>
      <c r="J538" s="884">
        <f t="shared" si="402"/>
        <v>7836</v>
      </c>
      <c r="K538" s="884">
        <f t="shared" si="403"/>
        <v>358.32</v>
      </c>
      <c r="L538" s="885">
        <f t="shared" si="404"/>
        <v>21.868720696584059</v>
      </c>
      <c r="M538" s="915">
        <f t="shared" si="405"/>
        <v>2.9022222222222224E-2</v>
      </c>
    </row>
    <row r="539" spans="2:13" ht="25" x14ac:dyDescent="0.25">
      <c r="B539" s="887" t="s">
        <v>43</v>
      </c>
      <c r="C539" s="892">
        <f ca="1">IF(E539="","",MAX(INDIRECT(ADDRESS(ROW()-7,COLUMN())):INDIRECT(ADDRESS(ROW()-1,COLUMN())))+1)</f>
        <v>281</v>
      </c>
      <c r="D539" s="888" t="s">
        <v>2030</v>
      </c>
      <c r="E539" s="883" t="s">
        <v>799</v>
      </c>
      <c r="F539" s="884">
        <v>37</v>
      </c>
      <c r="G539" s="884">
        <v>2250</v>
      </c>
      <c r="H539" s="884">
        <f t="shared" si="400"/>
        <v>83250</v>
      </c>
      <c r="I539" s="884">
        <f t="shared" si="401"/>
        <v>65.3</v>
      </c>
      <c r="J539" s="884">
        <f t="shared" si="402"/>
        <v>2416.1</v>
      </c>
      <c r="K539" s="884">
        <f t="shared" si="403"/>
        <v>358.32</v>
      </c>
      <c r="L539" s="885">
        <f t="shared" si="404"/>
        <v>6.7428555481134183</v>
      </c>
      <c r="M539" s="915">
        <f t="shared" si="405"/>
        <v>2.902222222222222E-2</v>
      </c>
    </row>
    <row r="540" spans="2:13" ht="25" x14ac:dyDescent="0.25">
      <c r="B540" s="887" t="s">
        <v>44</v>
      </c>
      <c r="C540" s="892">
        <f ca="1">IF(E540="","",MAX(INDIRECT(ADDRESS(ROW()-7,COLUMN())):INDIRECT(ADDRESS(ROW()-1,COLUMN())))+1)</f>
        <v>282</v>
      </c>
      <c r="D540" s="888" t="s">
        <v>2031</v>
      </c>
      <c r="E540" s="883" t="s">
        <v>799</v>
      </c>
      <c r="F540" s="884">
        <v>64</v>
      </c>
      <c r="G540" s="884">
        <v>2250</v>
      </c>
      <c r="H540" s="884">
        <f t="shared" si="400"/>
        <v>144000</v>
      </c>
      <c r="I540" s="884">
        <f t="shared" si="401"/>
        <v>65.3</v>
      </c>
      <c r="J540" s="884">
        <f t="shared" si="402"/>
        <v>4179.2</v>
      </c>
      <c r="K540" s="884">
        <f t="shared" si="403"/>
        <v>358.32</v>
      </c>
      <c r="L540" s="885">
        <f t="shared" si="404"/>
        <v>11.663317704844831</v>
      </c>
      <c r="M540" s="915">
        <f t="shared" si="405"/>
        <v>2.902222222222222E-2</v>
      </c>
    </row>
    <row r="541" spans="2:13" ht="25" x14ac:dyDescent="0.25">
      <c r="B541" s="887" t="s">
        <v>45</v>
      </c>
      <c r="C541" s="892">
        <f ca="1">IF(E541="","",MAX(INDIRECT(ADDRESS(ROW()-7,COLUMN())):INDIRECT(ADDRESS(ROW()-1,COLUMN())))+1)</f>
        <v>283</v>
      </c>
      <c r="D541" s="888" t="s">
        <v>2032</v>
      </c>
      <c r="E541" s="883" t="s">
        <v>799</v>
      </c>
      <c r="F541" s="884">
        <v>137</v>
      </c>
      <c r="G541" s="884">
        <v>2250</v>
      </c>
      <c r="H541" s="884">
        <f t="shared" si="400"/>
        <v>308250</v>
      </c>
      <c r="I541" s="884">
        <f t="shared" si="401"/>
        <v>65.3</v>
      </c>
      <c r="J541" s="884">
        <f t="shared" si="402"/>
        <v>8946.1</v>
      </c>
      <c r="K541" s="884">
        <f t="shared" si="403"/>
        <v>358.32</v>
      </c>
      <c r="L541" s="885">
        <f t="shared" si="404"/>
        <v>24.96678946193347</v>
      </c>
      <c r="M541" s="915">
        <f t="shared" si="405"/>
        <v>2.9022222222222224E-2</v>
      </c>
    </row>
    <row r="542" spans="2:13" ht="25" x14ac:dyDescent="0.25">
      <c r="B542" s="887" t="s">
        <v>239</v>
      </c>
      <c r="C542" s="892">
        <f ca="1">IF(E542="","",MAX(INDIRECT(ADDRESS(ROW()-7,COLUMN())):INDIRECT(ADDRESS(ROW()-1,COLUMN())))+1)</f>
        <v>284</v>
      </c>
      <c r="D542" s="888" t="s">
        <v>2033</v>
      </c>
      <c r="E542" s="883" t="s">
        <v>799</v>
      </c>
      <c r="F542" s="884">
        <v>64</v>
      </c>
      <c r="G542" s="884">
        <v>2250</v>
      </c>
      <c r="H542" s="884">
        <f t="shared" si="400"/>
        <v>144000</v>
      </c>
      <c r="I542" s="884">
        <f t="shared" si="401"/>
        <v>65.3</v>
      </c>
      <c r="J542" s="884">
        <f t="shared" si="402"/>
        <v>4179.2</v>
      </c>
      <c r="K542" s="884">
        <f t="shared" si="403"/>
        <v>358.32</v>
      </c>
      <c r="L542" s="885">
        <f t="shared" si="404"/>
        <v>11.663317704844831</v>
      </c>
      <c r="M542" s="915">
        <f t="shared" si="405"/>
        <v>2.902222222222222E-2</v>
      </c>
    </row>
    <row r="543" spans="2:13" ht="25" x14ac:dyDescent="0.25">
      <c r="B543" s="887" t="s">
        <v>50</v>
      </c>
      <c r="C543" s="892">
        <f ca="1">IF(E543="","",MAX(INDIRECT(ADDRESS(ROW()-7,COLUMN())):INDIRECT(ADDRESS(ROW()-1,COLUMN())))+1)</f>
        <v>285</v>
      </c>
      <c r="D543" s="888" t="s">
        <v>2034</v>
      </c>
      <c r="E543" s="883" t="s">
        <v>799</v>
      </c>
      <c r="F543" s="884">
        <v>138</v>
      </c>
      <c r="G543" s="884">
        <v>2250</v>
      </c>
      <c r="H543" s="884">
        <f t="shared" si="400"/>
        <v>310500</v>
      </c>
      <c r="I543" s="884">
        <f t="shared" si="401"/>
        <v>65.3</v>
      </c>
      <c r="J543" s="884">
        <f t="shared" si="402"/>
        <v>9011.4</v>
      </c>
      <c r="K543" s="884">
        <f t="shared" si="403"/>
        <v>358.32</v>
      </c>
      <c r="L543" s="885">
        <f t="shared" si="404"/>
        <v>25.149028801071669</v>
      </c>
      <c r="M543" s="915">
        <f t="shared" si="405"/>
        <v>2.902222222222222E-2</v>
      </c>
    </row>
    <row r="544" spans="2:13" ht="25" x14ac:dyDescent="0.25">
      <c r="B544" s="887" t="s">
        <v>235</v>
      </c>
      <c r="C544" s="892">
        <f ca="1">IF(E544="","",MAX(INDIRECT(ADDRESS(ROW()-7,COLUMN())):INDIRECT(ADDRESS(ROW()-1,COLUMN())))+1)</f>
        <v>286</v>
      </c>
      <c r="D544" s="888" t="s">
        <v>2035</v>
      </c>
      <c r="E544" s="883" t="s">
        <v>799</v>
      </c>
      <c r="F544" s="884">
        <v>31</v>
      </c>
      <c r="G544" s="884">
        <v>2250</v>
      </c>
      <c r="H544" s="884">
        <f t="shared" si="400"/>
        <v>69750</v>
      </c>
      <c r="I544" s="884">
        <f t="shared" si="401"/>
        <v>65.3</v>
      </c>
      <c r="J544" s="884">
        <f t="shared" si="402"/>
        <v>2024.3</v>
      </c>
      <c r="K544" s="884">
        <f t="shared" si="403"/>
        <v>358.32</v>
      </c>
      <c r="L544" s="885">
        <f t="shared" si="404"/>
        <v>5.6494195132842151</v>
      </c>
      <c r="M544" s="915">
        <f t="shared" si="405"/>
        <v>2.902222222222222E-2</v>
      </c>
    </row>
    <row r="545" spans="2:13" ht="37.5" x14ac:dyDescent="0.25">
      <c r="B545" s="887" t="s">
        <v>332</v>
      </c>
      <c r="C545" s="892" t="str">
        <f ca="1">IF(E545="","",MAX(INDIRECT(ADDRESS(ROW()-7,COLUMN())):INDIRECT(ADDRESS(ROW()-1,COLUMN())))+1)</f>
        <v/>
      </c>
      <c r="D545" s="888" t="s">
        <v>327</v>
      </c>
      <c r="E545" s="883"/>
      <c r="F545" s="884"/>
      <c r="G545" s="884"/>
      <c r="H545" s="884"/>
      <c r="I545" s="884"/>
      <c r="J545" s="884"/>
      <c r="K545" s="884"/>
      <c r="L545" s="885"/>
      <c r="M545" s="915"/>
    </row>
    <row r="546" spans="2:13" x14ac:dyDescent="0.25">
      <c r="B546" s="887" t="s">
        <v>333</v>
      </c>
      <c r="C546" s="892">
        <f ca="1">IF(E546="","",MAX(INDIRECT(ADDRESS(ROW()-7,COLUMN())):INDIRECT(ADDRESS(ROW()-1,COLUMN())))+1)</f>
        <v>287</v>
      </c>
      <c r="D546" s="888" t="s">
        <v>1724</v>
      </c>
      <c r="E546" s="883" t="s">
        <v>799</v>
      </c>
      <c r="F546" s="884">
        <v>200</v>
      </c>
      <c r="G546" s="884">
        <v>500</v>
      </c>
      <c r="H546" s="884">
        <f t="shared" ref="H546" si="406">F546*G546</f>
        <v>100000</v>
      </c>
      <c r="I546" s="884">
        <f>ROUND(Labour_perc_roads*G546,1)</f>
        <v>14.5</v>
      </c>
      <c r="J546" s="884">
        <f t="shared" ref="J546" si="407">I546*F546</f>
        <v>2900</v>
      </c>
      <c r="K546" s="884">
        <f>$M$1</f>
        <v>358.32</v>
      </c>
      <c r="L546" s="885">
        <f t="shared" ref="L546" si="408">J546/K546</f>
        <v>8.0933244027684754</v>
      </c>
      <c r="M546" s="915">
        <f>IF(SUM(L546)&gt;0,J546/H546,"")</f>
        <v>2.9000000000000001E-2</v>
      </c>
    </row>
    <row r="547" spans="2:13" ht="37.5" x14ac:dyDescent="0.25">
      <c r="B547" s="887" t="s">
        <v>330</v>
      </c>
      <c r="C547" s="892" t="str">
        <f ca="1">IF(E547="","",MAX(INDIRECT(ADDRESS(ROW()-7,COLUMN())):INDIRECT(ADDRESS(ROW()-1,COLUMN())))+1)</f>
        <v/>
      </c>
      <c r="D547" s="888" t="s">
        <v>326</v>
      </c>
      <c r="E547" s="883"/>
      <c r="F547" s="884"/>
      <c r="G547" s="884"/>
      <c r="H547" s="884"/>
      <c r="I547" s="884"/>
      <c r="J547" s="884"/>
      <c r="K547" s="884"/>
      <c r="L547" s="885"/>
      <c r="M547" s="915"/>
    </row>
    <row r="548" spans="2:13" x14ac:dyDescent="0.25">
      <c r="B548" s="887" t="s">
        <v>331</v>
      </c>
      <c r="C548" s="892" t="str">
        <f ca="1">IF(E548="","",MAX(INDIRECT(ADDRESS(ROW()-7,COLUMN())):INDIRECT(ADDRESS(ROW()-1,COLUMN())))+1)</f>
        <v/>
      </c>
      <c r="D548" s="888" t="s">
        <v>325</v>
      </c>
      <c r="E548" s="883"/>
      <c r="F548" s="884"/>
      <c r="G548" s="884"/>
      <c r="H548" s="884"/>
      <c r="I548" s="884"/>
      <c r="J548" s="884"/>
      <c r="K548" s="884"/>
      <c r="L548" s="885"/>
      <c r="M548" s="915"/>
    </row>
    <row r="549" spans="2:13" ht="25" x14ac:dyDescent="0.25">
      <c r="B549" s="887" t="s">
        <v>39</v>
      </c>
      <c r="C549" s="892">
        <f ca="1">IF(E549="","",MAX(INDIRECT(ADDRESS(ROW()-7,COLUMN())):INDIRECT(ADDRESS(ROW()-1,COLUMN())))+1)</f>
        <v>288</v>
      </c>
      <c r="D549" s="888" t="s">
        <v>2144</v>
      </c>
      <c r="E549" s="883" t="s">
        <v>799</v>
      </c>
      <c r="F549" s="884">
        <v>1027</v>
      </c>
      <c r="G549" s="884">
        <v>400</v>
      </c>
      <c r="H549" s="884">
        <f t="shared" ref="H549" si="409">F549*G549</f>
        <v>410800</v>
      </c>
      <c r="I549" s="884">
        <f>ROUND(Labour_perc_roads*F549,1)</f>
        <v>29.8</v>
      </c>
      <c r="J549" s="884">
        <f t="shared" ref="J549" si="410">I549*F549</f>
        <v>30604.600000000002</v>
      </c>
      <c r="K549" s="884">
        <f>$M$1</f>
        <v>358.32</v>
      </c>
      <c r="L549" s="885">
        <f t="shared" ref="L549" si="411">J549/K549</f>
        <v>85.411364143782109</v>
      </c>
      <c r="M549" s="915">
        <f>IF(SUM(L549)&gt;0,J549/H549,"")</f>
        <v>7.4500000000000011E-2</v>
      </c>
    </row>
    <row r="550" spans="2:13" x14ac:dyDescent="0.25">
      <c r="B550" s="887"/>
      <c r="C550" s="892" t="str">
        <f ca="1">IF(E550="","",MAX(INDIRECT(ADDRESS(ROW()-7,COLUMN())):INDIRECT(ADDRESS(ROW()-1,COLUMN())))+1)</f>
        <v/>
      </c>
      <c r="D550" s="888"/>
      <c r="E550" s="883"/>
      <c r="F550" s="884"/>
      <c r="G550" s="884"/>
      <c r="H550" s="884"/>
      <c r="I550" s="884"/>
      <c r="J550" s="884"/>
      <c r="K550" s="884"/>
      <c r="L550" s="885"/>
      <c r="M550" s="915"/>
    </row>
    <row r="551" spans="2:13" ht="13" x14ac:dyDescent="0.25">
      <c r="B551" s="882" t="s">
        <v>335</v>
      </c>
      <c r="C551" s="911" t="str">
        <f ca="1">IF(E551="","",MAX(INDIRECT(ADDRESS(ROW()-7,COLUMN())):INDIRECT(ADDRESS(ROW()-1,COLUMN())))+1)</f>
        <v/>
      </c>
      <c r="D551" s="881" t="s">
        <v>334</v>
      </c>
      <c r="E551" s="883"/>
      <c r="F551" s="884"/>
      <c r="G551" s="884"/>
      <c r="H551" s="884"/>
      <c r="I551" s="884"/>
      <c r="J551" s="884"/>
      <c r="K551" s="884"/>
      <c r="L551" s="885"/>
      <c r="M551" s="915"/>
    </row>
    <row r="552" spans="2:13" ht="13" x14ac:dyDescent="0.25">
      <c r="B552" s="882" t="s">
        <v>339</v>
      </c>
      <c r="C552" s="911" t="str">
        <f ca="1">IF(E552="","",MAX(INDIRECT(ADDRESS(ROW()-7,COLUMN())):INDIRECT(ADDRESS(ROW()-1,COLUMN())))+1)</f>
        <v/>
      </c>
      <c r="D552" s="881" t="s">
        <v>1837</v>
      </c>
      <c r="E552" s="883"/>
      <c r="F552" s="884"/>
      <c r="G552" s="884"/>
      <c r="H552" s="884"/>
      <c r="I552" s="884"/>
      <c r="J552" s="884"/>
      <c r="K552" s="884"/>
      <c r="L552" s="885"/>
      <c r="M552" s="915"/>
    </row>
    <row r="553" spans="2:13" ht="25" x14ac:dyDescent="0.25">
      <c r="B553" s="887" t="s">
        <v>39</v>
      </c>
      <c r="C553" s="892">
        <f ca="1">IF(E553="","",MAX(INDIRECT(ADDRESS(ROW()-7,COLUMN())):INDIRECT(ADDRESS(ROW()-1,COLUMN())))+1)</f>
        <v>289</v>
      </c>
      <c r="D553" s="888" t="s">
        <v>1699</v>
      </c>
      <c r="E553" s="883" t="s">
        <v>34</v>
      </c>
      <c r="F553" s="884">
        <v>25</v>
      </c>
      <c r="G553" s="884">
        <v>2500</v>
      </c>
      <c r="H553" s="884">
        <f t="shared" ref="H553" si="412">F553*G553</f>
        <v>62500</v>
      </c>
      <c r="I553" s="884">
        <f>ROUND(6%*G553,1)</f>
        <v>150</v>
      </c>
      <c r="J553" s="884">
        <f t="shared" ref="J553" si="413">I553*F553</f>
        <v>3750</v>
      </c>
      <c r="K553" s="884">
        <f>$M$1</f>
        <v>358.32</v>
      </c>
      <c r="L553" s="885">
        <f t="shared" ref="L553" si="414">J553/K553</f>
        <v>10.465505693235098</v>
      </c>
      <c r="M553" s="915">
        <f>IF(SUM(L553)&gt;0,J553/H553,"")</f>
        <v>0.06</v>
      </c>
    </row>
    <row r="554" spans="2:13" x14ac:dyDescent="0.25">
      <c r="B554" s="887"/>
      <c r="C554" s="892" t="str">
        <f ca="1">IF(E554="","",MAX(INDIRECT(ADDRESS(ROW()-7,COLUMN())):INDIRECT(ADDRESS(ROW()-1,COLUMN())))+1)</f>
        <v/>
      </c>
      <c r="D554" s="888"/>
      <c r="E554" s="883"/>
      <c r="F554" s="884"/>
      <c r="G554" s="884"/>
      <c r="H554" s="884"/>
      <c r="I554" s="884"/>
      <c r="J554" s="884"/>
      <c r="K554" s="884"/>
      <c r="L554" s="885"/>
      <c r="M554" s="915"/>
    </row>
    <row r="555" spans="2:13" ht="13" x14ac:dyDescent="0.25">
      <c r="B555" s="882" t="s">
        <v>345</v>
      </c>
      <c r="C555" s="911" t="str">
        <f ca="1">IF(E555="","",MAX(INDIRECT(ADDRESS(ROW()-7,COLUMN())):INDIRECT(ADDRESS(ROW()-1,COLUMN())))+1)</f>
        <v/>
      </c>
      <c r="D555" s="881" t="s">
        <v>344</v>
      </c>
      <c r="E555" s="883"/>
      <c r="F555" s="884"/>
      <c r="G555" s="884"/>
      <c r="H555" s="884"/>
      <c r="I555" s="884"/>
      <c r="J555" s="884"/>
      <c r="K555" s="884"/>
      <c r="L555" s="885"/>
      <c r="M555" s="915"/>
    </row>
    <row r="556" spans="2:13" ht="13" x14ac:dyDescent="0.25">
      <c r="B556" s="882" t="s">
        <v>346</v>
      </c>
      <c r="C556" s="911" t="str">
        <f ca="1">IF(E556="","",MAX(INDIRECT(ADDRESS(ROW()-7,COLUMN())):INDIRECT(ADDRESS(ROW()-1,COLUMN())))+1)</f>
        <v/>
      </c>
      <c r="D556" s="881" t="s">
        <v>347</v>
      </c>
      <c r="E556" s="883"/>
      <c r="F556" s="884"/>
      <c r="G556" s="884"/>
      <c r="H556" s="884"/>
      <c r="I556" s="884"/>
      <c r="J556" s="884"/>
      <c r="K556" s="884"/>
      <c r="L556" s="885"/>
      <c r="M556" s="915"/>
    </row>
    <row r="557" spans="2:13" ht="25" x14ac:dyDescent="0.25">
      <c r="B557" s="887" t="s">
        <v>351</v>
      </c>
      <c r="C557" s="892">
        <f ca="1">IF(E557="","",MAX(INDIRECT(ADDRESS(ROW()-7,COLUMN())):INDIRECT(ADDRESS(ROW()-1,COLUMN())))+1)</f>
        <v>290</v>
      </c>
      <c r="D557" s="888" t="s">
        <v>1693</v>
      </c>
      <c r="E557" s="883" t="s">
        <v>6</v>
      </c>
      <c r="F557" s="884">
        <v>24</v>
      </c>
      <c r="G557" s="884">
        <v>540</v>
      </c>
      <c r="H557" s="884">
        <f t="shared" ref="H557" si="415">F557*G557</f>
        <v>12960</v>
      </c>
      <c r="I557" s="884">
        <f>ROUND(6%*G557,1)</f>
        <v>32.4</v>
      </c>
      <c r="J557" s="884">
        <f t="shared" ref="J557" si="416">I557*F557</f>
        <v>777.59999999999991</v>
      </c>
      <c r="K557" s="884">
        <f>$M$1</f>
        <v>358.32</v>
      </c>
      <c r="L557" s="885">
        <f t="shared" ref="L557" si="417">J557/K557</f>
        <v>2.1701272605492297</v>
      </c>
      <c r="M557" s="915">
        <f>IF(SUM(L557)&gt;0,J557/H557,"")</f>
        <v>5.9999999999999991E-2</v>
      </c>
    </row>
    <row r="558" spans="2:13" ht="13" x14ac:dyDescent="0.25">
      <c r="B558" s="882" t="s">
        <v>353</v>
      </c>
      <c r="C558" s="911" t="str">
        <f ca="1">IF(E558="","",MAX(INDIRECT(ADDRESS(ROW()-7,COLUMN())):INDIRECT(ADDRESS(ROW()-1,COLUMN())))+1)</f>
        <v/>
      </c>
      <c r="D558" s="881" t="s">
        <v>348</v>
      </c>
      <c r="E558" s="883"/>
      <c r="F558" s="884"/>
      <c r="G558" s="884"/>
      <c r="H558" s="884"/>
      <c r="I558" s="884"/>
      <c r="J558" s="884"/>
      <c r="K558" s="884"/>
      <c r="L558" s="885"/>
      <c r="M558" s="915"/>
    </row>
    <row r="559" spans="2:13" x14ac:dyDescent="0.25">
      <c r="B559" s="887" t="s">
        <v>352</v>
      </c>
      <c r="C559" s="892" t="str">
        <f ca="1">IF(E559="","",MAX(INDIRECT(ADDRESS(ROW()-7,COLUMN())):INDIRECT(ADDRESS(ROW()-1,COLUMN())))+1)</f>
        <v/>
      </c>
      <c r="D559" s="888" t="s">
        <v>1694</v>
      </c>
      <c r="E559" s="883"/>
      <c r="F559" s="884"/>
      <c r="G559" s="884"/>
      <c r="H559" s="884"/>
      <c r="I559" s="884"/>
      <c r="J559" s="884"/>
      <c r="K559" s="884"/>
      <c r="L559" s="885"/>
      <c r="M559" s="915"/>
    </row>
    <row r="560" spans="2:13" x14ac:dyDescent="0.25">
      <c r="B560" s="887"/>
      <c r="C560" s="892">
        <f ca="1">IF(E560="","",MAX(INDIRECT(ADDRESS(ROW()-7,COLUMN())):INDIRECT(ADDRESS(ROW()-1,COLUMN())))+1)</f>
        <v>291</v>
      </c>
      <c r="D560" s="888" t="s">
        <v>1695</v>
      </c>
      <c r="E560" s="883" t="s">
        <v>555</v>
      </c>
      <c r="F560" s="884">
        <v>15</v>
      </c>
      <c r="G560" s="884">
        <v>550</v>
      </c>
      <c r="H560" s="884">
        <f t="shared" ref="H560:H561" si="418">F560*G560</f>
        <v>8250</v>
      </c>
      <c r="I560" s="884">
        <f>ROUND(6%*G560,1)</f>
        <v>33</v>
      </c>
      <c r="J560" s="884">
        <f t="shared" ref="J560:J561" si="419">I560*F560</f>
        <v>495</v>
      </c>
      <c r="K560" s="884">
        <f t="shared" ref="K560:K561" si="420">$M$1</f>
        <v>358.32</v>
      </c>
      <c r="L560" s="885">
        <f t="shared" ref="L560:L561" si="421">J560/K560</f>
        <v>1.3814467515070328</v>
      </c>
      <c r="M560" s="915">
        <f>IF(SUM(L560)&gt;0,J560/H560,"")</f>
        <v>0.06</v>
      </c>
    </row>
    <row r="561" spans="2:13" ht="25" x14ac:dyDescent="0.25">
      <c r="B561" s="887"/>
      <c r="C561" s="892">
        <f ca="1">IF(E561="","",MAX(INDIRECT(ADDRESS(ROW()-7,COLUMN())):INDIRECT(ADDRESS(ROW()-1,COLUMN())))+1)</f>
        <v>292</v>
      </c>
      <c r="D561" s="888" t="s">
        <v>1696</v>
      </c>
      <c r="E561" s="883" t="s">
        <v>555</v>
      </c>
      <c r="F561" s="884">
        <v>10</v>
      </c>
      <c r="G561" s="884">
        <v>550</v>
      </c>
      <c r="H561" s="884">
        <f t="shared" si="418"/>
        <v>5500</v>
      </c>
      <c r="I561" s="884">
        <f>ROUND(6%*G561,1)</f>
        <v>33</v>
      </c>
      <c r="J561" s="884">
        <f t="shared" si="419"/>
        <v>330</v>
      </c>
      <c r="K561" s="884">
        <f t="shared" si="420"/>
        <v>358.32</v>
      </c>
      <c r="L561" s="885">
        <f t="shared" si="421"/>
        <v>0.92096450100468852</v>
      </c>
      <c r="M561" s="915">
        <f>IF(SUM(L561)&gt;0,J561/H561,"")</f>
        <v>0.06</v>
      </c>
    </row>
    <row r="562" spans="2:13" ht="13" x14ac:dyDescent="0.25">
      <c r="B562" s="882" t="s">
        <v>355</v>
      </c>
      <c r="C562" s="911" t="str">
        <f ca="1">IF(E562="","",MAX(INDIRECT(ADDRESS(ROW()-7,COLUMN())):INDIRECT(ADDRESS(ROW()-1,COLUMN())))+1)</f>
        <v/>
      </c>
      <c r="D562" s="881" t="s">
        <v>349</v>
      </c>
      <c r="E562" s="883"/>
      <c r="F562" s="884"/>
      <c r="G562" s="884"/>
      <c r="H562" s="884"/>
      <c r="I562" s="884"/>
      <c r="J562" s="884"/>
      <c r="K562" s="884"/>
      <c r="L562" s="885"/>
      <c r="M562" s="915"/>
    </row>
    <row r="563" spans="2:13" ht="25" x14ac:dyDescent="0.25">
      <c r="B563" s="887" t="s">
        <v>356</v>
      </c>
      <c r="C563" s="892">
        <f ca="1">IF(E563="","",MAX(INDIRECT(ADDRESS(ROW()-7,COLUMN())):INDIRECT(ADDRESS(ROW()-1,COLUMN())))+1)</f>
        <v>293</v>
      </c>
      <c r="D563" s="888" t="s">
        <v>1697</v>
      </c>
      <c r="E563" s="883" t="s">
        <v>555</v>
      </c>
      <c r="F563" s="884">
        <v>2.5</v>
      </c>
      <c r="G563" s="884">
        <v>200</v>
      </c>
      <c r="H563" s="884">
        <f t="shared" ref="H563" si="422">F563*G563</f>
        <v>500</v>
      </c>
      <c r="I563" s="884">
        <f>ROUND(6%*G563,1)</f>
        <v>12</v>
      </c>
      <c r="J563" s="884">
        <f t="shared" ref="J563" si="423">I563*F563</f>
        <v>30</v>
      </c>
      <c r="K563" s="884">
        <f>$M$1</f>
        <v>358.32</v>
      </c>
      <c r="L563" s="885">
        <f t="shared" ref="L563" si="424">J563/K563</f>
        <v>8.3724045545880782E-2</v>
      </c>
      <c r="M563" s="915">
        <f>IF(SUM(L563)&gt;0,J563/H563,"")</f>
        <v>0.06</v>
      </c>
    </row>
    <row r="564" spans="2:13" ht="13" x14ac:dyDescent="0.25">
      <c r="B564" s="882" t="s">
        <v>357</v>
      </c>
      <c r="C564" s="911" t="str">
        <f ca="1">IF(E564="","",MAX(INDIRECT(ADDRESS(ROW()-7,COLUMN())):INDIRECT(ADDRESS(ROW()-1,COLUMN())))+1)</f>
        <v/>
      </c>
      <c r="D564" s="881" t="s">
        <v>350</v>
      </c>
      <c r="E564" s="883"/>
      <c r="F564" s="884"/>
      <c r="G564" s="884"/>
      <c r="H564" s="884"/>
      <c r="I564" s="884"/>
      <c r="J564" s="884"/>
      <c r="K564" s="884"/>
      <c r="L564" s="885"/>
      <c r="M564" s="915"/>
    </row>
    <row r="565" spans="2:13" x14ac:dyDescent="0.25">
      <c r="B565" s="887" t="s">
        <v>358</v>
      </c>
      <c r="C565" s="892" t="str">
        <f ca="1">IF(E565="","",MAX(INDIRECT(ADDRESS(ROW()-7,COLUMN())):INDIRECT(ADDRESS(ROW()-1,COLUMN())))+1)</f>
        <v/>
      </c>
      <c r="D565" s="888" t="s">
        <v>1843</v>
      </c>
      <c r="E565" s="883"/>
      <c r="F565" s="884"/>
      <c r="G565" s="884"/>
      <c r="H565" s="884"/>
      <c r="I565" s="884"/>
      <c r="J565" s="884"/>
      <c r="K565" s="884"/>
      <c r="L565" s="885"/>
      <c r="M565" s="915"/>
    </row>
    <row r="566" spans="2:13" ht="37.5" x14ac:dyDescent="0.25">
      <c r="B566" s="887" t="s">
        <v>990</v>
      </c>
      <c r="C566" s="892">
        <f ca="1">IF(E566="","",MAX(INDIRECT(ADDRESS(ROW()-7,COLUMN())):INDIRECT(ADDRESS(ROW()-1,COLUMN())))+1)</f>
        <v>294</v>
      </c>
      <c r="D566" s="888" t="s">
        <v>1844</v>
      </c>
      <c r="E566" s="883" t="s">
        <v>6</v>
      </c>
      <c r="F566" s="884">
        <v>13</v>
      </c>
      <c r="G566" s="884">
        <v>75</v>
      </c>
      <c r="H566" s="884">
        <f t="shared" ref="H566:H567" si="425">F566*G566</f>
        <v>975</v>
      </c>
      <c r="I566" s="884">
        <f>ROUND(6%*G566,1)</f>
        <v>4.5</v>
      </c>
      <c r="J566" s="884">
        <f t="shared" ref="J566:J567" si="426">I566*F566</f>
        <v>58.5</v>
      </c>
      <c r="K566" s="884">
        <f>$M$1</f>
        <v>358.32</v>
      </c>
      <c r="L566" s="885">
        <f t="shared" ref="L566:L567" si="427">J566/K566</f>
        <v>0.16326188881446752</v>
      </c>
      <c r="M566" s="915">
        <f>IF(SUM(L566)&gt;0,J566/H566,"")</f>
        <v>0.06</v>
      </c>
    </row>
    <row r="567" spans="2:13" ht="37.5" x14ac:dyDescent="0.25">
      <c r="B567" s="887" t="s">
        <v>991</v>
      </c>
      <c r="C567" s="892">
        <f ca="1">IF(E567="","",MAX(INDIRECT(ADDRESS(ROW()-7,COLUMN())):INDIRECT(ADDRESS(ROW()-1,COLUMN())))+1)</f>
        <v>295</v>
      </c>
      <c r="D567" s="888" t="s">
        <v>1845</v>
      </c>
      <c r="E567" s="883" t="s">
        <v>6</v>
      </c>
      <c r="F567" s="884">
        <v>13</v>
      </c>
      <c r="G567" s="884">
        <v>75</v>
      </c>
      <c r="H567" s="884">
        <f t="shared" si="425"/>
        <v>975</v>
      </c>
      <c r="I567" s="884">
        <f>ROUND(6%*G567,1)</f>
        <v>4.5</v>
      </c>
      <c r="J567" s="884">
        <f t="shared" si="426"/>
        <v>58.5</v>
      </c>
      <c r="K567" s="884">
        <f>$M$1</f>
        <v>358.32</v>
      </c>
      <c r="L567" s="885">
        <f t="shared" si="427"/>
        <v>0.16326188881446752</v>
      </c>
      <c r="M567" s="915">
        <f>IF(SUM(L567)&gt;0,J567/H567,"")</f>
        <v>0.06</v>
      </c>
    </row>
    <row r="568" spans="2:13" x14ac:dyDescent="0.25">
      <c r="B568" s="887"/>
      <c r="C568" s="892" t="str">
        <f ca="1">IF(E568="","",MAX(INDIRECT(ADDRESS(ROW()-7,COLUMN())):INDIRECT(ADDRESS(ROW()-1,COLUMN())))+1)</f>
        <v/>
      </c>
      <c r="D568" s="888"/>
      <c r="E568" s="883"/>
      <c r="F568" s="884"/>
      <c r="G568" s="884"/>
      <c r="H568" s="884"/>
      <c r="I568" s="884"/>
      <c r="J568" s="884"/>
      <c r="K568" s="884"/>
      <c r="L568" s="885"/>
      <c r="M568" s="915"/>
    </row>
    <row r="569" spans="2:13" ht="13" x14ac:dyDescent="0.25">
      <c r="B569" s="882" t="s">
        <v>359</v>
      </c>
      <c r="C569" s="911" t="str">
        <f ca="1">IF(E569="","",MAX(INDIRECT(ADDRESS(ROW()-7,COLUMN())):INDIRECT(ADDRESS(ROW()-1,COLUMN())))+1)</f>
        <v/>
      </c>
      <c r="D569" s="881" t="s">
        <v>360</v>
      </c>
      <c r="E569" s="883"/>
      <c r="F569" s="884"/>
      <c r="G569" s="884"/>
      <c r="H569" s="884"/>
      <c r="I569" s="884"/>
      <c r="J569" s="884"/>
      <c r="K569" s="884"/>
      <c r="L569" s="885"/>
      <c r="M569" s="915"/>
    </row>
    <row r="570" spans="2:13" ht="13" x14ac:dyDescent="0.25">
      <c r="B570" s="882" t="s">
        <v>1896</v>
      </c>
      <c r="C570" s="911" t="str">
        <f ca="1">IF(E570="","",MAX(INDIRECT(ADDRESS(ROW()-7,COLUMN())):INDIRECT(ADDRESS(ROW()-1,COLUMN())))+1)</f>
        <v/>
      </c>
      <c r="D570" s="881" t="s">
        <v>363</v>
      </c>
      <c r="E570" s="883"/>
      <c r="F570" s="884"/>
      <c r="G570" s="884"/>
      <c r="H570" s="884"/>
      <c r="I570" s="884"/>
      <c r="J570" s="884"/>
      <c r="K570" s="884"/>
      <c r="L570" s="885"/>
      <c r="M570" s="915"/>
    </row>
    <row r="571" spans="2:13" ht="25" x14ac:dyDescent="0.25">
      <c r="B571" s="887" t="s">
        <v>369</v>
      </c>
      <c r="C571" s="892">
        <f ca="1">IF(E571="","",MAX(INDIRECT(ADDRESS(ROW()-7,COLUMN())):INDIRECT(ADDRESS(ROW()-1,COLUMN())))+1)</f>
        <v>296</v>
      </c>
      <c r="D571" s="888" t="s">
        <v>1731</v>
      </c>
      <c r="E571" s="883" t="s">
        <v>6</v>
      </c>
      <c r="F571" s="884">
        <v>90</v>
      </c>
      <c r="G571" s="884">
        <v>200</v>
      </c>
      <c r="H571" s="884">
        <f t="shared" ref="H571" si="428">F571*G571</f>
        <v>18000</v>
      </c>
      <c r="I571" s="884">
        <f>ROUND(12%*G571,1)</f>
        <v>24</v>
      </c>
      <c r="J571" s="884">
        <f t="shared" ref="J571" si="429">I571*F571</f>
        <v>2160</v>
      </c>
      <c r="K571" s="884">
        <f>$M$1</f>
        <v>358.32</v>
      </c>
      <c r="L571" s="885">
        <f t="shared" ref="L571" si="430">J571/K571</f>
        <v>6.0281312793034161</v>
      </c>
      <c r="M571" s="915">
        <f>IF(SUM(L571)&gt;0,J571/H571,"")</f>
        <v>0.12</v>
      </c>
    </row>
    <row r="572" spans="2:13" ht="13" x14ac:dyDescent="0.25">
      <c r="B572" s="882" t="s">
        <v>371</v>
      </c>
      <c r="C572" s="911" t="str">
        <f ca="1">IF(E572="","",MAX(INDIRECT(ADDRESS(ROW()-7,COLUMN())):INDIRECT(ADDRESS(ROW()-1,COLUMN())))+1)</f>
        <v/>
      </c>
      <c r="D572" s="881" t="s">
        <v>365</v>
      </c>
      <c r="E572" s="883"/>
      <c r="F572" s="884"/>
      <c r="G572" s="884"/>
      <c r="H572" s="884"/>
      <c r="I572" s="884"/>
      <c r="J572" s="884"/>
      <c r="K572" s="884"/>
      <c r="L572" s="885"/>
      <c r="M572" s="915"/>
    </row>
    <row r="573" spans="2:13" x14ac:dyDescent="0.25">
      <c r="B573" s="887" t="s">
        <v>372</v>
      </c>
      <c r="C573" s="892" t="str">
        <f ca="1">IF(E573="","",MAX(INDIRECT(ADDRESS(ROW()-7,COLUMN())):INDIRECT(ADDRESS(ROW()-1,COLUMN())))+1)</f>
        <v/>
      </c>
      <c r="D573" s="888" t="s">
        <v>366</v>
      </c>
      <c r="E573" s="883"/>
      <c r="F573" s="884"/>
      <c r="G573" s="884"/>
      <c r="H573" s="884"/>
      <c r="I573" s="884"/>
      <c r="J573" s="884"/>
      <c r="K573" s="884"/>
      <c r="L573" s="885"/>
      <c r="M573" s="915"/>
    </row>
    <row r="574" spans="2:13" ht="25" x14ac:dyDescent="0.25">
      <c r="B574" s="887" t="s">
        <v>217</v>
      </c>
      <c r="C574" s="892">
        <f ca="1">IF(E574="","",MAX(INDIRECT(ADDRESS(ROW()-7,COLUMN())):INDIRECT(ADDRESS(ROW()-1,COLUMN())))+1)</f>
        <v>297</v>
      </c>
      <c r="D574" s="888" t="s">
        <v>1725</v>
      </c>
      <c r="E574" s="883" t="s">
        <v>34</v>
      </c>
      <c r="F574" s="884">
        <v>70</v>
      </c>
      <c r="G574" s="884">
        <v>250</v>
      </c>
      <c r="H574" s="884">
        <f t="shared" ref="H574:H575" si="431">F574*G574</f>
        <v>17500</v>
      </c>
      <c r="I574" s="884">
        <f>ROUND(12%*G574,1)</f>
        <v>30</v>
      </c>
      <c r="J574" s="884">
        <f t="shared" ref="J574:J575" si="432">I574*F574</f>
        <v>2100</v>
      </c>
      <c r="K574" s="884">
        <f>$M$1</f>
        <v>358.32</v>
      </c>
      <c r="L574" s="885">
        <f t="shared" ref="L574:L575" si="433">J574/K574</f>
        <v>5.8606831882116541</v>
      </c>
      <c r="M574" s="915">
        <f>IF(SUM(L574)&gt;0,J574/H574,"")</f>
        <v>0.12</v>
      </c>
    </row>
    <row r="575" spans="2:13" ht="25" x14ac:dyDescent="0.25">
      <c r="B575" s="887" t="s">
        <v>218</v>
      </c>
      <c r="C575" s="892">
        <f ca="1">IF(E575="","",MAX(INDIRECT(ADDRESS(ROW()-7,COLUMN())):INDIRECT(ADDRESS(ROW()-1,COLUMN())))+1)</f>
        <v>298</v>
      </c>
      <c r="D575" s="888" t="s">
        <v>1726</v>
      </c>
      <c r="E575" s="883" t="s">
        <v>34</v>
      </c>
      <c r="F575" s="884">
        <v>35</v>
      </c>
      <c r="G575" s="884">
        <v>220</v>
      </c>
      <c r="H575" s="884">
        <f t="shared" si="431"/>
        <v>7700</v>
      </c>
      <c r="I575" s="884">
        <f>ROUND(12%*G575,1)</f>
        <v>26.4</v>
      </c>
      <c r="J575" s="884">
        <f t="shared" si="432"/>
        <v>924</v>
      </c>
      <c r="K575" s="884">
        <f>$M$1</f>
        <v>358.32</v>
      </c>
      <c r="L575" s="885">
        <f t="shared" si="433"/>
        <v>2.5787006028131279</v>
      </c>
      <c r="M575" s="915">
        <f>IF(SUM(L575)&gt;0,J575/H575,"")</f>
        <v>0.12</v>
      </c>
    </row>
    <row r="576" spans="2:13" x14ac:dyDescent="0.25">
      <c r="B576" s="887" t="s">
        <v>373</v>
      </c>
      <c r="C576" s="892" t="str">
        <f ca="1">IF(E576="","",MAX(INDIRECT(ADDRESS(ROW()-7,COLUMN())):INDIRECT(ADDRESS(ROW()-1,COLUMN())))+1)</f>
        <v/>
      </c>
      <c r="D576" s="888" t="s">
        <v>367</v>
      </c>
      <c r="E576" s="883"/>
      <c r="F576" s="884"/>
      <c r="G576" s="884"/>
      <c r="H576" s="884"/>
      <c r="I576" s="884"/>
      <c r="J576" s="884"/>
      <c r="K576" s="884"/>
      <c r="L576" s="885"/>
      <c r="M576" s="915"/>
    </row>
    <row r="577" spans="2:13" x14ac:dyDescent="0.25">
      <c r="B577" s="887" t="s">
        <v>39</v>
      </c>
      <c r="C577" s="892">
        <f ca="1">IF(E577="","",MAX(INDIRECT(ADDRESS(ROW()-7,COLUMN())):INDIRECT(ADDRESS(ROW()-1,COLUMN())))+1)</f>
        <v>299</v>
      </c>
      <c r="D577" s="888" t="s">
        <v>1727</v>
      </c>
      <c r="E577" s="883" t="s">
        <v>6</v>
      </c>
      <c r="F577" s="884">
        <v>25</v>
      </c>
      <c r="G577" s="884">
        <v>150</v>
      </c>
      <c r="H577" s="884">
        <f t="shared" ref="H577" si="434">F577*G577</f>
        <v>3750</v>
      </c>
      <c r="I577" s="884">
        <f>ROUND(12%*G577,1)</f>
        <v>18</v>
      </c>
      <c r="J577" s="884">
        <f t="shared" ref="J577" si="435">I577*F577</f>
        <v>450</v>
      </c>
      <c r="K577" s="884">
        <f>$M$1</f>
        <v>358.32</v>
      </c>
      <c r="L577" s="885">
        <f t="shared" ref="L577" si="436">J577/K577</f>
        <v>1.2558606831882118</v>
      </c>
      <c r="M577" s="915">
        <f>IF(SUM(L577)&gt;0,J577/H577,"")</f>
        <v>0.12</v>
      </c>
    </row>
    <row r="578" spans="2:13" ht="13" x14ac:dyDescent="0.25">
      <c r="B578" s="882" t="s">
        <v>1897</v>
      </c>
      <c r="C578" s="911" t="str">
        <f ca="1">IF(E578="","",MAX(INDIRECT(ADDRESS(ROW()-7,COLUMN())):INDIRECT(ADDRESS(ROW()-1,COLUMN())))+1)</f>
        <v/>
      </c>
      <c r="D578" s="881" t="s">
        <v>1728</v>
      </c>
      <c r="E578" s="883"/>
      <c r="F578" s="884"/>
      <c r="G578" s="884"/>
      <c r="H578" s="884"/>
      <c r="I578" s="884"/>
      <c r="J578" s="884"/>
      <c r="K578" s="884"/>
      <c r="L578" s="885"/>
      <c r="M578" s="915"/>
    </row>
    <row r="579" spans="2:13" ht="37.5" x14ac:dyDescent="0.25">
      <c r="B579" s="887" t="s">
        <v>39</v>
      </c>
      <c r="C579" s="892">
        <f ca="1">IF(E579="","",MAX(INDIRECT(ADDRESS(ROW()-7,COLUMN())):INDIRECT(ADDRESS(ROW()-1,COLUMN())))+1)</f>
        <v>300</v>
      </c>
      <c r="D579" s="888" t="s">
        <v>1729</v>
      </c>
      <c r="E579" s="883" t="s">
        <v>555</v>
      </c>
      <c r="F579" s="884">
        <v>750</v>
      </c>
      <c r="G579" s="884">
        <v>20</v>
      </c>
      <c r="H579" s="884">
        <f t="shared" ref="H579:H580" si="437">F579*G579</f>
        <v>15000</v>
      </c>
      <c r="I579" s="884">
        <f>_Geofabric</f>
        <v>6</v>
      </c>
      <c r="J579" s="884">
        <f t="shared" ref="J579:J580" si="438">I579*F579</f>
        <v>4500</v>
      </c>
      <c r="K579" s="884">
        <f>$M$1</f>
        <v>358.32</v>
      </c>
      <c r="L579" s="885">
        <f t="shared" ref="L579:L580" si="439">J579/K579</f>
        <v>12.558606831882116</v>
      </c>
      <c r="M579" s="915">
        <f>IF(SUM(L579)&gt;0,J579/H579,"")</f>
        <v>0.3</v>
      </c>
    </row>
    <row r="580" spans="2:13" ht="37.5" x14ac:dyDescent="0.25">
      <c r="B580" s="887" t="s">
        <v>41</v>
      </c>
      <c r="C580" s="892">
        <f ca="1">IF(E580="","",MAX(INDIRECT(ADDRESS(ROW()-7,COLUMN())):INDIRECT(ADDRESS(ROW()-1,COLUMN())))+1)</f>
        <v>301</v>
      </c>
      <c r="D580" s="888" t="s">
        <v>1730</v>
      </c>
      <c r="E580" s="883" t="s">
        <v>6</v>
      </c>
      <c r="F580" s="884">
        <v>80</v>
      </c>
      <c r="G580" s="884">
        <v>62</v>
      </c>
      <c r="H580" s="884">
        <f t="shared" si="437"/>
        <v>4960</v>
      </c>
      <c r="I580" s="884">
        <f>ROUND(12%*G580,1)</f>
        <v>7.4</v>
      </c>
      <c r="J580" s="884">
        <f t="shared" si="438"/>
        <v>592</v>
      </c>
      <c r="K580" s="884">
        <f>$M$1</f>
        <v>358.32</v>
      </c>
      <c r="L580" s="885">
        <f t="shared" si="439"/>
        <v>1.6521544987720473</v>
      </c>
      <c r="M580" s="915">
        <f>IF(SUM(L580)&gt;0,J580/H580,"")</f>
        <v>0.11935483870967742</v>
      </c>
    </row>
    <row r="581" spans="2:13" ht="13" x14ac:dyDescent="0.25">
      <c r="B581" s="882" t="s">
        <v>1898</v>
      </c>
      <c r="C581" s="911" t="str">
        <f ca="1">IF(E581="","",MAX(INDIRECT(ADDRESS(ROW()-7,COLUMN())):INDIRECT(ADDRESS(ROW()-1,COLUMN())))+1)</f>
        <v/>
      </c>
      <c r="D581" s="881" t="s">
        <v>368</v>
      </c>
      <c r="E581" s="883"/>
      <c r="F581" s="884"/>
      <c r="G581" s="884"/>
      <c r="H581" s="884"/>
      <c r="I581" s="884"/>
      <c r="J581" s="884"/>
      <c r="K581" s="884"/>
      <c r="L581" s="885"/>
      <c r="M581" s="915"/>
    </row>
    <row r="582" spans="2:13" ht="62.5" x14ac:dyDescent="0.25">
      <c r="B582" s="887" t="s">
        <v>375</v>
      </c>
      <c r="C582" s="892">
        <f ca="1">IF(E582="","",MAX(INDIRECT(ADDRESS(ROW()-7,COLUMN())):INDIRECT(ADDRESS(ROW()-1,COLUMN())))+1)</f>
        <v>302</v>
      </c>
      <c r="D582" s="888" t="s">
        <v>1732</v>
      </c>
      <c r="E582" s="883" t="s">
        <v>6</v>
      </c>
      <c r="F582" s="884">
        <v>40</v>
      </c>
      <c r="G582" s="884">
        <v>150</v>
      </c>
      <c r="H582" s="884">
        <f t="shared" ref="H582" si="440">F582*G582</f>
        <v>6000</v>
      </c>
      <c r="I582" s="884">
        <f>ROUND(12%*G582,1)</f>
        <v>18</v>
      </c>
      <c r="J582" s="884">
        <f t="shared" ref="J582" si="441">I582*F582</f>
        <v>720</v>
      </c>
      <c r="K582" s="884">
        <f>$M$1</f>
        <v>358.32</v>
      </c>
      <c r="L582" s="885">
        <f t="shared" ref="L582" si="442">J582/K582</f>
        <v>2.0093770931011385</v>
      </c>
      <c r="M582" s="915">
        <f>IF(SUM(L582)&gt;0,J582/H582,"")</f>
        <v>0.12</v>
      </c>
    </row>
    <row r="583" spans="2:13" ht="26" x14ac:dyDescent="0.25">
      <c r="B583" s="882" t="s">
        <v>2043</v>
      </c>
      <c r="C583" s="911" t="str">
        <f ca="1">IF(E583="","",MAX(INDIRECT(ADDRESS(ROW()-7,COLUMN())):INDIRECT(ADDRESS(ROW()-1,COLUMN())))+1)</f>
        <v/>
      </c>
      <c r="D583" s="881" t="s">
        <v>612</v>
      </c>
      <c r="E583" s="883"/>
      <c r="F583" s="884"/>
      <c r="G583" s="884"/>
      <c r="H583" s="884"/>
      <c r="I583" s="884"/>
      <c r="J583" s="884"/>
      <c r="K583" s="884"/>
      <c r="L583" s="885"/>
      <c r="M583" s="915"/>
    </row>
    <row r="584" spans="2:13" x14ac:dyDescent="0.25">
      <c r="B584" s="887" t="s">
        <v>611</v>
      </c>
      <c r="C584" s="892" t="str">
        <f ca="1">IF(E584="","",MAX(INDIRECT(ADDRESS(ROW()-7,COLUMN())):INDIRECT(ADDRESS(ROW()-1,COLUMN())))+1)</f>
        <v/>
      </c>
      <c r="D584" s="888" t="s">
        <v>610</v>
      </c>
      <c r="E584" s="883"/>
      <c r="F584" s="884"/>
      <c r="G584" s="884"/>
      <c r="H584" s="884"/>
      <c r="I584" s="884"/>
      <c r="J584" s="884"/>
      <c r="K584" s="884"/>
      <c r="L584" s="885"/>
      <c r="M584" s="915"/>
    </row>
    <row r="585" spans="2:13" x14ac:dyDescent="0.25">
      <c r="B585" s="887" t="s">
        <v>39</v>
      </c>
      <c r="C585" s="892">
        <f ca="1">IF(E585="","",MAX(INDIRECT(ADDRESS(ROW()-7,COLUMN())):INDIRECT(ADDRESS(ROW()-1,COLUMN())))+1)</f>
        <v>303</v>
      </c>
      <c r="D585" s="888" t="s">
        <v>2042</v>
      </c>
      <c r="E585" s="883" t="s">
        <v>577</v>
      </c>
      <c r="F585" s="884">
        <v>25</v>
      </c>
      <c r="G585" s="884">
        <v>450</v>
      </c>
      <c r="H585" s="884">
        <f t="shared" ref="H585:H586" si="443">F585*G585</f>
        <v>11250</v>
      </c>
      <c r="I585" s="884">
        <f>ROUND(12%*G585,1)</f>
        <v>54</v>
      </c>
      <c r="J585" s="884">
        <f t="shared" ref="J585:J586" si="444">I585*F585</f>
        <v>1350</v>
      </c>
      <c r="K585" s="884">
        <f>$M$1</f>
        <v>358.32</v>
      </c>
      <c r="L585" s="885">
        <f t="shared" ref="L585:L586" si="445">J585/K585</f>
        <v>3.767582049564635</v>
      </c>
      <c r="M585" s="915">
        <f>IF(SUM(L585)&gt;0,J585/H585,"")</f>
        <v>0.12</v>
      </c>
    </row>
    <row r="586" spans="2:13" ht="75" x14ac:dyDescent="0.25">
      <c r="B586" s="887" t="s">
        <v>1899</v>
      </c>
      <c r="C586" s="892">
        <f ca="1">IF(E586="","",MAX(INDIRECT(ADDRESS(ROW()-7,COLUMN())):INDIRECT(ADDRESS(ROW()-1,COLUMN())))+1)</f>
        <v>304</v>
      </c>
      <c r="D586" s="888" t="s">
        <v>2051</v>
      </c>
      <c r="E586" s="883" t="s">
        <v>6</v>
      </c>
      <c r="F586" s="884">
        <v>50</v>
      </c>
      <c r="G586" s="884">
        <v>1200</v>
      </c>
      <c r="H586" s="884">
        <f t="shared" si="443"/>
        <v>60000</v>
      </c>
      <c r="I586" s="884">
        <f>ROUND(12%*G586,1)</f>
        <v>144</v>
      </c>
      <c r="J586" s="884">
        <f t="shared" si="444"/>
        <v>7200</v>
      </c>
      <c r="K586" s="884">
        <f>$M$1</f>
        <v>358.32</v>
      </c>
      <c r="L586" s="885">
        <f t="shared" si="445"/>
        <v>20.093770931011388</v>
      </c>
      <c r="M586" s="915">
        <f>IF(SUM(L586)&gt;0,J586/H586,"")</f>
        <v>0.12</v>
      </c>
    </row>
    <row r="587" spans="2:13" x14ac:dyDescent="0.25">
      <c r="B587" s="887"/>
      <c r="C587" s="892" t="str">
        <f ca="1">IF(E587="","",MAX(INDIRECT(ADDRESS(ROW()-7,COLUMN())):INDIRECT(ADDRESS(ROW()-1,COLUMN())))+1)</f>
        <v/>
      </c>
      <c r="D587" s="888"/>
      <c r="E587" s="883"/>
      <c r="F587" s="884"/>
      <c r="G587" s="884"/>
      <c r="H587" s="884"/>
      <c r="I587" s="884"/>
      <c r="J587" s="884"/>
      <c r="K587" s="884"/>
      <c r="L587" s="885"/>
      <c r="M587" s="915"/>
    </row>
    <row r="588" spans="2:13" ht="13" x14ac:dyDescent="0.25">
      <c r="B588" s="891" t="s">
        <v>2169</v>
      </c>
      <c r="C588" s="919" t="str">
        <f ca="1">IF(E588="","",MAX(INDIRECT(ADDRESS(ROW()-7,COLUMN())):INDIRECT(ADDRESS(ROW()-1,COLUMN())))+1)</f>
        <v/>
      </c>
      <c r="D588" s="924"/>
      <c r="E588" s="920"/>
      <c r="F588" s="921"/>
      <c r="G588" s="921"/>
      <c r="H588" s="921"/>
      <c r="I588" s="921"/>
      <c r="J588" s="921"/>
      <c r="K588" s="921"/>
      <c r="L588" s="922"/>
      <c r="M588" s="923"/>
    </row>
    <row r="589" spans="2:13" ht="13" x14ac:dyDescent="0.25">
      <c r="B589" s="882" t="s">
        <v>14</v>
      </c>
      <c r="C589" s="911" t="str">
        <f ca="1">IF(E589="","",MAX(INDIRECT(ADDRESS(ROW()-7,COLUMN())):INDIRECT(ADDRESS(ROW()-1,COLUMN())))+1)</f>
        <v/>
      </c>
      <c r="D589" s="881" t="s">
        <v>13</v>
      </c>
      <c r="E589" s="883"/>
      <c r="F589" s="884"/>
      <c r="G589" s="884"/>
      <c r="H589" s="884"/>
      <c r="I589" s="884"/>
      <c r="J589" s="884"/>
      <c r="K589" s="884"/>
      <c r="L589" s="885"/>
      <c r="M589" s="915"/>
    </row>
    <row r="590" spans="2:13" ht="13" x14ac:dyDescent="0.25">
      <c r="B590" s="882" t="s">
        <v>35</v>
      </c>
      <c r="C590" s="911" t="str">
        <f ca="1">IF(E590="","",MAX(INDIRECT(ADDRESS(ROW()-7,COLUMN())):INDIRECT(ADDRESS(ROW()-1,COLUMN())))+1)</f>
        <v/>
      </c>
      <c r="D590" s="881" t="s">
        <v>36</v>
      </c>
      <c r="E590" s="883"/>
      <c r="F590" s="884"/>
      <c r="G590" s="884"/>
      <c r="H590" s="884"/>
      <c r="I590" s="884"/>
      <c r="J590" s="884"/>
      <c r="K590" s="884"/>
      <c r="L590" s="885"/>
      <c r="M590" s="915"/>
    </row>
    <row r="591" spans="2:13" x14ac:dyDescent="0.25">
      <c r="B591" s="887" t="s">
        <v>37</v>
      </c>
      <c r="C591" s="892" t="str">
        <f ca="1">IF(E591="","",MAX(INDIRECT(ADDRESS(ROW()-7,COLUMN())):INDIRECT(ADDRESS(ROW()-1,COLUMN())))+1)</f>
        <v/>
      </c>
      <c r="D591" s="888" t="s">
        <v>38</v>
      </c>
      <c r="E591" s="883"/>
      <c r="F591" s="884"/>
      <c r="G591" s="884"/>
      <c r="H591" s="884"/>
      <c r="I591" s="884"/>
      <c r="J591" s="884"/>
      <c r="K591" s="884"/>
      <c r="L591" s="885"/>
      <c r="M591" s="915"/>
    </row>
    <row r="592" spans="2:13" x14ac:dyDescent="0.25">
      <c r="B592" s="887" t="s">
        <v>39</v>
      </c>
      <c r="C592" s="892">
        <f ca="1">IF(E592="","",MAX(INDIRECT(ADDRESS(ROW()-7,COLUMN())):INDIRECT(ADDRESS(ROW()-1,COLUMN())))+1)</f>
        <v>305</v>
      </c>
      <c r="D592" s="888" t="s">
        <v>40</v>
      </c>
      <c r="E592" s="883" t="s">
        <v>191</v>
      </c>
      <c r="F592" s="884">
        <v>180</v>
      </c>
      <c r="G592" s="884">
        <v>40</v>
      </c>
      <c r="H592" s="884">
        <f t="shared" ref="H592" si="446">F592*G592</f>
        <v>7200</v>
      </c>
      <c r="I592" s="884">
        <f>G592*97/100</f>
        <v>38.799999999999997</v>
      </c>
      <c r="J592" s="884">
        <f t="shared" ref="J592" si="447">I592*F592</f>
        <v>6983.9999999999991</v>
      </c>
      <c r="K592" s="884">
        <f>$M$1</f>
        <v>358.32</v>
      </c>
      <c r="L592" s="885">
        <f t="shared" ref="L592" si="448">J592/K592</f>
        <v>19.490957803081042</v>
      </c>
      <c r="M592" s="915">
        <f>IF(SUM(L592)&gt;0,J592/H592,"")</f>
        <v>0.96999999999999986</v>
      </c>
    </row>
    <row r="593" spans="2:13" x14ac:dyDescent="0.25">
      <c r="B593" s="887"/>
      <c r="C593" s="892" t="str">
        <f ca="1">IF(E593="","",MAX(INDIRECT(ADDRESS(ROW()-7,COLUMN())):INDIRECT(ADDRESS(ROW()-1,COLUMN())))+1)</f>
        <v/>
      </c>
      <c r="D593" s="888"/>
      <c r="E593" s="883"/>
      <c r="F593" s="884"/>
      <c r="G593" s="884"/>
      <c r="H593" s="884"/>
      <c r="I593" s="884"/>
      <c r="J593" s="884"/>
      <c r="K593" s="884"/>
      <c r="L593" s="885"/>
      <c r="M593" s="915"/>
    </row>
    <row r="594" spans="2:13" ht="13" x14ac:dyDescent="0.25">
      <c r="B594" s="882" t="s">
        <v>277</v>
      </c>
      <c r="C594" s="911" t="str">
        <f ca="1">IF(E594="","",MAX(INDIRECT(ADDRESS(ROW()-7,COLUMN())):INDIRECT(ADDRESS(ROW()-1,COLUMN())))+1)</f>
        <v/>
      </c>
      <c r="D594" s="881" t="s">
        <v>278</v>
      </c>
      <c r="E594" s="883"/>
      <c r="F594" s="884"/>
      <c r="G594" s="884"/>
      <c r="H594" s="884"/>
      <c r="I594" s="884"/>
      <c r="J594" s="884"/>
      <c r="K594" s="884"/>
      <c r="L594" s="885"/>
      <c r="M594" s="915"/>
    </row>
    <row r="595" spans="2:13" x14ac:dyDescent="0.25">
      <c r="B595" s="887" t="s">
        <v>286</v>
      </c>
      <c r="C595" s="892" t="str">
        <f ca="1">IF(E595="","",MAX(INDIRECT(ADDRESS(ROW()-7,COLUMN())):INDIRECT(ADDRESS(ROW()-1,COLUMN())))+1)</f>
        <v/>
      </c>
      <c r="D595" s="888" t="s">
        <v>279</v>
      </c>
      <c r="E595" s="883"/>
      <c r="F595" s="884"/>
      <c r="G595" s="884"/>
      <c r="H595" s="884"/>
      <c r="I595" s="884"/>
      <c r="J595" s="884"/>
      <c r="K595" s="884"/>
      <c r="L595" s="885"/>
      <c r="M595" s="915"/>
    </row>
    <row r="596" spans="2:13" ht="25" x14ac:dyDescent="0.25">
      <c r="B596" s="887" t="s">
        <v>287</v>
      </c>
      <c r="C596" s="892" t="str">
        <f ca="1">IF(E596="","",MAX(INDIRECT(ADDRESS(ROW()-7,COLUMN())):INDIRECT(ADDRESS(ROW()-1,COLUMN())))+1)</f>
        <v/>
      </c>
      <c r="D596" s="888" t="s">
        <v>280</v>
      </c>
      <c r="E596" s="883"/>
      <c r="F596" s="884"/>
      <c r="G596" s="884"/>
      <c r="H596" s="884"/>
      <c r="I596" s="884"/>
      <c r="J596" s="884"/>
      <c r="K596" s="884"/>
      <c r="L596" s="885"/>
      <c r="M596" s="915"/>
    </row>
    <row r="597" spans="2:13" x14ac:dyDescent="0.25">
      <c r="B597" s="887" t="s">
        <v>39</v>
      </c>
      <c r="C597" s="892">
        <f ca="1">IF(E597="","",MAX(INDIRECT(ADDRESS(ROW()-7,COLUMN())):INDIRECT(ADDRESS(ROW()-1,COLUMN())))+1)</f>
        <v>306</v>
      </c>
      <c r="D597" s="888" t="s">
        <v>281</v>
      </c>
      <c r="E597" s="883" t="s">
        <v>799</v>
      </c>
      <c r="F597" s="884">
        <v>450</v>
      </c>
      <c r="G597" s="884">
        <v>70</v>
      </c>
      <c r="H597" s="884">
        <f t="shared" ref="H597:H602" si="449">F597*G597</f>
        <v>31500</v>
      </c>
      <c r="I597" s="884">
        <f>ROUND(Labour_perc_roads*G597,1)</f>
        <v>2</v>
      </c>
      <c r="J597" s="884">
        <f t="shared" ref="J597:J602" si="450">I597*F597</f>
        <v>900</v>
      </c>
      <c r="K597" s="884">
        <f t="shared" ref="K597:K602" si="451">$M$1</f>
        <v>358.32</v>
      </c>
      <c r="L597" s="885">
        <f t="shared" ref="L597:L602" si="452">J597/K597</f>
        <v>2.5117213663764235</v>
      </c>
      <c r="M597" s="915">
        <f t="shared" ref="M597:M602" si="453">IF(SUM(L597)&gt;0,J597/H597,"")</f>
        <v>2.8571428571428571E-2</v>
      </c>
    </row>
    <row r="598" spans="2:13" x14ac:dyDescent="0.25">
      <c r="B598" s="887" t="s">
        <v>41</v>
      </c>
      <c r="C598" s="892">
        <f ca="1">IF(E598="","",MAX(INDIRECT(ADDRESS(ROW()-7,COLUMN())):INDIRECT(ADDRESS(ROW()-1,COLUMN())))+1)</f>
        <v>307</v>
      </c>
      <c r="D598" s="888" t="s">
        <v>282</v>
      </c>
      <c r="E598" s="883" t="s">
        <v>799</v>
      </c>
      <c r="F598" s="884">
        <v>270</v>
      </c>
      <c r="G598" s="884">
        <v>160</v>
      </c>
      <c r="H598" s="884">
        <f t="shared" si="449"/>
        <v>43200</v>
      </c>
      <c r="I598" s="884">
        <f>ROUND(Labour_perc_roads*G598,1)</f>
        <v>4.5999999999999996</v>
      </c>
      <c r="J598" s="884">
        <f t="shared" si="450"/>
        <v>1242</v>
      </c>
      <c r="K598" s="884">
        <f t="shared" si="451"/>
        <v>358.32</v>
      </c>
      <c r="L598" s="885">
        <f t="shared" si="452"/>
        <v>3.4661754855994644</v>
      </c>
      <c r="M598" s="915">
        <f t="shared" si="453"/>
        <v>2.8750000000000001E-2</v>
      </c>
    </row>
    <row r="599" spans="2:13" x14ac:dyDescent="0.25">
      <c r="B599" s="887" t="s">
        <v>52</v>
      </c>
      <c r="C599" s="892">
        <f ca="1">IF(E599="","",MAX(INDIRECT(ADDRESS(ROW()-7,COLUMN())):INDIRECT(ADDRESS(ROW()-1,COLUMN())))+1)</f>
        <v>308</v>
      </c>
      <c r="D599" s="888" t="s">
        <v>1961</v>
      </c>
      <c r="E599" s="883" t="s">
        <v>799</v>
      </c>
      <c r="F599" s="884">
        <v>100</v>
      </c>
      <c r="G599" s="884">
        <v>320</v>
      </c>
      <c r="H599" s="884">
        <f t="shared" si="449"/>
        <v>32000</v>
      </c>
      <c r="I599" s="884">
        <f>ROUND(Labour_perc_roads*G599,1)</f>
        <v>9.3000000000000007</v>
      </c>
      <c r="J599" s="884">
        <f t="shared" si="450"/>
        <v>930.00000000000011</v>
      </c>
      <c r="K599" s="884">
        <f t="shared" si="451"/>
        <v>358.32</v>
      </c>
      <c r="L599" s="885">
        <f t="shared" si="452"/>
        <v>2.5954454119223045</v>
      </c>
      <c r="M599" s="915">
        <f t="shared" si="453"/>
        <v>2.9062500000000005E-2</v>
      </c>
    </row>
    <row r="600" spans="2:13" ht="25" x14ac:dyDescent="0.25">
      <c r="B600" s="887" t="s">
        <v>288</v>
      </c>
      <c r="C600" s="892">
        <f ca="1">IF(E600="","",MAX(INDIRECT(ADDRESS(ROW()-7,COLUMN())):INDIRECT(ADDRESS(ROW()-1,COLUMN())))+1)</f>
        <v>309</v>
      </c>
      <c r="D600" s="888" t="s">
        <v>283</v>
      </c>
      <c r="E600" s="883" t="s">
        <v>799</v>
      </c>
      <c r="F600" s="884">
        <v>99</v>
      </c>
      <c r="G600" s="884">
        <v>350</v>
      </c>
      <c r="H600" s="884">
        <f t="shared" si="449"/>
        <v>34650</v>
      </c>
      <c r="I600" s="884">
        <f>ROUND(Labour_perc_roads*G600,1)</f>
        <v>10.199999999999999</v>
      </c>
      <c r="J600" s="884">
        <f t="shared" si="450"/>
        <v>1009.8</v>
      </c>
      <c r="K600" s="884">
        <f t="shared" si="451"/>
        <v>358.32</v>
      </c>
      <c r="L600" s="885">
        <f t="shared" si="452"/>
        <v>2.8181513730743468</v>
      </c>
      <c r="M600" s="915">
        <f t="shared" si="453"/>
        <v>2.914285714285714E-2</v>
      </c>
    </row>
    <row r="601" spans="2:13" ht="37.5" x14ac:dyDescent="0.25">
      <c r="B601" s="887" t="s">
        <v>289</v>
      </c>
      <c r="C601" s="892">
        <f ca="1">IF(E601="","",MAX(INDIRECT(ADDRESS(ROW()-7,COLUMN())):INDIRECT(ADDRESS(ROW()-1,COLUMN())))+1)</f>
        <v>310</v>
      </c>
      <c r="D601" s="888" t="s">
        <v>284</v>
      </c>
      <c r="E601" s="883" t="s">
        <v>799</v>
      </c>
      <c r="F601" s="884">
        <v>35</v>
      </c>
      <c r="G601" s="884">
        <v>130</v>
      </c>
      <c r="H601" s="884">
        <f t="shared" si="449"/>
        <v>4550</v>
      </c>
      <c r="I601" s="884">
        <f>ROUND(Labour_perc_roads*G601,1)</f>
        <v>3.8</v>
      </c>
      <c r="J601" s="884">
        <f t="shared" si="450"/>
        <v>133</v>
      </c>
      <c r="K601" s="884">
        <f t="shared" si="451"/>
        <v>358.32</v>
      </c>
      <c r="L601" s="885">
        <f t="shared" si="452"/>
        <v>0.37117660192007146</v>
      </c>
      <c r="M601" s="915">
        <f t="shared" si="453"/>
        <v>2.923076923076923E-2</v>
      </c>
    </row>
    <row r="602" spans="2:13" ht="25" x14ac:dyDescent="0.25">
      <c r="B602" s="887" t="s">
        <v>290</v>
      </c>
      <c r="C602" s="892">
        <f ca="1">IF(E602="","",MAX(INDIRECT(ADDRESS(ROW()-7,COLUMN())):INDIRECT(ADDRESS(ROW()-1,COLUMN())))+1)</f>
        <v>311</v>
      </c>
      <c r="D602" s="888" t="s">
        <v>285</v>
      </c>
      <c r="E602" s="883" t="s">
        <v>799</v>
      </c>
      <c r="F602" s="884">
        <v>20</v>
      </c>
      <c r="G602" s="884">
        <v>230</v>
      </c>
      <c r="H602" s="884">
        <f t="shared" si="449"/>
        <v>4600</v>
      </c>
      <c r="I602" s="884">
        <f>G602*90/100</f>
        <v>207</v>
      </c>
      <c r="J602" s="884">
        <f t="shared" si="450"/>
        <v>4140</v>
      </c>
      <c r="K602" s="884">
        <f t="shared" si="451"/>
        <v>358.32</v>
      </c>
      <c r="L602" s="885">
        <f t="shared" si="452"/>
        <v>11.553918285331548</v>
      </c>
      <c r="M602" s="915">
        <f t="shared" si="453"/>
        <v>0.9</v>
      </c>
    </row>
    <row r="603" spans="2:13" x14ac:dyDescent="0.25">
      <c r="B603" s="887" t="s">
        <v>292</v>
      </c>
      <c r="C603" s="892" t="str">
        <f ca="1">IF(E603="","",MAX(INDIRECT(ADDRESS(ROW()-7,COLUMN())):INDIRECT(ADDRESS(ROW()-1,COLUMN())))+1)</f>
        <v/>
      </c>
      <c r="D603" s="888" t="s">
        <v>291</v>
      </c>
      <c r="E603" s="883"/>
      <c r="F603" s="884"/>
      <c r="G603" s="884"/>
      <c r="H603" s="884"/>
      <c r="I603" s="884"/>
      <c r="J603" s="884"/>
      <c r="K603" s="884"/>
      <c r="L603" s="885"/>
      <c r="M603" s="915"/>
    </row>
    <row r="604" spans="2:13" x14ac:dyDescent="0.25">
      <c r="B604" s="887" t="s">
        <v>293</v>
      </c>
      <c r="C604" s="892">
        <f ca="1">IF(E604="","",MAX(INDIRECT(ADDRESS(ROW()-7,COLUMN())):INDIRECT(ADDRESS(ROW()-1,COLUMN())))+1)</f>
        <v>312</v>
      </c>
      <c r="D604" s="888" t="s">
        <v>295</v>
      </c>
      <c r="E604" s="883" t="s">
        <v>11</v>
      </c>
      <c r="F604" s="884">
        <v>1</v>
      </c>
      <c r="G604" s="884">
        <v>15000</v>
      </c>
      <c r="H604" s="884">
        <f t="shared" ref="H604" si="454">F604*G604</f>
        <v>15000</v>
      </c>
      <c r="I604" s="884">
        <f>ROUND(Labour_perc_roads*F604,4)</f>
        <v>2.9000000000000001E-2</v>
      </c>
      <c r="J604" s="884">
        <f t="shared" ref="J604" si="455">I604*F604</f>
        <v>2.9000000000000001E-2</v>
      </c>
      <c r="K604" s="884">
        <f>$M$1</f>
        <v>358.32</v>
      </c>
      <c r="L604" s="885">
        <f t="shared" ref="L604" si="456">J604/K604</f>
        <v>8.0933244027684757E-5</v>
      </c>
      <c r="M604" s="915">
        <f>IF(SUM(L604)&gt;0,J604/H604,"")</f>
        <v>1.9333333333333336E-6</v>
      </c>
    </row>
    <row r="605" spans="2:13" x14ac:dyDescent="0.25">
      <c r="B605" s="887" t="s">
        <v>299</v>
      </c>
      <c r="C605" s="892" t="str">
        <f ca="1">IF(E605="","",MAX(INDIRECT(ADDRESS(ROW()-7,COLUMN())):INDIRECT(ADDRESS(ROW()-1,COLUMN())))+1)</f>
        <v/>
      </c>
      <c r="D605" s="888" t="s">
        <v>297</v>
      </c>
      <c r="E605" s="883"/>
      <c r="F605" s="884"/>
      <c r="G605" s="884"/>
      <c r="H605" s="884"/>
      <c r="I605" s="884"/>
      <c r="J605" s="884"/>
      <c r="K605" s="884"/>
      <c r="L605" s="885"/>
      <c r="M605" s="915"/>
    </row>
    <row r="606" spans="2:13" x14ac:dyDescent="0.25">
      <c r="B606" s="887" t="s">
        <v>300</v>
      </c>
      <c r="C606" s="892">
        <f ca="1">IF(E606="","",MAX(INDIRECT(ADDRESS(ROW()-7,COLUMN())):INDIRECT(ADDRESS(ROW()-1,COLUMN())))+1)</f>
        <v>313</v>
      </c>
      <c r="D606" s="888" t="s">
        <v>298</v>
      </c>
      <c r="E606" s="883" t="s">
        <v>799</v>
      </c>
      <c r="F606" s="884">
        <v>98</v>
      </c>
      <c r="G606" s="884">
        <v>42.5</v>
      </c>
      <c r="H606" s="884">
        <f t="shared" ref="H606:H609" si="457">F606*G606</f>
        <v>4165</v>
      </c>
      <c r="I606" s="884">
        <f>ROUND(Labour_perc_roads*G606,1)</f>
        <v>1.2</v>
      </c>
      <c r="J606" s="884">
        <f t="shared" ref="J606:J609" si="458">I606*F606</f>
        <v>117.6</v>
      </c>
      <c r="K606" s="884">
        <f>$M$1</f>
        <v>358.32</v>
      </c>
      <c r="L606" s="885">
        <f t="shared" ref="L606:L609" si="459">J606/K606</f>
        <v>0.32819825853985263</v>
      </c>
      <c r="M606" s="915">
        <f>IF(SUM(L606)&gt;0,J606/H606,"")</f>
        <v>2.8235294117647056E-2</v>
      </c>
    </row>
    <row r="607" spans="2:13" ht="25" x14ac:dyDescent="0.25">
      <c r="B607" s="887" t="s">
        <v>301</v>
      </c>
      <c r="C607" s="892">
        <f ca="1">IF(E607="","",MAX(INDIRECT(ADDRESS(ROW()-7,COLUMN())):INDIRECT(ADDRESS(ROW()-1,COLUMN())))+1)</f>
        <v>314</v>
      </c>
      <c r="D607" s="888" t="s">
        <v>2145</v>
      </c>
      <c r="E607" s="883" t="s">
        <v>799</v>
      </c>
      <c r="F607" s="884">
        <v>295</v>
      </c>
      <c r="G607" s="884">
        <v>55</v>
      </c>
      <c r="H607" s="884">
        <f t="shared" si="457"/>
        <v>16225</v>
      </c>
      <c r="I607" s="884">
        <f>ROUND(Labour_perc_roads*G607,1)</f>
        <v>1.6</v>
      </c>
      <c r="J607" s="884">
        <f t="shared" si="458"/>
        <v>472</v>
      </c>
      <c r="K607" s="884">
        <f>$M$1</f>
        <v>358.32</v>
      </c>
      <c r="L607" s="885">
        <f t="shared" si="459"/>
        <v>1.3172583165885243</v>
      </c>
      <c r="M607" s="915">
        <f>IF(SUM(L607)&gt;0,J607/H607,"")</f>
        <v>2.9090909090909091E-2</v>
      </c>
    </row>
    <row r="608" spans="2:13" ht="25" x14ac:dyDescent="0.25">
      <c r="B608" s="887" t="s">
        <v>1886</v>
      </c>
      <c r="C608" s="892">
        <f ca="1">IF(E608="","",MAX(INDIRECT(ADDRESS(ROW()-7,COLUMN())):INDIRECT(ADDRESS(ROW()-1,COLUMN())))+1)</f>
        <v>315</v>
      </c>
      <c r="D608" s="888" t="s">
        <v>302</v>
      </c>
      <c r="E608" s="883" t="s">
        <v>799</v>
      </c>
      <c r="F608" s="884">
        <v>20</v>
      </c>
      <c r="G608" s="884">
        <v>75</v>
      </c>
      <c r="H608" s="884">
        <f t="shared" si="457"/>
        <v>1500</v>
      </c>
      <c r="I608" s="884">
        <f>ROUND(Labour_perc_roads*G608,1)</f>
        <v>2.2000000000000002</v>
      </c>
      <c r="J608" s="884">
        <f t="shared" si="458"/>
        <v>44</v>
      </c>
      <c r="K608" s="884">
        <f>$M$1</f>
        <v>358.32</v>
      </c>
      <c r="L608" s="885">
        <f t="shared" si="459"/>
        <v>0.12279526680062514</v>
      </c>
      <c r="M608" s="915">
        <f>IF(SUM(L608)&gt;0,J608/H608,"")</f>
        <v>2.9333333333333333E-2</v>
      </c>
    </row>
    <row r="609" spans="2:13" ht="37.5" x14ac:dyDescent="0.25">
      <c r="B609" s="887" t="s">
        <v>304</v>
      </c>
      <c r="C609" s="892">
        <f ca="1">IF(E609="","",MAX(INDIRECT(ADDRESS(ROW()-7,COLUMN())):INDIRECT(ADDRESS(ROW()-1,COLUMN())))+1)</f>
        <v>316</v>
      </c>
      <c r="D609" s="888" t="s">
        <v>303</v>
      </c>
      <c r="E609" s="883" t="s">
        <v>1245</v>
      </c>
      <c r="F609" s="884">
        <v>2500</v>
      </c>
      <c r="G609" s="884">
        <v>6.5</v>
      </c>
      <c r="H609" s="884">
        <f t="shared" si="457"/>
        <v>16250</v>
      </c>
      <c r="I609" s="884">
        <f>ROUND(Labour_perc_roads*G609,1)</f>
        <v>0.2</v>
      </c>
      <c r="J609" s="884">
        <f t="shared" si="458"/>
        <v>500</v>
      </c>
      <c r="K609" s="884">
        <f>$M$1</f>
        <v>358.32</v>
      </c>
      <c r="L609" s="885">
        <f t="shared" si="459"/>
        <v>1.3954007590980129</v>
      </c>
      <c r="M609" s="915">
        <f>IF(SUM(L609)&gt;0,J609/H609,"")</f>
        <v>3.0769230769230771E-2</v>
      </c>
    </row>
    <row r="610" spans="2:13" x14ac:dyDescent="0.25">
      <c r="B610" s="887" t="s">
        <v>1887</v>
      </c>
      <c r="C610" s="892" t="str">
        <f ca="1">IF(E610="","",MAX(INDIRECT(ADDRESS(ROW()-7,COLUMN())):INDIRECT(ADDRESS(ROW()-1,COLUMN())))+1)</f>
        <v/>
      </c>
      <c r="D610" s="888" t="s">
        <v>309</v>
      </c>
      <c r="E610" s="883"/>
      <c r="F610" s="884"/>
      <c r="G610" s="884"/>
      <c r="H610" s="884"/>
      <c r="I610" s="884"/>
      <c r="J610" s="884"/>
      <c r="K610" s="884"/>
      <c r="L610" s="885"/>
      <c r="M610" s="915"/>
    </row>
    <row r="611" spans="2:13" x14ac:dyDescent="0.25">
      <c r="B611" s="887" t="s">
        <v>305</v>
      </c>
      <c r="C611" s="892">
        <f ca="1">IF(E611="","",MAX(INDIRECT(ADDRESS(ROW()-7,COLUMN())):INDIRECT(ADDRESS(ROW()-1,COLUMN())))+1)</f>
        <v>317</v>
      </c>
      <c r="D611" s="888" t="s">
        <v>227</v>
      </c>
      <c r="E611" s="883" t="s">
        <v>799</v>
      </c>
      <c r="F611" s="884">
        <v>80</v>
      </c>
      <c r="G611" s="884">
        <v>550</v>
      </c>
      <c r="H611" s="884">
        <f t="shared" ref="H611:H614" si="460">F611*G611</f>
        <v>44000</v>
      </c>
      <c r="I611" s="884">
        <f>ROUND(Labour_perc_roads*G611,1)</f>
        <v>16</v>
      </c>
      <c r="J611" s="884">
        <f t="shared" ref="J611:J614" si="461">I611*F611</f>
        <v>1280</v>
      </c>
      <c r="K611" s="884">
        <f>$M$1</f>
        <v>358.32</v>
      </c>
      <c r="L611" s="885">
        <f t="shared" ref="L611:L614" si="462">J611/K611</f>
        <v>3.5722259432909134</v>
      </c>
      <c r="M611" s="915">
        <f>IF(SUM(L611)&gt;0,J611/H611,"")</f>
        <v>2.9090909090909091E-2</v>
      </c>
    </row>
    <row r="612" spans="2:13" ht="50" x14ac:dyDescent="0.25">
      <c r="B612" s="887" t="s">
        <v>306</v>
      </c>
      <c r="C612" s="892">
        <f ca="1">IF(E612="","",MAX(INDIRECT(ADDRESS(ROW()-7,COLUMN())):INDIRECT(ADDRESS(ROW()-1,COLUMN())))+1)</f>
        <v>318</v>
      </c>
      <c r="D612" s="888" t="s">
        <v>2146</v>
      </c>
      <c r="E612" s="883" t="s">
        <v>799</v>
      </c>
      <c r="F612" s="884">
        <v>80</v>
      </c>
      <c r="G612" s="884">
        <v>300</v>
      </c>
      <c r="H612" s="884">
        <f t="shared" si="460"/>
        <v>24000</v>
      </c>
      <c r="I612" s="884">
        <f>ROUND(Labour_perc_roads*G612,1)</f>
        <v>8.6999999999999993</v>
      </c>
      <c r="J612" s="884">
        <f t="shared" si="461"/>
        <v>696</v>
      </c>
      <c r="K612" s="884">
        <f>$M$1</f>
        <v>358.32</v>
      </c>
      <c r="L612" s="885">
        <f t="shared" si="462"/>
        <v>1.942397856664434</v>
      </c>
      <c r="M612" s="915">
        <f>IF(SUM(L612)&gt;0,J612/H612,"")</f>
        <v>2.9000000000000001E-2</v>
      </c>
    </row>
    <row r="613" spans="2:13" ht="25" x14ac:dyDescent="0.25">
      <c r="B613" s="887" t="s">
        <v>307</v>
      </c>
      <c r="C613" s="892">
        <f ca="1">IF(E613="","",MAX(INDIRECT(ADDRESS(ROW()-7,COLUMN())):INDIRECT(ADDRESS(ROW()-1,COLUMN())))+1)</f>
        <v>319</v>
      </c>
      <c r="D613" s="888" t="s">
        <v>2147</v>
      </c>
      <c r="E613" s="883" t="s">
        <v>799</v>
      </c>
      <c r="F613" s="884">
        <v>32</v>
      </c>
      <c r="G613" s="884">
        <v>2100</v>
      </c>
      <c r="H613" s="884">
        <f t="shared" si="460"/>
        <v>67200</v>
      </c>
      <c r="I613" s="884">
        <f>ROUND(_Mix+_Haul+_Place,1)*0.5</f>
        <v>396.35</v>
      </c>
      <c r="J613" s="884">
        <f t="shared" si="461"/>
        <v>12683.2</v>
      </c>
      <c r="K613" s="884">
        <f t="shared" ref="K613:K614" si="463">$M$1</f>
        <v>358.32</v>
      </c>
      <c r="L613" s="885">
        <f t="shared" si="462"/>
        <v>35.396293815583839</v>
      </c>
      <c r="M613" s="915">
        <f>IF(SUM(L613)&gt;0,J613/H613,"")</f>
        <v>0.18873809523809526</v>
      </c>
    </row>
    <row r="614" spans="2:13" ht="25" x14ac:dyDescent="0.25">
      <c r="B614" s="887" t="s">
        <v>308</v>
      </c>
      <c r="C614" s="892">
        <f ca="1">IF(E614="","",MAX(INDIRECT(ADDRESS(ROW()-7,COLUMN())):INDIRECT(ADDRESS(ROW()-1,COLUMN())))+1)</f>
        <v>320</v>
      </c>
      <c r="D614" s="888" t="s">
        <v>2148</v>
      </c>
      <c r="E614" s="883" t="s">
        <v>799</v>
      </c>
      <c r="F614" s="884">
        <v>16</v>
      </c>
      <c r="G614" s="884">
        <v>2000</v>
      </c>
      <c r="H614" s="884">
        <f t="shared" si="460"/>
        <v>32000</v>
      </c>
      <c r="I614" s="884">
        <f>ROUND(_Mix+_Haul+_Place,1)*0.5</f>
        <v>396.35</v>
      </c>
      <c r="J614" s="884">
        <f t="shared" si="461"/>
        <v>6341.6</v>
      </c>
      <c r="K614" s="884">
        <f t="shared" si="463"/>
        <v>358.32</v>
      </c>
      <c r="L614" s="885">
        <f t="shared" si="462"/>
        <v>17.698146907791919</v>
      </c>
      <c r="M614" s="915">
        <f>IF(SUM(L614)&gt;0,J614/H614,"")</f>
        <v>0.19817500000000002</v>
      </c>
    </row>
    <row r="615" spans="2:13" x14ac:dyDescent="0.25">
      <c r="B615" s="887"/>
      <c r="C615" s="892" t="str">
        <f ca="1">IF(E615="","",MAX(INDIRECT(ADDRESS(ROW()-7,COLUMN())):INDIRECT(ADDRESS(ROW()-1,COLUMN())))+1)</f>
        <v/>
      </c>
      <c r="D615" s="888"/>
      <c r="E615" s="883"/>
      <c r="F615" s="884"/>
      <c r="G615" s="884"/>
      <c r="H615" s="884"/>
      <c r="I615" s="884"/>
      <c r="J615" s="884"/>
      <c r="K615" s="884"/>
      <c r="L615" s="885"/>
      <c r="M615" s="915"/>
    </row>
    <row r="616" spans="2:13" ht="26" x14ac:dyDescent="0.25">
      <c r="B616" s="882" t="s">
        <v>312</v>
      </c>
      <c r="C616" s="911" t="str">
        <f ca="1">IF(E616="","",MAX(INDIRECT(ADDRESS(ROW()-7,COLUMN())):INDIRECT(ADDRESS(ROW()-1,COLUMN())))+1)</f>
        <v/>
      </c>
      <c r="D616" s="881" t="s">
        <v>311</v>
      </c>
      <c r="E616" s="883"/>
      <c r="F616" s="884"/>
      <c r="G616" s="884"/>
      <c r="H616" s="884"/>
      <c r="I616" s="884"/>
      <c r="J616" s="884"/>
      <c r="K616" s="884"/>
      <c r="L616" s="885"/>
      <c r="M616" s="915"/>
    </row>
    <row r="617" spans="2:13" ht="26" x14ac:dyDescent="0.25">
      <c r="B617" s="882" t="s">
        <v>313</v>
      </c>
      <c r="C617" s="911" t="str">
        <f ca="1">IF(E617="","",MAX(INDIRECT(ADDRESS(ROW()-7,COLUMN())):INDIRECT(ADDRESS(ROW()-1,COLUMN())))+1)</f>
        <v/>
      </c>
      <c r="D617" s="881" t="s">
        <v>1901</v>
      </c>
      <c r="E617" s="883"/>
      <c r="F617" s="884"/>
      <c r="G617" s="884"/>
      <c r="H617" s="884"/>
      <c r="I617" s="884"/>
      <c r="J617" s="884"/>
      <c r="K617" s="884"/>
      <c r="L617" s="885"/>
      <c r="M617" s="915"/>
    </row>
    <row r="618" spans="2:13" x14ac:dyDescent="0.25">
      <c r="B618" s="887" t="s">
        <v>39</v>
      </c>
      <c r="C618" s="892" t="str">
        <f ca="1">IF(E618="","",MAX(INDIRECT(ADDRESS(ROW()-7,COLUMN())):INDIRECT(ADDRESS(ROW()-1,COLUMN())))+1)</f>
        <v/>
      </c>
      <c r="D618" s="888" t="s">
        <v>1733</v>
      </c>
      <c r="E618" s="883"/>
      <c r="F618" s="884"/>
      <c r="G618" s="884"/>
      <c r="H618" s="884"/>
      <c r="I618" s="884"/>
      <c r="J618" s="884"/>
      <c r="K618" s="884"/>
      <c r="L618" s="885"/>
      <c r="M618" s="915"/>
    </row>
    <row r="619" spans="2:13" x14ac:dyDescent="0.25">
      <c r="B619" s="887" t="s">
        <v>990</v>
      </c>
      <c r="C619" s="892">
        <f ca="1">IF(E619="","",MAX(INDIRECT(ADDRESS(ROW()-7,COLUMN())):INDIRECT(ADDRESS(ROW()-1,COLUMN())))+1)</f>
        <v>321</v>
      </c>
      <c r="D619" s="888" t="s">
        <v>1755</v>
      </c>
      <c r="E619" s="883" t="s">
        <v>555</v>
      </c>
      <c r="F619" s="884">
        <v>115</v>
      </c>
      <c r="G619" s="884">
        <v>450</v>
      </c>
      <c r="H619" s="884">
        <f t="shared" ref="H619:H621" si="464">F619*G619</f>
        <v>51750</v>
      </c>
      <c r="I619" s="884">
        <f>_Formwork*0.9</f>
        <v>120.60000000000001</v>
      </c>
      <c r="J619" s="884">
        <f t="shared" ref="J619:J621" si="465">I619*F619</f>
        <v>13869.000000000002</v>
      </c>
      <c r="K619" s="884">
        <f t="shared" ref="K619:K621" si="466">$M$1</f>
        <v>358.32</v>
      </c>
      <c r="L619" s="885">
        <f t="shared" ref="L619:L621" si="467">J619/K619</f>
        <v>38.705626255860686</v>
      </c>
      <c r="M619" s="915">
        <f>IF(SUM(L619)&gt;0,J619/H619,"")</f>
        <v>0.26800000000000002</v>
      </c>
    </row>
    <row r="620" spans="2:13" x14ac:dyDescent="0.25">
      <c r="B620" s="887" t="s">
        <v>991</v>
      </c>
      <c r="C620" s="892">
        <f ca="1">IF(E620="","",MAX(INDIRECT(ADDRESS(ROW()-7,COLUMN())):INDIRECT(ADDRESS(ROW()-1,COLUMN())))+1)</f>
        <v>322</v>
      </c>
      <c r="D620" s="888" t="s">
        <v>1756</v>
      </c>
      <c r="E620" s="883" t="s">
        <v>555</v>
      </c>
      <c r="F620" s="884">
        <v>320</v>
      </c>
      <c r="G620" s="884">
        <v>450</v>
      </c>
      <c r="H620" s="884">
        <f t="shared" si="464"/>
        <v>144000</v>
      </c>
      <c r="I620" s="884">
        <f>_Formwork*0.9</f>
        <v>120.60000000000001</v>
      </c>
      <c r="J620" s="884">
        <f t="shared" si="465"/>
        <v>38592</v>
      </c>
      <c r="K620" s="884">
        <f t="shared" si="466"/>
        <v>358.32</v>
      </c>
      <c r="L620" s="885">
        <f t="shared" si="467"/>
        <v>107.70261219022103</v>
      </c>
      <c r="M620" s="915">
        <f>IF(SUM(L620)&gt;0,J620/H620,"")</f>
        <v>0.26800000000000002</v>
      </c>
    </row>
    <row r="621" spans="2:13" x14ac:dyDescent="0.25">
      <c r="B621" s="887" t="s">
        <v>1679</v>
      </c>
      <c r="C621" s="892">
        <f ca="1">IF(E621="","",MAX(INDIRECT(ADDRESS(ROW()-7,COLUMN())):INDIRECT(ADDRESS(ROW()-1,COLUMN())))+1)</f>
        <v>323</v>
      </c>
      <c r="D621" s="888" t="s">
        <v>1757</v>
      </c>
      <c r="E621" s="883" t="s">
        <v>555</v>
      </c>
      <c r="F621" s="884">
        <v>20</v>
      </c>
      <c r="G621" s="884">
        <v>450</v>
      </c>
      <c r="H621" s="884">
        <f t="shared" si="464"/>
        <v>9000</v>
      </c>
      <c r="I621" s="884">
        <f>_Formwork*0.9</f>
        <v>120.60000000000001</v>
      </c>
      <c r="J621" s="884">
        <f t="shared" si="465"/>
        <v>2412</v>
      </c>
      <c r="K621" s="884">
        <f t="shared" si="466"/>
        <v>358.32</v>
      </c>
      <c r="L621" s="885">
        <f t="shared" si="467"/>
        <v>6.7314132618888145</v>
      </c>
      <c r="M621" s="915">
        <f>IF(SUM(L621)&gt;0,J621/H621,"")</f>
        <v>0.26800000000000002</v>
      </c>
    </row>
    <row r="622" spans="2:13" x14ac:dyDescent="0.25">
      <c r="B622" s="887" t="s">
        <v>41</v>
      </c>
      <c r="C622" s="892" t="str">
        <f ca="1">IF(E622="","",MAX(INDIRECT(ADDRESS(ROW()-7,COLUMN())):INDIRECT(ADDRESS(ROW()-1,COLUMN())))+1)</f>
        <v/>
      </c>
      <c r="D622" s="888" t="s">
        <v>1742</v>
      </c>
      <c r="E622" s="883"/>
      <c r="F622" s="884"/>
      <c r="G622" s="884"/>
      <c r="H622" s="884"/>
      <c r="I622" s="884"/>
      <c r="J622" s="884"/>
      <c r="K622" s="884"/>
      <c r="L622" s="885"/>
      <c r="M622" s="915"/>
    </row>
    <row r="623" spans="2:13" x14ac:dyDescent="0.25">
      <c r="B623" s="887" t="s">
        <v>990</v>
      </c>
      <c r="C623" s="892">
        <f ca="1">IF(E623="","",MAX(INDIRECT(ADDRESS(ROW()-7,COLUMN())):INDIRECT(ADDRESS(ROW()-1,COLUMN())))+1)</f>
        <v>324</v>
      </c>
      <c r="D623" s="888" t="s">
        <v>1758</v>
      </c>
      <c r="E623" s="883" t="s">
        <v>555</v>
      </c>
      <c r="F623" s="884">
        <v>20</v>
      </c>
      <c r="G623" s="884">
        <v>480</v>
      </c>
      <c r="H623" s="884">
        <f t="shared" ref="H623:H625" si="468">F623*G623</f>
        <v>9600</v>
      </c>
      <c r="I623" s="884">
        <f>_Formwork*0.9</f>
        <v>120.60000000000001</v>
      </c>
      <c r="J623" s="884">
        <f t="shared" ref="J623:J625" si="469">I623*F623</f>
        <v>2412</v>
      </c>
      <c r="K623" s="884">
        <f t="shared" ref="K623:K625" si="470">$M$1</f>
        <v>358.32</v>
      </c>
      <c r="L623" s="885">
        <f t="shared" ref="L623:L625" si="471">J623/K623</f>
        <v>6.7314132618888145</v>
      </c>
      <c r="M623" s="915">
        <f>IF(SUM(L623)&gt;0,J623/H623,"")</f>
        <v>0.25124999999999997</v>
      </c>
    </row>
    <row r="624" spans="2:13" x14ac:dyDescent="0.25">
      <c r="B624" s="887" t="s">
        <v>991</v>
      </c>
      <c r="C624" s="892">
        <f ca="1">IF(E624="","",MAX(INDIRECT(ADDRESS(ROW()-7,COLUMN())):INDIRECT(ADDRESS(ROW()-1,COLUMN())))+1)</f>
        <v>325</v>
      </c>
      <c r="D624" s="888" t="s">
        <v>1756</v>
      </c>
      <c r="E624" s="883" t="s">
        <v>555</v>
      </c>
      <c r="F624" s="884">
        <v>320</v>
      </c>
      <c r="G624" s="884">
        <v>480</v>
      </c>
      <c r="H624" s="884">
        <f t="shared" si="468"/>
        <v>153600</v>
      </c>
      <c r="I624" s="884">
        <f>_Formwork*0.9</f>
        <v>120.60000000000001</v>
      </c>
      <c r="J624" s="884">
        <f t="shared" si="469"/>
        <v>38592</v>
      </c>
      <c r="K624" s="884">
        <f t="shared" si="470"/>
        <v>358.32</v>
      </c>
      <c r="L624" s="885">
        <f t="shared" si="471"/>
        <v>107.70261219022103</v>
      </c>
      <c r="M624" s="915">
        <f>IF(SUM(L624)&gt;0,J624/H624,"")</f>
        <v>0.25124999999999997</v>
      </c>
    </row>
    <row r="625" spans="2:13" x14ac:dyDescent="0.25">
      <c r="B625" s="887" t="s">
        <v>1679</v>
      </c>
      <c r="C625" s="892">
        <f ca="1">IF(E625="","",MAX(INDIRECT(ADDRESS(ROW()-7,COLUMN())):INDIRECT(ADDRESS(ROW()-1,COLUMN())))+1)</f>
        <v>326</v>
      </c>
      <c r="D625" s="888" t="s">
        <v>1757</v>
      </c>
      <c r="E625" s="883" t="s">
        <v>555</v>
      </c>
      <c r="F625" s="884">
        <v>80</v>
      </c>
      <c r="G625" s="884">
        <v>480</v>
      </c>
      <c r="H625" s="884">
        <f t="shared" si="468"/>
        <v>38400</v>
      </c>
      <c r="I625" s="884">
        <f>_Formwork*0.9</f>
        <v>120.60000000000001</v>
      </c>
      <c r="J625" s="884">
        <f t="shared" si="469"/>
        <v>9648</v>
      </c>
      <c r="K625" s="884">
        <f t="shared" si="470"/>
        <v>358.32</v>
      </c>
      <c r="L625" s="885">
        <f t="shared" si="471"/>
        <v>26.925653047555258</v>
      </c>
      <c r="M625" s="915">
        <f>IF(SUM(L625)&gt;0,J625/H625,"")</f>
        <v>0.25124999999999997</v>
      </c>
    </row>
    <row r="626" spans="2:13" ht="26" x14ac:dyDescent="0.25">
      <c r="B626" s="882" t="s">
        <v>314</v>
      </c>
      <c r="C626" s="911" t="str">
        <f ca="1">IF(E626="","",MAX(INDIRECT(ADDRESS(ROW()-7,COLUMN())):INDIRECT(ADDRESS(ROW()-1,COLUMN())))+1)</f>
        <v/>
      </c>
      <c r="D626" s="881" t="s">
        <v>1902</v>
      </c>
      <c r="E626" s="883"/>
      <c r="F626" s="884"/>
      <c r="G626" s="884"/>
      <c r="H626" s="884"/>
      <c r="I626" s="884"/>
      <c r="J626" s="884"/>
      <c r="K626" s="884"/>
      <c r="L626" s="885"/>
      <c r="M626" s="915"/>
    </row>
    <row r="627" spans="2:13" x14ac:dyDescent="0.25">
      <c r="B627" s="887" t="s">
        <v>39</v>
      </c>
      <c r="C627" s="892" t="str">
        <f ca="1">IF(E627="","",MAX(INDIRECT(ADDRESS(ROW()-7,COLUMN())):INDIRECT(ADDRESS(ROW()-1,COLUMN())))+1)</f>
        <v/>
      </c>
      <c r="D627" s="888" t="s">
        <v>1742</v>
      </c>
      <c r="E627" s="883"/>
      <c r="F627" s="884"/>
      <c r="G627" s="884"/>
      <c r="H627" s="884"/>
      <c r="I627" s="884"/>
      <c r="J627" s="884"/>
      <c r="K627" s="884"/>
      <c r="L627" s="885"/>
      <c r="M627" s="915"/>
    </row>
    <row r="628" spans="2:13" x14ac:dyDescent="0.25">
      <c r="B628" s="887" t="s">
        <v>990</v>
      </c>
      <c r="C628" s="892">
        <f ca="1">IF(E628="","",MAX(INDIRECT(ADDRESS(ROW()-7,COLUMN())):INDIRECT(ADDRESS(ROW()-1,COLUMN())))+1)</f>
        <v>327</v>
      </c>
      <c r="D628" s="888" t="s">
        <v>1759</v>
      </c>
      <c r="E628" s="883" t="s">
        <v>555</v>
      </c>
      <c r="F628" s="884">
        <v>121</v>
      </c>
      <c r="G628" s="884">
        <v>1700</v>
      </c>
      <c r="H628" s="884">
        <f t="shared" ref="H628" si="472">F628*G628</f>
        <v>205700</v>
      </c>
      <c r="I628" s="884">
        <f>_Formwork</f>
        <v>134</v>
      </c>
      <c r="J628" s="884">
        <f t="shared" ref="J628" si="473">I628*F628</f>
        <v>16214</v>
      </c>
      <c r="K628" s="884">
        <f>$M$1</f>
        <v>358.32</v>
      </c>
      <c r="L628" s="885">
        <f t="shared" ref="L628" si="474">J628/K628</f>
        <v>45.250055816030368</v>
      </c>
      <c r="M628" s="915">
        <f>IF(SUM(L628)&gt;0,J628/H628,"")</f>
        <v>7.8823529411764709E-2</v>
      </c>
    </row>
    <row r="629" spans="2:13" ht="26" x14ac:dyDescent="0.25">
      <c r="B629" s="882" t="s">
        <v>315</v>
      </c>
      <c r="C629" s="911" t="str">
        <f ca="1">IF(E629="","",MAX(INDIRECT(ADDRESS(ROW()-7,COLUMN())):INDIRECT(ADDRESS(ROW()-1,COLUMN())))+1)</f>
        <v/>
      </c>
      <c r="D629" s="881" t="s">
        <v>1903</v>
      </c>
      <c r="E629" s="883"/>
      <c r="F629" s="884"/>
      <c r="G629" s="884"/>
      <c r="H629" s="884"/>
      <c r="I629" s="884"/>
      <c r="J629" s="884"/>
      <c r="K629" s="884"/>
      <c r="L629" s="885"/>
      <c r="M629" s="915"/>
    </row>
    <row r="630" spans="2:13" x14ac:dyDescent="0.25">
      <c r="B630" s="887" t="s">
        <v>41</v>
      </c>
      <c r="C630" s="892" t="str">
        <f ca="1">IF(E630="","",MAX(INDIRECT(ADDRESS(ROW()-7,COLUMN())):INDIRECT(ADDRESS(ROW()-1,COLUMN())))+1)</f>
        <v/>
      </c>
      <c r="D630" s="888" t="s">
        <v>1742</v>
      </c>
      <c r="E630" s="883"/>
      <c r="F630" s="884"/>
      <c r="G630" s="884"/>
      <c r="H630" s="884"/>
      <c r="I630" s="884"/>
      <c r="J630" s="884"/>
      <c r="K630" s="884"/>
      <c r="L630" s="885"/>
      <c r="M630" s="915"/>
    </row>
    <row r="631" spans="2:13" x14ac:dyDescent="0.25">
      <c r="B631" s="887" t="s">
        <v>990</v>
      </c>
      <c r="C631" s="892">
        <f ca="1">IF(E631="","",MAX(INDIRECT(ADDRESS(ROW()-7,COLUMN())):INDIRECT(ADDRESS(ROW()-1,COLUMN())))+1)</f>
        <v>328</v>
      </c>
      <c r="D631" s="888" t="s">
        <v>1767</v>
      </c>
      <c r="E631" s="883" t="s">
        <v>555</v>
      </c>
      <c r="F631" s="884">
        <v>5</v>
      </c>
      <c r="G631" s="884">
        <v>1700</v>
      </c>
      <c r="H631" s="884">
        <f t="shared" ref="H631" si="475">F631*G631</f>
        <v>8500</v>
      </c>
      <c r="I631" s="884">
        <f>_Formwork</f>
        <v>134</v>
      </c>
      <c r="J631" s="884">
        <f t="shared" ref="J631" si="476">I631*F631</f>
        <v>670</v>
      </c>
      <c r="K631" s="884">
        <f>$M$1</f>
        <v>358.32</v>
      </c>
      <c r="L631" s="885">
        <f t="shared" ref="L631" si="477">J631/K631</f>
        <v>1.8698370171913374</v>
      </c>
      <c r="M631" s="915">
        <f>IF(SUM(L631)&gt;0,J631/H631,"")</f>
        <v>7.8823529411764709E-2</v>
      </c>
    </row>
    <row r="632" spans="2:13" x14ac:dyDescent="0.25">
      <c r="B632" s="887"/>
      <c r="C632" s="892" t="str">
        <f ca="1">IF(E632="","",MAX(INDIRECT(ADDRESS(ROW()-7,COLUMN())):INDIRECT(ADDRESS(ROW()-1,COLUMN())))+1)</f>
        <v/>
      </c>
      <c r="D632" s="888"/>
      <c r="E632" s="883"/>
      <c r="F632" s="884"/>
      <c r="G632" s="884"/>
      <c r="H632" s="884"/>
      <c r="I632" s="884"/>
      <c r="J632" s="884"/>
      <c r="K632" s="884"/>
      <c r="L632" s="885"/>
      <c r="M632" s="915"/>
    </row>
    <row r="633" spans="2:13" ht="13" x14ac:dyDescent="0.25">
      <c r="B633" s="882" t="s">
        <v>316</v>
      </c>
      <c r="C633" s="911" t="str">
        <f ca="1">IF(E633="","",MAX(INDIRECT(ADDRESS(ROW()-7,COLUMN())):INDIRECT(ADDRESS(ROW()-1,COLUMN())))+1)</f>
        <v/>
      </c>
      <c r="D633" s="881" t="s">
        <v>317</v>
      </c>
      <c r="E633" s="883"/>
      <c r="F633" s="884"/>
      <c r="G633" s="884"/>
      <c r="H633" s="884"/>
      <c r="I633" s="884"/>
      <c r="J633" s="884"/>
      <c r="K633" s="884"/>
      <c r="L633" s="885"/>
      <c r="M633" s="915"/>
    </row>
    <row r="634" spans="2:13" ht="13" x14ac:dyDescent="0.25">
      <c r="B634" s="882" t="s">
        <v>318</v>
      </c>
      <c r="C634" s="911" t="str">
        <f ca="1">IF(E634="","",MAX(INDIRECT(ADDRESS(ROW()-7,COLUMN())):INDIRECT(ADDRESS(ROW()-1,COLUMN())))+1)</f>
        <v/>
      </c>
      <c r="D634" s="881" t="s">
        <v>322</v>
      </c>
      <c r="E634" s="883"/>
      <c r="F634" s="884"/>
      <c r="G634" s="884"/>
      <c r="H634" s="884"/>
      <c r="I634" s="884"/>
      <c r="J634" s="884"/>
      <c r="K634" s="884"/>
      <c r="L634" s="885"/>
      <c r="M634" s="915"/>
    </row>
    <row r="635" spans="2:13" x14ac:dyDescent="0.25">
      <c r="B635" s="887" t="s">
        <v>319</v>
      </c>
      <c r="C635" s="892" t="str">
        <f ca="1">IF(E635="","",MAX(INDIRECT(ADDRESS(ROW()-7,COLUMN())):INDIRECT(ADDRESS(ROW()-1,COLUMN())))+1)</f>
        <v/>
      </c>
      <c r="D635" s="888" t="s">
        <v>1760</v>
      </c>
      <c r="E635" s="883"/>
      <c r="F635" s="884"/>
      <c r="G635" s="884"/>
      <c r="H635" s="884"/>
      <c r="I635" s="884"/>
      <c r="J635" s="884"/>
      <c r="K635" s="884"/>
      <c r="L635" s="885"/>
      <c r="M635" s="915"/>
    </row>
    <row r="636" spans="2:13" x14ac:dyDescent="0.25">
      <c r="B636" s="887" t="s">
        <v>39</v>
      </c>
      <c r="C636" s="892">
        <f ca="1">IF(E636="","",MAX(INDIRECT(ADDRESS(ROW()-7,COLUMN())):INDIRECT(ADDRESS(ROW()-1,COLUMN())))+1)</f>
        <v>329</v>
      </c>
      <c r="D636" s="888" t="s">
        <v>1751</v>
      </c>
      <c r="E636" s="883" t="s">
        <v>7</v>
      </c>
      <c r="F636" s="884">
        <v>3</v>
      </c>
      <c r="G636" s="884">
        <v>15000</v>
      </c>
      <c r="H636" s="884">
        <f t="shared" ref="H636:H637" si="478">F636*G636</f>
        <v>45000</v>
      </c>
      <c r="I636" s="884">
        <f>ROUND(9%*G636,1)</f>
        <v>1350</v>
      </c>
      <c r="J636" s="884">
        <f t="shared" ref="J636:J637" si="479">I636*F636</f>
        <v>4050</v>
      </c>
      <c r="K636" s="884">
        <f t="shared" ref="K636:K637" si="480">$M$1</f>
        <v>358.32</v>
      </c>
      <c r="L636" s="885">
        <f t="shared" ref="L636:L637" si="481">J636/K636</f>
        <v>11.302746148693904</v>
      </c>
      <c r="M636" s="915">
        <f>IF(SUM(L636)&gt;0,J636/H636,"")</f>
        <v>0.09</v>
      </c>
    </row>
    <row r="637" spans="2:13" x14ac:dyDescent="0.25">
      <c r="B637" s="887" t="s">
        <v>41</v>
      </c>
      <c r="C637" s="892">
        <f ca="1">IF(E637="","",MAX(INDIRECT(ADDRESS(ROW()-7,COLUMN())):INDIRECT(ADDRESS(ROW()-1,COLUMN())))+1)</f>
        <v>330</v>
      </c>
      <c r="D637" s="888" t="s">
        <v>1752</v>
      </c>
      <c r="E637" s="883" t="s">
        <v>7</v>
      </c>
      <c r="F637" s="884">
        <v>20</v>
      </c>
      <c r="G637" s="884">
        <v>15000</v>
      </c>
      <c r="H637" s="884">
        <f t="shared" si="478"/>
        <v>300000</v>
      </c>
      <c r="I637" s="884">
        <f>ROUND(9%*G637,1)</f>
        <v>1350</v>
      </c>
      <c r="J637" s="884">
        <f t="shared" si="479"/>
        <v>27000</v>
      </c>
      <c r="K637" s="884">
        <f t="shared" si="480"/>
        <v>358.32</v>
      </c>
      <c r="L637" s="885">
        <f t="shared" si="481"/>
        <v>75.351640991292697</v>
      </c>
      <c r="M637" s="915">
        <f>IF(SUM(L637)&gt;0,J637/H637,"")</f>
        <v>0.09</v>
      </c>
    </row>
    <row r="638" spans="2:13" x14ac:dyDescent="0.25">
      <c r="B638" s="887" t="s">
        <v>320</v>
      </c>
      <c r="C638" s="892" t="str">
        <f ca="1">IF(E638="","",MAX(INDIRECT(ADDRESS(ROW()-7,COLUMN())):INDIRECT(ADDRESS(ROW()-1,COLUMN())))+1)</f>
        <v/>
      </c>
      <c r="D638" s="888" t="s">
        <v>1757</v>
      </c>
      <c r="E638" s="883"/>
      <c r="F638" s="884"/>
      <c r="G638" s="884"/>
      <c r="H638" s="884"/>
      <c r="I638" s="884"/>
      <c r="J638" s="884"/>
      <c r="K638" s="884"/>
      <c r="L638" s="885"/>
      <c r="M638" s="915"/>
    </row>
    <row r="639" spans="2:13" x14ac:dyDescent="0.25">
      <c r="B639" s="887" t="s">
        <v>39</v>
      </c>
      <c r="C639" s="892">
        <f ca="1">IF(E639="","",MAX(INDIRECT(ADDRESS(ROW()-7,COLUMN())):INDIRECT(ADDRESS(ROW()-1,COLUMN())))+1)</f>
        <v>331</v>
      </c>
      <c r="D639" s="888" t="s">
        <v>1751</v>
      </c>
      <c r="E639" s="883" t="s">
        <v>7</v>
      </c>
      <c r="F639" s="884">
        <v>0.5</v>
      </c>
      <c r="G639" s="884">
        <v>15000</v>
      </c>
      <c r="H639" s="884">
        <f t="shared" ref="H639:H640" si="482">F639*G639</f>
        <v>7500</v>
      </c>
      <c r="I639" s="884">
        <f>ROUND(9%*G639,1)</f>
        <v>1350</v>
      </c>
      <c r="J639" s="884">
        <f t="shared" ref="J639:J640" si="483">I639*F639</f>
        <v>675</v>
      </c>
      <c r="K639" s="884">
        <f t="shared" ref="K639:K640" si="484">$M$1</f>
        <v>358.32</v>
      </c>
      <c r="L639" s="885">
        <f t="shared" ref="L639:L640" si="485">J639/K639</f>
        <v>1.8837910247823175</v>
      </c>
      <c r="M639" s="915">
        <f>IF(SUM(L639)&gt;0,J639/H639,"")</f>
        <v>0.09</v>
      </c>
    </row>
    <row r="640" spans="2:13" x14ac:dyDescent="0.25">
      <c r="B640" s="887" t="s">
        <v>41</v>
      </c>
      <c r="C640" s="892">
        <f ca="1">IF(E640="","",MAX(INDIRECT(ADDRESS(ROW()-7,COLUMN())):INDIRECT(ADDRESS(ROW()-1,COLUMN())))+1)</f>
        <v>332</v>
      </c>
      <c r="D640" s="888" t="s">
        <v>1752</v>
      </c>
      <c r="E640" s="883" t="s">
        <v>7</v>
      </c>
      <c r="F640" s="884">
        <v>6</v>
      </c>
      <c r="G640" s="884">
        <v>15000</v>
      </c>
      <c r="H640" s="884">
        <f t="shared" si="482"/>
        <v>90000</v>
      </c>
      <c r="I640" s="884">
        <f>ROUND(9%*G640,1)</f>
        <v>1350</v>
      </c>
      <c r="J640" s="884">
        <f t="shared" si="483"/>
        <v>8100</v>
      </c>
      <c r="K640" s="884">
        <f t="shared" si="484"/>
        <v>358.32</v>
      </c>
      <c r="L640" s="885">
        <f t="shared" si="485"/>
        <v>22.605492297387809</v>
      </c>
      <c r="M640" s="915">
        <f>IF(SUM(L640)&gt;0,J640/H640,"")</f>
        <v>0.09</v>
      </c>
    </row>
    <row r="641" spans="2:13" x14ac:dyDescent="0.25">
      <c r="B641" s="887" t="s">
        <v>1745</v>
      </c>
      <c r="C641" s="892" t="str">
        <f ca="1">IF(E641="","",MAX(INDIRECT(ADDRESS(ROW()-7,COLUMN())):INDIRECT(ADDRESS(ROW()-1,COLUMN())))+1)</f>
        <v/>
      </c>
      <c r="D641" s="888" t="s">
        <v>1755</v>
      </c>
      <c r="E641" s="883"/>
      <c r="F641" s="884"/>
      <c r="G641" s="884"/>
      <c r="H641" s="884"/>
      <c r="I641" s="884"/>
      <c r="J641" s="884"/>
      <c r="K641" s="884"/>
      <c r="L641" s="885"/>
      <c r="M641" s="915"/>
    </row>
    <row r="642" spans="2:13" x14ac:dyDescent="0.25">
      <c r="B642" s="887" t="s">
        <v>39</v>
      </c>
      <c r="C642" s="892">
        <f ca="1">IF(E642="","",MAX(INDIRECT(ADDRESS(ROW()-7,COLUMN())):INDIRECT(ADDRESS(ROW()-1,COLUMN())))+1)</f>
        <v>333</v>
      </c>
      <c r="D642" s="888" t="s">
        <v>1751</v>
      </c>
      <c r="E642" s="883" t="s">
        <v>7</v>
      </c>
      <c r="F642" s="884">
        <v>0.25</v>
      </c>
      <c r="G642" s="884">
        <v>15000</v>
      </c>
      <c r="H642" s="884">
        <f t="shared" ref="H642:H643" si="486">F642*G642</f>
        <v>3750</v>
      </c>
      <c r="I642" s="884">
        <f>ROUND(9%*G642,1)</f>
        <v>1350</v>
      </c>
      <c r="J642" s="884">
        <f t="shared" ref="J642:J643" si="487">I642*F642</f>
        <v>337.5</v>
      </c>
      <c r="K642" s="884">
        <f t="shared" ref="K642:K643" si="488">$M$1</f>
        <v>358.32</v>
      </c>
      <c r="L642" s="885">
        <f t="shared" ref="L642:L643" si="489">J642/K642</f>
        <v>0.94189551239115876</v>
      </c>
      <c r="M642" s="915">
        <f>IF(SUM(L642)&gt;0,J642/H642,"")</f>
        <v>0.09</v>
      </c>
    </row>
    <row r="643" spans="2:13" x14ac:dyDescent="0.25">
      <c r="B643" s="887" t="s">
        <v>41</v>
      </c>
      <c r="C643" s="892">
        <f ca="1">IF(E643="","",MAX(INDIRECT(ADDRESS(ROW()-7,COLUMN())):INDIRECT(ADDRESS(ROW()-1,COLUMN())))+1)</f>
        <v>334</v>
      </c>
      <c r="D643" s="888" t="s">
        <v>1752</v>
      </c>
      <c r="E643" s="883" t="s">
        <v>7</v>
      </c>
      <c r="F643" s="884">
        <v>4</v>
      </c>
      <c r="G643" s="884">
        <v>15000</v>
      </c>
      <c r="H643" s="884">
        <f t="shared" si="486"/>
        <v>60000</v>
      </c>
      <c r="I643" s="884">
        <f>ROUND(9%*G643,1)</f>
        <v>1350</v>
      </c>
      <c r="J643" s="884">
        <f t="shared" si="487"/>
        <v>5400</v>
      </c>
      <c r="K643" s="884">
        <f t="shared" si="488"/>
        <v>358.32</v>
      </c>
      <c r="L643" s="885">
        <f t="shared" si="489"/>
        <v>15.07032819825854</v>
      </c>
      <c r="M643" s="915">
        <f>IF(SUM(L643)&gt;0,J643/H643,"")</f>
        <v>0.09</v>
      </c>
    </row>
    <row r="644" spans="2:13" x14ac:dyDescent="0.25">
      <c r="B644" s="887" t="s">
        <v>1746</v>
      </c>
      <c r="C644" s="892" t="str">
        <f ca="1">IF(E644="","",MAX(INDIRECT(ADDRESS(ROW()-7,COLUMN())):INDIRECT(ADDRESS(ROW()-1,COLUMN())))+1)</f>
        <v/>
      </c>
      <c r="D644" s="888" t="s">
        <v>1761</v>
      </c>
      <c r="E644" s="883"/>
      <c r="F644" s="884"/>
      <c r="G644" s="884"/>
      <c r="H644" s="884"/>
      <c r="I644" s="884"/>
      <c r="J644" s="884"/>
      <c r="K644" s="884"/>
      <c r="L644" s="885"/>
      <c r="M644" s="915"/>
    </row>
    <row r="645" spans="2:13" x14ac:dyDescent="0.25">
      <c r="B645" s="887" t="s">
        <v>39</v>
      </c>
      <c r="C645" s="892">
        <f ca="1">IF(E645="","",MAX(INDIRECT(ADDRESS(ROW()-7,COLUMN())):INDIRECT(ADDRESS(ROW()-1,COLUMN())))+1)</f>
        <v>335</v>
      </c>
      <c r="D645" s="888" t="s">
        <v>1751</v>
      </c>
      <c r="E645" s="883" t="s">
        <v>7</v>
      </c>
      <c r="F645" s="884">
        <v>0.5</v>
      </c>
      <c r="G645" s="884">
        <v>15000</v>
      </c>
      <c r="H645" s="884">
        <f t="shared" ref="H645:H647" si="490">F645*G645</f>
        <v>7500</v>
      </c>
      <c r="I645" s="884">
        <f>ROUND(9%*G645,1)</f>
        <v>1350</v>
      </c>
      <c r="J645" s="884">
        <f t="shared" ref="J645:J647" si="491">I645*F645</f>
        <v>675</v>
      </c>
      <c r="K645" s="884">
        <f t="shared" ref="K645:K647" si="492">$M$1</f>
        <v>358.32</v>
      </c>
      <c r="L645" s="885">
        <f t="shared" ref="L645:L647" si="493">J645/K645</f>
        <v>1.8837910247823175</v>
      </c>
      <c r="M645" s="915">
        <f>IF(SUM(L645)&gt;0,J645/H645,"")</f>
        <v>0.09</v>
      </c>
    </row>
    <row r="646" spans="2:13" x14ac:dyDescent="0.25">
      <c r="B646" s="887" t="s">
        <v>41</v>
      </c>
      <c r="C646" s="892">
        <f ca="1">IF(E646="","",MAX(INDIRECT(ADDRESS(ROW()-7,COLUMN())):INDIRECT(ADDRESS(ROW()-1,COLUMN())))+1)</f>
        <v>336</v>
      </c>
      <c r="D646" s="888" t="s">
        <v>1752</v>
      </c>
      <c r="E646" s="883" t="s">
        <v>7</v>
      </c>
      <c r="F646" s="884">
        <v>4</v>
      </c>
      <c r="G646" s="884">
        <v>15000</v>
      </c>
      <c r="H646" s="884">
        <f t="shared" si="490"/>
        <v>60000</v>
      </c>
      <c r="I646" s="884">
        <f>ROUND(9%*G646,1)</f>
        <v>1350</v>
      </c>
      <c r="J646" s="884">
        <f t="shared" si="491"/>
        <v>5400</v>
      </c>
      <c r="K646" s="884">
        <f t="shared" si="492"/>
        <v>358.32</v>
      </c>
      <c r="L646" s="885">
        <f t="shared" si="493"/>
        <v>15.07032819825854</v>
      </c>
      <c r="M646" s="915">
        <f>IF(SUM(L646)&gt;0,J646/H646,"")</f>
        <v>0.09</v>
      </c>
    </row>
    <row r="647" spans="2:13" x14ac:dyDescent="0.25">
      <c r="B647" s="887" t="s">
        <v>52</v>
      </c>
      <c r="C647" s="892">
        <f ca="1">IF(E647="","",MAX(INDIRECT(ADDRESS(ROW()-7,COLUMN())):INDIRECT(ADDRESS(ROW()-1,COLUMN())))+1)</f>
        <v>337</v>
      </c>
      <c r="D647" s="888" t="s">
        <v>1753</v>
      </c>
      <c r="E647" s="883" t="s">
        <v>24</v>
      </c>
      <c r="F647" s="884">
        <v>500</v>
      </c>
      <c r="G647" s="884">
        <v>22.5</v>
      </c>
      <c r="H647" s="884">
        <f t="shared" si="490"/>
        <v>11250</v>
      </c>
      <c r="I647" s="884">
        <f>_Mesh</f>
        <v>4.5</v>
      </c>
      <c r="J647" s="884">
        <f t="shared" si="491"/>
        <v>2250</v>
      </c>
      <c r="K647" s="884">
        <f t="shared" si="492"/>
        <v>358.32</v>
      </c>
      <c r="L647" s="885">
        <f t="shared" si="493"/>
        <v>6.2793034159410581</v>
      </c>
      <c r="M647" s="915">
        <f>IF(SUM(L647)&gt;0,J647/H647,"")</f>
        <v>0.2</v>
      </c>
    </row>
    <row r="648" spans="2:13" ht="25" x14ac:dyDescent="0.25">
      <c r="B648" s="887" t="s">
        <v>1748</v>
      </c>
      <c r="C648" s="892" t="str">
        <f ca="1">IF(E648="","",MAX(INDIRECT(ADDRESS(ROW()-7,COLUMN())):INDIRECT(ADDRESS(ROW()-1,COLUMN())))+1)</f>
        <v/>
      </c>
      <c r="D648" s="888" t="s">
        <v>1769</v>
      </c>
      <c r="E648" s="883"/>
      <c r="F648" s="884"/>
      <c r="G648" s="884"/>
      <c r="H648" s="884"/>
      <c r="I648" s="884"/>
      <c r="J648" s="884"/>
      <c r="K648" s="884"/>
      <c r="L648" s="885"/>
      <c r="M648" s="915"/>
    </row>
    <row r="649" spans="2:13" x14ac:dyDescent="0.25">
      <c r="B649" s="887" t="s">
        <v>41</v>
      </c>
      <c r="C649" s="892">
        <f ca="1">IF(E649="","",MAX(INDIRECT(ADDRESS(ROW()-7,COLUMN())):INDIRECT(ADDRESS(ROW()-1,COLUMN())))+1)</f>
        <v>338</v>
      </c>
      <c r="D649" s="888" t="s">
        <v>1752</v>
      </c>
      <c r="E649" s="883" t="s">
        <v>7</v>
      </c>
      <c r="F649" s="884">
        <v>0.22</v>
      </c>
      <c r="G649" s="884">
        <v>15000</v>
      </c>
      <c r="H649" s="884">
        <f t="shared" ref="H649" si="494">F649*G649</f>
        <v>3300</v>
      </c>
      <c r="I649" s="884">
        <f>ROUND(10%*G649,1)</f>
        <v>1500</v>
      </c>
      <c r="J649" s="884">
        <f t="shared" ref="J649" si="495">I649*F649</f>
        <v>330</v>
      </c>
      <c r="K649" s="884">
        <f>$M$1</f>
        <v>358.32</v>
      </c>
      <c r="L649" s="885">
        <f t="shared" ref="L649" si="496">J649/K649</f>
        <v>0.92096450100468852</v>
      </c>
      <c r="M649" s="915">
        <f>IF(SUM(L649)&gt;0,J649/H649,"")</f>
        <v>0.1</v>
      </c>
    </row>
    <row r="650" spans="2:13" ht="25" x14ac:dyDescent="0.25">
      <c r="B650" s="887" t="s">
        <v>1749</v>
      </c>
      <c r="C650" s="892" t="str">
        <f ca="1">IF(E650="","",MAX(INDIRECT(ADDRESS(ROW()-7,COLUMN())):INDIRECT(ADDRESS(ROW()-1,COLUMN())))+1)</f>
        <v/>
      </c>
      <c r="D650" s="888" t="s">
        <v>1770</v>
      </c>
      <c r="E650" s="883"/>
      <c r="F650" s="884"/>
      <c r="G650" s="884"/>
      <c r="H650" s="884"/>
      <c r="I650" s="884"/>
      <c r="J650" s="884"/>
      <c r="K650" s="884"/>
      <c r="L650" s="885"/>
      <c r="M650" s="915"/>
    </row>
    <row r="651" spans="2:13" x14ac:dyDescent="0.25">
      <c r="B651" s="887" t="s">
        <v>41</v>
      </c>
      <c r="C651" s="892">
        <f ca="1">IF(E651="","",MAX(INDIRECT(ADDRESS(ROW()-7,COLUMN())):INDIRECT(ADDRESS(ROW()-1,COLUMN())))+1)</f>
        <v>339</v>
      </c>
      <c r="D651" s="888" t="s">
        <v>1752</v>
      </c>
      <c r="E651" s="883" t="s">
        <v>7</v>
      </c>
      <c r="F651" s="884">
        <v>0.12</v>
      </c>
      <c r="G651" s="884">
        <v>15000</v>
      </c>
      <c r="H651" s="884">
        <f t="shared" ref="H651" si="497">F651*G651</f>
        <v>1800</v>
      </c>
      <c r="I651" s="884">
        <f>ROUND(10%*G651,1)</f>
        <v>1500</v>
      </c>
      <c r="J651" s="884">
        <f t="shared" ref="J651" si="498">I651*F651</f>
        <v>180</v>
      </c>
      <c r="K651" s="884">
        <f>$M$1</f>
        <v>358.32</v>
      </c>
      <c r="L651" s="885">
        <f t="shared" ref="L651" si="499">J651/K651</f>
        <v>0.50234427327528464</v>
      </c>
      <c r="M651" s="915">
        <f>IF(SUM(L651)&gt;0,J651/H651,"")</f>
        <v>0.1</v>
      </c>
    </row>
    <row r="652" spans="2:13" x14ac:dyDescent="0.25">
      <c r="B652" s="887"/>
      <c r="C652" s="892" t="str">
        <f ca="1">IF(E652="","",MAX(INDIRECT(ADDRESS(ROW()-7,COLUMN())):INDIRECT(ADDRESS(ROW()-1,COLUMN())))+1)</f>
        <v/>
      </c>
      <c r="D652" s="888"/>
      <c r="E652" s="883"/>
      <c r="F652" s="884"/>
      <c r="G652" s="884"/>
      <c r="H652" s="884"/>
      <c r="I652" s="884"/>
      <c r="J652" s="884"/>
      <c r="K652" s="884"/>
      <c r="L652" s="885"/>
      <c r="M652" s="915"/>
    </row>
    <row r="653" spans="2:13" ht="13" x14ac:dyDescent="0.25">
      <c r="B653" s="882" t="s">
        <v>323</v>
      </c>
      <c r="C653" s="911" t="str">
        <f ca="1">IF(E653="","",MAX(INDIRECT(ADDRESS(ROW()-7,COLUMN())):INDIRECT(ADDRESS(ROW()-1,COLUMN())))+1)</f>
        <v/>
      </c>
      <c r="D653" s="881" t="s">
        <v>324</v>
      </c>
      <c r="E653" s="883"/>
      <c r="F653" s="884"/>
      <c r="G653" s="884"/>
      <c r="H653" s="884"/>
      <c r="I653" s="884"/>
      <c r="J653" s="884"/>
      <c r="K653" s="884"/>
      <c r="L653" s="885"/>
      <c r="M653" s="915"/>
    </row>
    <row r="654" spans="2:13" ht="13" x14ac:dyDescent="0.25">
      <c r="B654" s="882" t="s">
        <v>328</v>
      </c>
      <c r="C654" s="911" t="str">
        <f ca="1">IF(E654="","",MAX(INDIRECT(ADDRESS(ROW()-7,COLUMN())):INDIRECT(ADDRESS(ROW()-1,COLUMN())))+1)</f>
        <v/>
      </c>
      <c r="D654" s="881" t="s">
        <v>1848</v>
      </c>
      <c r="E654" s="883"/>
      <c r="F654" s="884"/>
      <c r="G654" s="884"/>
      <c r="H654" s="884"/>
      <c r="I654" s="884"/>
      <c r="J654" s="884"/>
      <c r="K654" s="884"/>
      <c r="L654" s="885"/>
      <c r="M654" s="915"/>
    </row>
    <row r="655" spans="2:13" x14ac:dyDescent="0.25">
      <c r="B655" s="887" t="s">
        <v>329</v>
      </c>
      <c r="C655" s="892" t="str">
        <f ca="1">IF(E655="","",MAX(INDIRECT(ADDRESS(ROW()-7,COLUMN())):INDIRECT(ADDRESS(ROW()-1,COLUMN())))+1)</f>
        <v/>
      </c>
      <c r="D655" s="888" t="s">
        <v>325</v>
      </c>
      <c r="E655" s="883"/>
      <c r="F655" s="884"/>
      <c r="G655" s="884"/>
      <c r="H655" s="884"/>
      <c r="I655" s="884"/>
      <c r="J655" s="884"/>
      <c r="K655" s="884"/>
      <c r="L655" s="885"/>
      <c r="M655" s="915"/>
    </row>
    <row r="656" spans="2:13" x14ac:dyDescent="0.25">
      <c r="B656" s="887" t="s">
        <v>39</v>
      </c>
      <c r="C656" s="892">
        <f ca="1">IF(E656="","",MAX(INDIRECT(ADDRESS(ROW()-7,COLUMN())):INDIRECT(ADDRESS(ROW()-1,COLUMN())))+1)</f>
        <v>340</v>
      </c>
      <c r="D656" s="888" t="s">
        <v>2037</v>
      </c>
      <c r="E656" s="883" t="s">
        <v>799</v>
      </c>
      <c r="F656" s="884">
        <v>500</v>
      </c>
      <c r="G656" s="884">
        <v>2300</v>
      </c>
      <c r="H656" s="884">
        <f t="shared" ref="H656:H659" si="500">F656*G656</f>
        <v>1150000</v>
      </c>
      <c r="I656" s="884">
        <f>ROUND(Labour_perc_roads*G656,1)</f>
        <v>66.7</v>
      </c>
      <c r="J656" s="884">
        <f t="shared" ref="J656:J659" si="501">I656*F656</f>
        <v>33350</v>
      </c>
      <c r="K656" s="884">
        <f t="shared" ref="K656:K659" si="502">$M$1</f>
        <v>358.32</v>
      </c>
      <c r="L656" s="885">
        <f t="shared" ref="L656:L659" si="503">J656/K656</f>
        <v>93.073230631837461</v>
      </c>
      <c r="M656" s="915">
        <f>IF(SUM(L656)&gt;0,J656/H656,"")</f>
        <v>2.9000000000000001E-2</v>
      </c>
    </row>
    <row r="657" spans="2:13" ht="25" x14ac:dyDescent="0.25">
      <c r="B657" s="887" t="s">
        <v>41</v>
      </c>
      <c r="C657" s="892">
        <f ca="1">IF(E657="","",MAX(INDIRECT(ADDRESS(ROW()-7,COLUMN())):INDIRECT(ADDRESS(ROW()-1,COLUMN())))+1)</f>
        <v>341</v>
      </c>
      <c r="D657" s="888" t="s">
        <v>2038</v>
      </c>
      <c r="E657" s="883" t="s">
        <v>799</v>
      </c>
      <c r="F657" s="884">
        <v>15</v>
      </c>
      <c r="G657" s="884">
        <v>2300</v>
      </c>
      <c r="H657" s="884">
        <f t="shared" si="500"/>
        <v>34500</v>
      </c>
      <c r="I657" s="884">
        <f>ROUND(Labour_perc_roads*G657,1)</f>
        <v>66.7</v>
      </c>
      <c r="J657" s="884">
        <f t="shared" si="501"/>
        <v>1000.5</v>
      </c>
      <c r="K657" s="884">
        <f t="shared" si="502"/>
        <v>358.32</v>
      </c>
      <c r="L657" s="885">
        <f t="shared" si="503"/>
        <v>2.7921969189551241</v>
      </c>
      <c r="M657" s="915">
        <f>IF(SUM(L657)&gt;0,J657/H657,"")</f>
        <v>2.9000000000000001E-2</v>
      </c>
    </row>
    <row r="658" spans="2:13" ht="25" x14ac:dyDescent="0.25">
      <c r="B658" s="887" t="s">
        <v>52</v>
      </c>
      <c r="C658" s="892">
        <f ca="1">IF(E658="","",MAX(INDIRECT(ADDRESS(ROW()-7,COLUMN())):INDIRECT(ADDRESS(ROW()-1,COLUMN())))+1)</f>
        <v>342</v>
      </c>
      <c r="D658" s="888" t="s">
        <v>2039</v>
      </c>
      <c r="E658" s="883" t="s">
        <v>799</v>
      </c>
      <c r="F658" s="884">
        <v>35</v>
      </c>
      <c r="G658" s="884">
        <v>2300</v>
      </c>
      <c r="H658" s="884">
        <f t="shared" si="500"/>
        <v>80500</v>
      </c>
      <c r="I658" s="884">
        <f>ROUND(Labour_perc_roads*G658,1)</f>
        <v>66.7</v>
      </c>
      <c r="J658" s="884">
        <f t="shared" si="501"/>
        <v>2334.5</v>
      </c>
      <c r="K658" s="884">
        <f t="shared" si="502"/>
        <v>358.32</v>
      </c>
      <c r="L658" s="885">
        <f t="shared" si="503"/>
        <v>6.5151261442286224</v>
      </c>
      <c r="M658" s="915">
        <f>IF(SUM(L658)&gt;0,J658/H658,"")</f>
        <v>2.9000000000000001E-2</v>
      </c>
    </row>
    <row r="659" spans="2:13" ht="25" x14ac:dyDescent="0.25">
      <c r="B659" s="887" t="s">
        <v>43</v>
      </c>
      <c r="C659" s="892">
        <f ca="1">IF(E659="","",MAX(INDIRECT(ADDRESS(ROW()-7,COLUMN())):INDIRECT(ADDRESS(ROW()-1,COLUMN())))+1)</f>
        <v>343</v>
      </c>
      <c r="D659" s="888" t="s">
        <v>2040</v>
      </c>
      <c r="E659" s="883" t="s">
        <v>799</v>
      </c>
      <c r="F659" s="884">
        <v>15</v>
      </c>
      <c r="G659" s="884">
        <v>2300</v>
      </c>
      <c r="H659" s="884">
        <f t="shared" si="500"/>
        <v>34500</v>
      </c>
      <c r="I659" s="884">
        <f>ROUND(Labour_perc_roads*G659,1)</f>
        <v>66.7</v>
      </c>
      <c r="J659" s="884">
        <f t="shared" si="501"/>
        <v>1000.5</v>
      </c>
      <c r="K659" s="884">
        <f t="shared" si="502"/>
        <v>358.32</v>
      </c>
      <c r="L659" s="885">
        <f t="shared" si="503"/>
        <v>2.7921969189551241</v>
      </c>
      <c r="M659" s="915">
        <f>IF(SUM(L659)&gt;0,J659/H659,"")</f>
        <v>2.9000000000000001E-2</v>
      </c>
    </row>
    <row r="660" spans="2:13" ht="37.5" x14ac:dyDescent="0.25">
      <c r="B660" s="887" t="s">
        <v>332</v>
      </c>
      <c r="C660" s="892" t="str">
        <f ca="1">IF(E660="","",MAX(INDIRECT(ADDRESS(ROW()-7,COLUMN())):INDIRECT(ADDRESS(ROW()-1,COLUMN())))+1)</f>
        <v/>
      </c>
      <c r="D660" s="888" t="s">
        <v>327</v>
      </c>
      <c r="E660" s="883"/>
      <c r="F660" s="884"/>
      <c r="G660" s="884"/>
      <c r="H660" s="884"/>
      <c r="I660" s="884"/>
      <c r="J660" s="884"/>
      <c r="K660" s="884"/>
      <c r="L660" s="885"/>
      <c r="M660" s="915"/>
    </row>
    <row r="661" spans="2:13" x14ac:dyDescent="0.25">
      <c r="B661" s="887" t="s">
        <v>333</v>
      </c>
      <c r="C661" s="892">
        <f ca="1">IF(E661="","",MAX(INDIRECT(ADDRESS(ROW()-7,COLUMN())):INDIRECT(ADDRESS(ROW()-1,COLUMN())))+1)</f>
        <v>344</v>
      </c>
      <c r="D661" s="888" t="s">
        <v>1724</v>
      </c>
      <c r="E661" s="883" t="s">
        <v>799</v>
      </c>
      <c r="F661" s="884">
        <v>480</v>
      </c>
      <c r="G661" s="884">
        <v>500</v>
      </c>
      <c r="H661" s="884">
        <f t="shared" ref="H661" si="504">F661*G661</f>
        <v>240000</v>
      </c>
      <c r="I661" s="884">
        <f>ROUND(Labour_perc_roads*G661,1)</f>
        <v>14.5</v>
      </c>
      <c r="J661" s="884">
        <f t="shared" ref="J661" si="505">I661*F661</f>
        <v>6960</v>
      </c>
      <c r="K661" s="884">
        <f>$M$1</f>
        <v>358.32</v>
      </c>
      <c r="L661" s="885">
        <f t="shared" ref="L661" si="506">J661/K661</f>
        <v>19.42397856664434</v>
      </c>
      <c r="M661" s="915">
        <f>IF(SUM(L661)&gt;0,J661/H661,"")</f>
        <v>2.9000000000000001E-2</v>
      </c>
    </row>
    <row r="662" spans="2:13" ht="25" x14ac:dyDescent="0.25">
      <c r="B662" s="887" t="s">
        <v>2036</v>
      </c>
      <c r="C662" s="892" t="str">
        <f ca="1">IF(E662="","",MAX(INDIRECT(ADDRESS(ROW()-7,COLUMN())):INDIRECT(ADDRESS(ROW()-1,COLUMN())))+1)</f>
        <v/>
      </c>
      <c r="D662" s="888" t="s">
        <v>188</v>
      </c>
      <c r="E662" s="883"/>
      <c r="F662" s="884"/>
      <c r="G662" s="884"/>
      <c r="H662" s="884"/>
      <c r="I662" s="884"/>
      <c r="J662" s="884"/>
      <c r="K662" s="884"/>
      <c r="L662" s="885"/>
      <c r="M662" s="915"/>
    </row>
    <row r="663" spans="2:13" x14ac:dyDescent="0.25">
      <c r="B663" s="887" t="s">
        <v>52</v>
      </c>
      <c r="C663" s="892">
        <f ca="1">IF(E663="","",MAX(INDIRECT(ADDRESS(ROW()-7,COLUMN())):INDIRECT(ADDRESS(ROW()-1,COLUMN())))+1)</f>
        <v>345</v>
      </c>
      <c r="D663" s="888" t="s">
        <v>190</v>
      </c>
      <c r="E663" s="883" t="s">
        <v>2170</v>
      </c>
      <c r="F663" s="884">
        <v>14600</v>
      </c>
      <c r="G663" s="884">
        <v>8</v>
      </c>
      <c r="H663" s="884">
        <f t="shared" ref="H663" si="507">F663*G663</f>
        <v>116800</v>
      </c>
      <c r="I663" s="884">
        <f>ROUND(Labour_perc_roads*G663,1)</f>
        <v>0.2</v>
      </c>
      <c r="J663" s="884">
        <f t="shared" ref="J663" si="508">I663*F663</f>
        <v>2920</v>
      </c>
      <c r="K663" s="884">
        <f>$M$1</f>
        <v>358.32</v>
      </c>
      <c r="L663" s="885">
        <f t="shared" ref="L663" si="509">J663/K663</f>
        <v>8.1491404331323967</v>
      </c>
      <c r="M663" s="915">
        <f>IF(SUM(L663)&gt;0,J663/H663,"")</f>
        <v>2.5000000000000001E-2</v>
      </c>
    </row>
    <row r="664" spans="2:13" x14ac:dyDescent="0.25">
      <c r="B664" s="887"/>
      <c r="C664" s="892" t="str">
        <f ca="1">IF(E664="","",MAX(INDIRECT(ADDRESS(ROW()-7,COLUMN())):INDIRECT(ADDRESS(ROW()-1,COLUMN())))+1)</f>
        <v/>
      </c>
      <c r="D664" s="888"/>
      <c r="E664" s="883"/>
      <c r="F664" s="884"/>
      <c r="G664" s="884"/>
      <c r="H664" s="884"/>
      <c r="I664" s="884"/>
      <c r="J664" s="884"/>
      <c r="K664" s="884"/>
      <c r="L664" s="885"/>
      <c r="M664" s="915"/>
    </row>
    <row r="665" spans="2:13" ht="13" x14ac:dyDescent="0.25">
      <c r="B665" s="882" t="s">
        <v>345</v>
      </c>
      <c r="C665" s="911" t="str">
        <f ca="1">IF(E665="","",MAX(INDIRECT(ADDRESS(ROW()-7,COLUMN())):INDIRECT(ADDRESS(ROW()-1,COLUMN())))+1)</f>
        <v/>
      </c>
      <c r="D665" s="881" t="s">
        <v>344</v>
      </c>
      <c r="E665" s="883"/>
      <c r="F665" s="884"/>
      <c r="G665" s="884"/>
      <c r="H665" s="884"/>
      <c r="I665" s="884"/>
      <c r="J665" s="884"/>
      <c r="K665" s="884"/>
      <c r="L665" s="885"/>
      <c r="M665" s="915"/>
    </row>
    <row r="666" spans="2:13" ht="13" x14ac:dyDescent="0.25">
      <c r="B666" s="882" t="s">
        <v>346</v>
      </c>
      <c r="C666" s="911" t="str">
        <f ca="1">IF(E666="","",MAX(INDIRECT(ADDRESS(ROW()-7,COLUMN())):INDIRECT(ADDRESS(ROW()-1,COLUMN())))+1)</f>
        <v/>
      </c>
      <c r="D666" s="881" t="s">
        <v>347</v>
      </c>
      <c r="E666" s="883"/>
      <c r="F666" s="884"/>
      <c r="G666" s="884"/>
      <c r="H666" s="884"/>
      <c r="I666" s="884"/>
      <c r="J666" s="884"/>
      <c r="K666" s="884"/>
      <c r="L666" s="885"/>
      <c r="M666" s="915"/>
    </row>
    <row r="667" spans="2:13" ht="25" x14ac:dyDescent="0.25">
      <c r="B667" s="887" t="s">
        <v>351</v>
      </c>
      <c r="C667" s="892">
        <f ca="1">IF(E667="","",MAX(INDIRECT(ADDRESS(ROW()-7,COLUMN())):INDIRECT(ADDRESS(ROW()-1,COLUMN())))+1)</f>
        <v>346</v>
      </c>
      <c r="D667" s="888" t="s">
        <v>1762</v>
      </c>
      <c r="E667" s="883" t="s">
        <v>555</v>
      </c>
      <c r="F667" s="884">
        <v>6.3</v>
      </c>
      <c r="G667" s="884">
        <v>500</v>
      </c>
      <c r="H667" s="884">
        <f t="shared" ref="H667:H668" si="510">F667*G667</f>
        <v>3150</v>
      </c>
      <c r="I667" s="884">
        <f>ROUND(6%*G667,1)</f>
        <v>30</v>
      </c>
      <c r="J667" s="884">
        <f t="shared" ref="J667:J668" si="511">I667*F667</f>
        <v>189</v>
      </c>
      <c r="K667" s="884">
        <f t="shared" ref="K667:K668" si="512">$M$1</f>
        <v>358.32</v>
      </c>
      <c r="L667" s="885">
        <f t="shared" ref="L667:L668" si="513">J667/K667</f>
        <v>0.52746148693904893</v>
      </c>
      <c r="M667" s="915">
        <f>IF(SUM(L667)&gt;0,J667/H667,"")</f>
        <v>0.06</v>
      </c>
    </row>
    <row r="668" spans="2:13" ht="25" x14ac:dyDescent="0.25">
      <c r="B668" s="887" t="s">
        <v>1846</v>
      </c>
      <c r="C668" s="892">
        <f ca="1">IF(E668="","",MAX(INDIRECT(ADDRESS(ROW()-7,COLUMN())):INDIRECT(ADDRESS(ROW()-1,COLUMN())))+1)</f>
        <v>347</v>
      </c>
      <c r="D668" s="888" t="s">
        <v>1763</v>
      </c>
      <c r="E668" s="883" t="s">
        <v>6</v>
      </c>
      <c r="F668" s="884">
        <v>4.9000000000000004</v>
      </c>
      <c r="G668" s="884">
        <v>120</v>
      </c>
      <c r="H668" s="884">
        <f t="shared" si="510"/>
        <v>588</v>
      </c>
      <c r="I668" s="884">
        <f>ROUND(6%*G668,1)</f>
        <v>7.2</v>
      </c>
      <c r="J668" s="884">
        <f t="shared" si="511"/>
        <v>35.28</v>
      </c>
      <c r="K668" s="884">
        <f t="shared" si="512"/>
        <v>358.32</v>
      </c>
      <c r="L668" s="885">
        <f t="shared" si="513"/>
        <v>9.8459477561955805E-2</v>
      </c>
      <c r="M668" s="915">
        <f>IF(SUM(L668)&gt;0,J668/H668,"")</f>
        <v>6.0000000000000005E-2</v>
      </c>
    </row>
    <row r="669" spans="2:13" ht="13" x14ac:dyDescent="0.25">
      <c r="B669" s="882" t="s">
        <v>357</v>
      </c>
      <c r="C669" s="911" t="str">
        <f ca="1">IF(E669="","",MAX(INDIRECT(ADDRESS(ROW()-7,COLUMN())):INDIRECT(ADDRESS(ROW()-1,COLUMN())))+1)</f>
        <v/>
      </c>
      <c r="D669" s="881" t="s">
        <v>350</v>
      </c>
      <c r="E669" s="883"/>
      <c r="F669" s="884"/>
      <c r="G669" s="884"/>
      <c r="H669" s="884"/>
      <c r="I669" s="884"/>
      <c r="J669" s="884"/>
      <c r="K669" s="884"/>
      <c r="L669" s="885"/>
      <c r="M669" s="915"/>
    </row>
    <row r="670" spans="2:13" ht="25" x14ac:dyDescent="0.25">
      <c r="B670" s="887" t="s">
        <v>358</v>
      </c>
      <c r="C670" s="892" t="str">
        <f ca="1">IF(E670="","",MAX(INDIRECT(ADDRESS(ROW()-7,COLUMN())):INDIRECT(ADDRESS(ROW()-1,COLUMN())))+1)</f>
        <v/>
      </c>
      <c r="D670" s="888" t="s">
        <v>2150</v>
      </c>
      <c r="E670" s="883"/>
      <c r="F670" s="884"/>
      <c r="G670" s="884"/>
      <c r="H670" s="884"/>
      <c r="I670" s="884"/>
      <c r="J670" s="884"/>
      <c r="K670" s="884"/>
      <c r="L670" s="885"/>
      <c r="M670" s="915"/>
    </row>
    <row r="671" spans="2:13" x14ac:dyDescent="0.25">
      <c r="B671" s="887" t="s">
        <v>39</v>
      </c>
      <c r="C671" s="892">
        <f ca="1">IF(E671="","",MAX(INDIRECT(ADDRESS(ROW()-7,COLUMN())):INDIRECT(ADDRESS(ROW()-1,COLUMN())))+1)</f>
        <v>348</v>
      </c>
      <c r="D671" s="888" t="s">
        <v>1760</v>
      </c>
      <c r="E671" s="883" t="s">
        <v>6</v>
      </c>
      <c r="F671" s="884">
        <v>12</v>
      </c>
      <c r="G671" s="884">
        <v>65</v>
      </c>
      <c r="H671" s="884">
        <f t="shared" ref="H671:H672" si="514">F671*G671</f>
        <v>780</v>
      </c>
      <c r="I671" s="884">
        <f>ROUND(6%*G671,1)</f>
        <v>3.9</v>
      </c>
      <c r="J671" s="884">
        <f t="shared" ref="J671:J672" si="515">I671*F671</f>
        <v>46.8</v>
      </c>
      <c r="K671" s="884">
        <f t="shared" ref="K671:K672" si="516">$M$1</f>
        <v>358.32</v>
      </c>
      <c r="L671" s="885">
        <f t="shared" ref="L671:L672" si="517">J671/K671</f>
        <v>0.13060951105157401</v>
      </c>
      <c r="M671" s="915">
        <f>IF(SUM(L671)&gt;0,J671/H671,"")</f>
        <v>0.06</v>
      </c>
    </row>
    <row r="672" spans="2:13" x14ac:dyDescent="0.25">
      <c r="B672" s="887" t="s">
        <v>41</v>
      </c>
      <c r="C672" s="892">
        <f ca="1">IF(E672="","",MAX(INDIRECT(ADDRESS(ROW()-7,COLUMN())):INDIRECT(ADDRESS(ROW()-1,COLUMN())))+1)</f>
        <v>349</v>
      </c>
      <c r="D672" s="888" t="s">
        <v>1761</v>
      </c>
      <c r="E672" s="883" t="s">
        <v>6</v>
      </c>
      <c r="F672" s="884">
        <v>31</v>
      </c>
      <c r="G672" s="884">
        <v>65</v>
      </c>
      <c r="H672" s="884">
        <f t="shared" si="514"/>
        <v>2015</v>
      </c>
      <c r="I672" s="884">
        <f>ROUND(6%*G672,1)</f>
        <v>3.9</v>
      </c>
      <c r="J672" s="884">
        <f t="shared" si="515"/>
        <v>120.89999999999999</v>
      </c>
      <c r="K672" s="884">
        <f t="shared" si="516"/>
        <v>358.32</v>
      </c>
      <c r="L672" s="885">
        <f t="shared" si="517"/>
        <v>0.33740790354989952</v>
      </c>
      <c r="M672" s="915">
        <f>IF(SUM(L672)&gt;0,J672/H672,"")</f>
        <v>0.06</v>
      </c>
    </row>
    <row r="673" spans="2:13" ht="39" x14ac:dyDescent="0.25">
      <c r="B673" s="882" t="s">
        <v>1900</v>
      </c>
      <c r="C673" s="911" t="str">
        <f ca="1">IF(E673="","",MAX(INDIRECT(ADDRESS(ROW()-7,COLUMN())):INDIRECT(ADDRESS(ROW()-1,COLUMN())))+1)</f>
        <v/>
      </c>
      <c r="D673" s="881" t="s">
        <v>1768</v>
      </c>
      <c r="E673" s="883"/>
      <c r="F673" s="884"/>
      <c r="G673" s="884"/>
      <c r="H673" s="884"/>
      <c r="I673" s="884">
        <f t="shared" ref="I673" si="518">IF(B673="","",ROUND(Labour_perc_structures*F673,1))</f>
        <v>0</v>
      </c>
      <c r="J673" s="884"/>
      <c r="K673" s="884"/>
      <c r="L673" s="885"/>
      <c r="M673" s="915"/>
    </row>
    <row r="674" spans="2:13" x14ac:dyDescent="0.25">
      <c r="B674" s="887" t="s">
        <v>39</v>
      </c>
      <c r="C674" s="892">
        <f ca="1">IF(E674="","",MAX(INDIRECT(ADDRESS(ROW()-7,COLUMN())):INDIRECT(ADDRESS(ROW()-1,COLUMN())))+1)</f>
        <v>350</v>
      </c>
      <c r="D674" s="888" t="s">
        <v>1771</v>
      </c>
      <c r="E674" s="883" t="s">
        <v>6</v>
      </c>
      <c r="F674" s="884">
        <v>8</v>
      </c>
      <c r="G674" s="884">
        <v>400</v>
      </c>
      <c r="H674" s="884">
        <f t="shared" ref="H674" si="519">F674*G674</f>
        <v>3200</v>
      </c>
      <c r="I674" s="884">
        <f>ROUND(6%*G674,1)</f>
        <v>24</v>
      </c>
      <c r="J674" s="884">
        <f t="shared" ref="J674" si="520">I674*F674</f>
        <v>192</v>
      </c>
      <c r="K674" s="884">
        <f>$M$1</f>
        <v>358.32</v>
      </c>
      <c r="L674" s="885">
        <f t="shared" ref="L674" si="521">J674/K674</f>
        <v>0.53583389149363703</v>
      </c>
      <c r="M674" s="915">
        <f>IF(SUM(L674)&gt;0,J674/H674,"")</f>
        <v>0.06</v>
      </c>
    </row>
    <row r="675" spans="2:13" x14ac:dyDescent="0.25">
      <c r="B675" s="887"/>
      <c r="C675" s="892" t="str">
        <f ca="1">IF(E675="","",MAX(INDIRECT(ADDRESS(ROW()-7,COLUMN())):INDIRECT(ADDRESS(ROW()-1,COLUMN())))+1)</f>
        <v/>
      </c>
      <c r="D675" s="888"/>
      <c r="E675" s="883"/>
      <c r="F675" s="884"/>
      <c r="G675" s="884"/>
      <c r="H675" s="884"/>
      <c r="I675" s="884"/>
      <c r="J675" s="884"/>
      <c r="K675" s="884"/>
      <c r="L675" s="885"/>
      <c r="M675" s="915"/>
    </row>
    <row r="676" spans="2:13" ht="13" x14ac:dyDescent="0.25">
      <c r="B676" s="882" t="s">
        <v>359</v>
      </c>
      <c r="C676" s="892" t="str">
        <f ca="1">IF(E676="","",MAX(INDIRECT(ADDRESS(ROW()-7,COLUMN())):INDIRECT(ADDRESS(ROW()-1,COLUMN())))+1)</f>
        <v/>
      </c>
      <c r="D676" s="881" t="s">
        <v>360</v>
      </c>
      <c r="E676" s="883"/>
      <c r="F676" s="884"/>
      <c r="G676" s="884"/>
      <c r="H676" s="884"/>
      <c r="I676" s="884"/>
      <c r="J676" s="884"/>
      <c r="K676" s="884"/>
      <c r="L676" s="885"/>
      <c r="M676" s="915"/>
    </row>
    <row r="677" spans="2:13" ht="13" x14ac:dyDescent="0.25">
      <c r="B677" s="882" t="s">
        <v>1890</v>
      </c>
      <c r="C677" s="892" t="str">
        <f ca="1">IF(E677="","",MAX(INDIRECT(ADDRESS(ROW()-7,COLUMN())):INDIRECT(ADDRESS(ROW()-1,COLUMN())))+1)</f>
        <v/>
      </c>
      <c r="D677" s="881" t="s">
        <v>364</v>
      </c>
      <c r="E677" s="883"/>
      <c r="F677" s="884"/>
      <c r="G677" s="884"/>
      <c r="H677" s="884"/>
      <c r="I677" s="884"/>
      <c r="J677" s="884"/>
      <c r="K677" s="884"/>
      <c r="L677" s="885"/>
      <c r="M677" s="915"/>
    </row>
    <row r="678" spans="2:13" x14ac:dyDescent="0.25">
      <c r="B678" s="887" t="s">
        <v>370</v>
      </c>
      <c r="C678" s="892">
        <f ca="1">IF(E678="","",MAX(INDIRECT(ADDRESS(ROW()-7,COLUMN())):INDIRECT(ADDRESS(ROW()-1,COLUMN())))+1)</f>
        <v>351</v>
      </c>
      <c r="D678" s="888" t="s">
        <v>1957</v>
      </c>
      <c r="E678" s="883" t="s">
        <v>34</v>
      </c>
      <c r="F678" s="884">
        <v>1</v>
      </c>
      <c r="G678" s="884">
        <v>6000</v>
      </c>
      <c r="H678" s="884">
        <f t="shared" ref="H678" si="522">F678*G678</f>
        <v>6000</v>
      </c>
      <c r="I678" s="884">
        <f>ROUND(12%*G678,1)</f>
        <v>720</v>
      </c>
      <c r="J678" s="884">
        <f t="shared" ref="J678" si="523">I678*F678</f>
        <v>720</v>
      </c>
      <c r="K678" s="884">
        <f>$M$1</f>
        <v>358.32</v>
      </c>
      <c r="L678" s="885">
        <f t="shared" ref="L678" si="524">J678/K678</f>
        <v>2.0093770931011385</v>
      </c>
      <c r="M678" s="915">
        <f>IF(SUM(L678)&gt;0,J678/H678,"")</f>
        <v>0.12</v>
      </c>
    </row>
    <row r="679" spans="2:13" ht="13" x14ac:dyDescent="0.25">
      <c r="B679" s="882" t="s">
        <v>371</v>
      </c>
      <c r="C679" s="892" t="str">
        <f ca="1">IF(E679="","",MAX(INDIRECT(ADDRESS(ROW()-7,COLUMN())):INDIRECT(ADDRESS(ROW()-1,COLUMN())))+1)</f>
        <v/>
      </c>
      <c r="D679" s="881" t="s">
        <v>365</v>
      </c>
      <c r="E679" s="883"/>
      <c r="F679" s="884"/>
      <c r="G679" s="884"/>
      <c r="H679" s="884"/>
      <c r="I679" s="884"/>
      <c r="J679" s="884"/>
      <c r="K679" s="884"/>
      <c r="L679" s="885"/>
      <c r="M679" s="915"/>
    </row>
    <row r="680" spans="2:13" x14ac:dyDescent="0.25">
      <c r="B680" s="887" t="s">
        <v>373</v>
      </c>
      <c r="C680" s="892" t="str">
        <f ca="1">IF(E680="","",MAX(INDIRECT(ADDRESS(ROW()-7,COLUMN())):INDIRECT(ADDRESS(ROW()-1,COLUMN())))+1)</f>
        <v/>
      </c>
      <c r="D680" s="888" t="s">
        <v>367</v>
      </c>
      <c r="E680" s="883"/>
      <c r="F680" s="884"/>
      <c r="G680" s="884"/>
      <c r="H680" s="884"/>
      <c r="I680" s="884"/>
      <c r="J680" s="884"/>
      <c r="K680" s="884"/>
      <c r="L680" s="885"/>
      <c r="M680" s="915"/>
    </row>
    <row r="681" spans="2:13" x14ac:dyDescent="0.25">
      <c r="B681" s="887" t="s">
        <v>39</v>
      </c>
      <c r="C681" s="892">
        <f ca="1">IF(E681="","",MAX(INDIRECT(ADDRESS(ROW()-7,COLUMN())):INDIRECT(ADDRESS(ROW()-1,COLUMN())))+1)</f>
        <v>352</v>
      </c>
      <c r="D681" s="888" t="s">
        <v>1727</v>
      </c>
      <c r="E681" s="883" t="s">
        <v>6</v>
      </c>
      <c r="F681" s="884">
        <v>92</v>
      </c>
      <c r="G681" s="884">
        <v>75</v>
      </c>
      <c r="H681" s="884">
        <f t="shared" ref="H681" si="525">F681*G681</f>
        <v>6900</v>
      </c>
      <c r="I681" s="884">
        <f>ROUND(12%*G681,1)</f>
        <v>9</v>
      </c>
      <c r="J681" s="884">
        <f t="shared" ref="J681" si="526">I681*F681</f>
        <v>828</v>
      </c>
      <c r="K681" s="884">
        <f>$M$1</f>
        <v>358.32</v>
      </c>
      <c r="L681" s="885">
        <f t="shared" ref="L681" si="527">J681/K681</f>
        <v>2.3107836570663096</v>
      </c>
      <c r="M681" s="915">
        <f>IF(SUM(L681)&gt;0,J681/H681,"")</f>
        <v>0.12</v>
      </c>
    </row>
    <row r="682" spans="2:13" ht="13" x14ac:dyDescent="0.25">
      <c r="B682" s="882" t="s">
        <v>1897</v>
      </c>
      <c r="C682" s="892" t="str">
        <f ca="1">IF(E682="","",MAX(INDIRECT(ADDRESS(ROW()-7,COLUMN())):INDIRECT(ADDRESS(ROW()-1,COLUMN())))+1)</f>
        <v/>
      </c>
      <c r="D682" s="881" t="s">
        <v>1728</v>
      </c>
      <c r="E682" s="883"/>
      <c r="F682" s="884"/>
      <c r="G682" s="884"/>
      <c r="H682" s="884"/>
      <c r="I682" s="884"/>
      <c r="J682" s="884"/>
      <c r="K682" s="884"/>
      <c r="L682" s="885"/>
      <c r="M682" s="915"/>
    </row>
    <row r="683" spans="2:13" ht="25" x14ac:dyDescent="0.25">
      <c r="B683" s="887" t="s">
        <v>39</v>
      </c>
      <c r="C683" s="892">
        <f ca="1">IF(E683="","",MAX(INDIRECT(ADDRESS(ROW()-7,COLUMN())):INDIRECT(ADDRESS(ROW()-1,COLUMN())))+1)</f>
        <v>353</v>
      </c>
      <c r="D683" s="888" t="s">
        <v>1764</v>
      </c>
      <c r="E683" s="883" t="s">
        <v>555</v>
      </c>
      <c r="F683" s="884">
        <v>250</v>
      </c>
      <c r="G683" s="884">
        <v>20</v>
      </c>
      <c r="H683" s="884">
        <f t="shared" ref="H683:H685" si="528">F683*G683</f>
        <v>5000</v>
      </c>
      <c r="I683" s="884">
        <f>ROUND(12%*G683,1)</f>
        <v>2.4</v>
      </c>
      <c r="J683" s="884">
        <f t="shared" ref="J683:J685" si="529">I683*F683</f>
        <v>600</v>
      </c>
      <c r="K683" s="884">
        <f t="shared" ref="K683:K685" si="530">$M$1</f>
        <v>358.32</v>
      </c>
      <c r="L683" s="885">
        <f t="shared" ref="L683:L685" si="531">J683/K683</f>
        <v>1.6744809109176155</v>
      </c>
      <c r="M683" s="915">
        <f>IF(SUM(L683)&gt;0,J683/H683,"")</f>
        <v>0.12</v>
      </c>
    </row>
    <row r="684" spans="2:13" ht="25" x14ac:dyDescent="0.25">
      <c r="B684" s="887" t="s">
        <v>41</v>
      </c>
      <c r="C684" s="892">
        <f ca="1">IF(E684="","",MAX(INDIRECT(ADDRESS(ROW()-7,COLUMN())):INDIRECT(ADDRESS(ROW()-1,COLUMN())))+1)</f>
        <v>354</v>
      </c>
      <c r="D684" s="888" t="s">
        <v>1765</v>
      </c>
      <c r="E684" s="883" t="s">
        <v>555</v>
      </c>
      <c r="F684" s="884">
        <v>6</v>
      </c>
      <c r="G684" s="884">
        <v>30</v>
      </c>
      <c r="H684" s="884">
        <f t="shared" si="528"/>
        <v>180</v>
      </c>
      <c r="I684" s="884">
        <f>ROUND(12%*G684,1)</f>
        <v>3.6</v>
      </c>
      <c r="J684" s="884">
        <f t="shared" si="529"/>
        <v>21.6</v>
      </c>
      <c r="K684" s="884">
        <f t="shared" si="530"/>
        <v>358.32</v>
      </c>
      <c r="L684" s="885">
        <f t="shared" si="531"/>
        <v>6.0281312793034163E-2</v>
      </c>
      <c r="M684" s="915">
        <f>IF(SUM(L684)&gt;0,J684/H684,"")</f>
        <v>0.12000000000000001</v>
      </c>
    </row>
    <row r="685" spans="2:13" x14ac:dyDescent="0.25">
      <c r="B685" s="887" t="s">
        <v>52</v>
      </c>
      <c r="C685" s="892">
        <f ca="1">IF(E685="","",MAX(INDIRECT(ADDRESS(ROW()-7,COLUMN())):INDIRECT(ADDRESS(ROW()-1,COLUMN())))+1)</f>
        <v>355</v>
      </c>
      <c r="D685" s="888" t="s">
        <v>1766</v>
      </c>
      <c r="E685" s="883" t="s">
        <v>555</v>
      </c>
      <c r="F685" s="884">
        <v>140</v>
      </c>
      <c r="G685" s="884">
        <v>20</v>
      </c>
      <c r="H685" s="884">
        <f t="shared" si="528"/>
        <v>2800</v>
      </c>
      <c r="I685" s="884">
        <f>ROUND(12%*G685,1)</f>
        <v>2.4</v>
      </c>
      <c r="J685" s="884">
        <f t="shared" si="529"/>
        <v>336</v>
      </c>
      <c r="K685" s="884">
        <f t="shared" si="530"/>
        <v>358.32</v>
      </c>
      <c r="L685" s="885">
        <f t="shared" si="531"/>
        <v>0.93770931011386471</v>
      </c>
      <c r="M685" s="915">
        <f>IF(SUM(L685)&gt;0,J685/H685,"")</f>
        <v>0.12</v>
      </c>
    </row>
    <row r="686" spans="2:13" ht="13" x14ac:dyDescent="0.25">
      <c r="B686" s="882" t="s">
        <v>374</v>
      </c>
      <c r="C686" s="892" t="str">
        <f ca="1">IF(E686="","",MAX(INDIRECT(ADDRESS(ROW()-7,COLUMN())):INDIRECT(ADDRESS(ROW()-1,COLUMN())))+1)</f>
        <v/>
      </c>
      <c r="D686" s="881" t="s">
        <v>1847</v>
      </c>
      <c r="E686" s="883"/>
      <c r="F686" s="884"/>
      <c r="G686" s="884"/>
      <c r="H686" s="884"/>
      <c r="I686" s="884"/>
      <c r="J686" s="884"/>
      <c r="K686" s="884"/>
      <c r="L686" s="885"/>
      <c r="M686" s="915"/>
    </row>
    <row r="687" spans="2:13" ht="37.5" x14ac:dyDescent="0.25">
      <c r="B687" s="887" t="s">
        <v>39</v>
      </c>
      <c r="C687" s="892">
        <f ca="1">IF(E687="","",MAX(INDIRECT(ADDRESS(ROW()-7,COLUMN())):INDIRECT(ADDRESS(ROW()-1,COLUMN())))+1)</f>
        <v>356</v>
      </c>
      <c r="D687" s="888" t="s">
        <v>1730</v>
      </c>
      <c r="E687" s="883" t="s">
        <v>6</v>
      </c>
      <c r="F687" s="884">
        <v>161</v>
      </c>
      <c r="G687" s="884">
        <v>62</v>
      </c>
      <c r="H687" s="884">
        <f t="shared" ref="H687" si="532">F687*G687</f>
        <v>9982</v>
      </c>
      <c r="I687" s="884">
        <f>ROUND(12%*G687,1)</f>
        <v>7.4</v>
      </c>
      <c r="J687" s="884">
        <f t="shared" ref="J687" si="533">I687*F687</f>
        <v>1191.4000000000001</v>
      </c>
      <c r="K687" s="884">
        <f>$M$1</f>
        <v>358.32</v>
      </c>
      <c r="L687" s="885">
        <f t="shared" ref="L687" si="534">J687/K687</f>
        <v>3.3249609287787454</v>
      </c>
      <c r="M687" s="915">
        <f>IF(SUM(L687)&gt;0,J687/H687,"")</f>
        <v>0.11935483870967743</v>
      </c>
    </row>
    <row r="688" spans="2:13" ht="13" x14ac:dyDescent="0.25">
      <c r="B688" s="882" t="s">
        <v>1898</v>
      </c>
      <c r="C688" s="892" t="str">
        <f ca="1">IF(E688="","",MAX(INDIRECT(ADDRESS(ROW()-7,COLUMN())):INDIRECT(ADDRESS(ROW()-1,COLUMN())))+1)</f>
        <v/>
      </c>
      <c r="D688" s="881" t="s">
        <v>368</v>
      </c>
      <c r="E688" s="883"/>
      <c r="F688" s="884"/>
      <c r="G688" s="884"/>
      <c r="H688" s="884"/>
      <c r="I688" s="884"/>
      <c r="J688" s="884"/>
      <c r="K688" s="884"/>
      <c r="L688" s="885"/>
      <c r="M688" s="915"/>
    </row>
    <row r="689" spans="2:13" ht="62.5" x14ac:dyDescent="0.25">
      <c r="B689" s="887" t="s">
        <v>375</v>
      </c>
      <c r="C689" s="892">
        <f ca="1">IF(E689="","",MAX(INDIRECT(ADDRESS(ROW()-7,COLUMN())):INDIRECT(ADDRESS(ROW()-1,COLUMN())))+1)</f>
        <v>357</v>
      </c>
      <c r="D689" s="888" t="s">
        <v>1732</v>
      </c>
      <c r="E689" s="883" t="s">
        <v>6</v>
      </c>
      <c r="F689" s="884">
        <v>54</v>
      </c>
      <c r="G689" s="884">
        <v>150</v>
      </c>
      <c r="H689" s="884">
        <f t="shared" ref="H689" si="535">F689*G689</f>
        <v>8100</v>
      </c>
      <c r="I689" s="884">
        <f>ROUND(12%*G689,1)</f>
        <v>18</v>
      </c>
      <c r="J689" s="884">
        <f t="shared" ref="J689" si="536">I689*F689</f>
        <v>972</v>
      </c>
      <c r="K689" s="884">
        <f>$M$1</f>
        <v>358.32</v>
      </c>
      <c r="L689" s="885">
        <f t="shared" ref="L689" si="537">J689/K689</f>
        <v>2.7126590756865374</v>
      </c>
      <c r="M689" s="915">
        <f>IF(SUM(L689)&gt;0,J689/H689,"")</f>
        <v>0.12</v>
      </c>
    </row>
    <row r="690" spans="2:13" x14ac:dyDescent="0.25">
      <c r="B690" s="887"/>
      <c r="C690" s="892" t="str">
        <f ca="1">IF(E690="","",MAX(INDIRECT(ADDRESS(ROW()-7,COLUMN())):INDIRECT(ADDRESS(ROW()-1,COLUMN())))+1)</f>
        <v/>
      </c>
      <c r="D690" s="888"/>
      <c r="E690" s="883"/>
      <c r="F690" s="884"/>
      <c r="G690" s="884"/>
      <c r="H690" s="884"/>
      <c r="I690" s="884"/>
      <c r="J690" s="884"/>
      <c r="K690" s="884"/>
      <c r="L690" s="885"/>
      <c r="M690" s="915"/>
    </row>
    <row r="691" spans="2:13" ht="13" x14ac:dyDescent="0.25">
      <c r="B691" s="891" t="s">
        <v>2171</v>
      </c>
      <c r="C691" s="919" t="str">
        <f ca="1">IF(E691="","",MAX(INDIRECT(ADDRESS(ROW()-7,COLUMN())):INDIRECT(ADDRESS(ROW()-1,COLUMN())))+1)</f>
        <v/>
      </c>
      <c r="D691" s="924"/>
      <c r="E691" s="920"/>
      <c r="F691" s="921"/>
      <c r="G691" s="921"/>
      <c r="H691" s="921"/>
      <c r="I691" s="921"/>
      <c r="J691" s="921"/>
      <c r="K691" s="921"/>
      <c r="L691" s="922"/>
      <c r="M691" s="923"/>
    </row>
    <row r="692" spans="2:13" ht="13" x14ac:dyDescent="0.25">
      <c r="B692" s="882" t="s">
        <v>14</v>
      </c>
      <c r="C692" s="911" t="str">
        <f ca="1">IF(E692="","",MAX(INDIRECT(ADDRESS(ROW()-7,COLUMN())):INDIRECT(ADDRESS(ROW()-1,COLUMN())))+1)</f>
        <v/>
      </c>
      <c r="D692" s="881" t="s">
        <v>13</v>
      </c>
      <c r="E692" s="883"/>
      <c r="F692" s="884"/>
      <c r="G692" s="884"/>
      <c r="H692" s="884"/>
      <c r="I692" s="884"/>
      <c r="J692" s="884"/>
      <c r="K692" s="884"/>
      <c r="L692" s="885"/>
      <c r="M692" s="915"/>
    </row>
    <row r="693" spans="2:13" ht="13" x14ac:dyDescent="0.25">
      <c r="B693" s="882" t="s">
        <v>35</v>
      </c>
      <c r="C693" s="911" t="str">
        <f ca="1">IF(E693="","",MAX(INDIRECT(ADDRESS(ROW()-7,COLUMN())):INDIRECT(ADDRESS(ROW()-1,COLUMN())))+1)</f>
        <v/>
      </c>
      <c r="D693" s="881" t="s">
        <v>36</v>
      </c>
      <c r="E693" s="883"/>
      <c r="F693" s="884"/>
      <c r="G693" s="884"/>
      <c r="H693" s="884"/>
      <c r="I693" s="884"/>
      <c r="J693" s="884"/>
      <c r="K693" s="884"/>
      <c r="L693" s="885"/>
      <c r="M693" s="915"/>
    </row>
    <row r="694" spans="2:13" x14ac:dyDescent="0.25">
      <c r="B694" s="887" t="s">
        <v>37</v>
      </c>
      <c r="C694" s="892" t="str">
        <f ca="1">IF(E694="","",MAX(INDIRECT(ADDRESS(ROW()-7,COLUMN())):INDIRECT(ADDRESS(ROW()-1,COLUMN())))+1)</f>
        <v/>
      </c>
      <c r="D694" s="888" t="s">
        <v>38</v>
      </c>
      <c r="E694" s="883"/>
      <c r="F694" s="884"/>
      <c r="G694" s="884"/>
      <c r="H694" s="884"/>
      <c r="I694" s="884"/>
      <c r="J694" s="884"/>
      <c r="K694" s="884"/>
      <c r="L694" s="885"/>
      <c r="M694" s="915"/>
    </row>
    <row r="695" spans="2:13" x14ac:dyDescent="0.25">
      <c r="B695" s="887" t="s">
        <v>39</v>
      </c>
      <c r="C695" s="892">
        <f ca="1">IF(E695="","",MAX(INDIRECT(ADDRESS(ROW()-7,COLUMN())):INDIRECT(ADDRESS(ROW()-1,COLUMN())))+1)</f>
        <v>358</v>
      </c>
      <c r="D695" s="888" t="s">
        <v>40</v>
      </c>
      <c r="E695" s="883" t="s">
        <v>191</v>
      </c>
      <c r="F695" s="884">
        <v>180</v>
      </c>
      <c r="G695" s="884">
        <v>40</v>
      </c>
      <c r="H695" s="884">
        <f t="shared" ref="H695" si="538">F695*G695</f>
        <v>7200</v>
      </c>
      <c r="I695" s="884">
        <f>G695*97/100</f>
        <v>38.799999999999997</v>
      </c>
      <c r="J695" s="884">
        <f t="shared" ref="J695" si="539">I695*F695</f>
        <v>6983.9999999999991</v>
      </c>
      <c r="K695" s="884">
        <f>$M$1</f>
        <v>358.32</v>
      </c>
      <c r="L695" s="885">
        <f t="shared" ref="L695" si="540">J695/K695</f>
        <v>19.490957803081042</v>
      </c>
      <c r="M695" s="915">
        <f>IF(SUM(L695)&gt;0,J695/H695,"")</f>
        <v>0.96999999999999986</v>
      </c>
    </row>
    <row r="696" spans="2:13" x14ac:dyDescent="0.25">
      <c r="B696" s="887"/>
      <c r="C696" s="892" t="str">
        <f ca="1">IF(E696="","",MAX(INDIRECT(ADDRESS(ROW()-7,COLUMN())):INDIRECT(ADDRESS(ROW()-1,COLUMN())))+1)</f>
        <v/>
      </c>
      <c r="D696" s="888"/>
      <c r="E696" s="883"/>
      <c r="F696" s="884"/>
      <c r="G696" s="884"/>
      <c r="H696" s="884"/>
      <c r="I696" s="884"/>
      <c r="J696" s="884"/>
      <c r="K696" s="884"/>
      <c r="L696" s="885"/>
      <c r="M696" s="915"/>
    </row>
    <row r="697" spans="2:13" ht="13" x14ac:dyDescent="0.25">
      <c r="B697" s="882" t="s">
        <v>277</v>
      </c>
      <c r="C697" s="892" t="str">
        <f ca="1">IF(E697="","",MAX(INDIRECT(ADDRESS(ROW()-7,COLUMN())):INDIRECT(ADDRESS(ROW()-1,COLUMN())))+1)</f>
        <v/>
      </c>
      <c r="D697" s="881" t="s">
        <v>278</v>
      </c>
      <c r="E697" s="883"/>
      <c r="F697" s="884"/>
      <c r="G697" s="884"/>
      <c r="H697" s="884"/>
      <c r="I697" s="884"/>
      <c r="J697" s="884"/>
      <c r="K697" s="884"/>
      <c r="L697" s="885"/>
      <c r="M697" s="915"/>
    </row>
    <row r="698" spans="2:13" ht="13" x14ac:dyDescent="0.25">
      <c r="B698" s="882" t="s">
        <v>286</v>
      </c>
      <c r="C698" s="892" t="str">
        <f ca="1">IF(E698="","",MAX(INDIRECT(ADDRESS(ROW()-7,COLUMN())):INDIRECT(ADDRESS(ROW()-1,COLUMN())))+1)</f>
        <v/>
      </c>
      <c r="D698" s="881" t="s">
        <v>279</v>
      </c>
      <c r="E698" s="883"/>
      <c r="F698" s="884"/>
      <c r="G698" s="884"/>
      <c r="H698" s="884"/>
      <c r="I698" s="884"/>
      <c r="J698" s="884"/>
      <c r="K698" s="884"/>
      <c r="L698" s="885"/>
      <c r="M698" s="915"/>
    </row>
    <row r="699" spans="2:13" ht="25" x14ac:dyDescent="0.25">
      <c r="B699" s="887" t="s">
        <v>287</v>
      </c>
      <c r="C699" s="892" t="str">
        <f ca="1">IF(E699="","",MAX(INDIRECT(ADDRESS(ROW()-7,COLUMN())):INDIRECT(ADDRESS(ROW()-1,COLUMN())))+1)</f>
        <v/>
      </c>
      <c r="D699" s="888" t="s">
        <v>280</v>
      </c>
      <c r="E699" s="883"/>
      <c r="F699" s="884"/>
      <c r="G699" s="884"/>
      <c r="H699" s="884"/>
      <c r="I699" s="884"/>
      <c r="J699" s="884"/>
      <c r="K699" s="884"/>
      <c r="L699" s="885"/>
      <c r="M699" s="915"/>
    </row>
    <row r="700" spans="2:13" x14ac:dyDescent="0.25">
      <c r="B700" s="887" t="s">
        <v>39</v>
      </c>
      <c r="C700" s="892">
        <f ca="1">IF(E700="","",MAX(INDIRECT(ADDRESS(ROW()-7,COLUMN())):INDIRECT(ADDRESS(ROW()-1,COLUMN())))+1)</f>
        <v>359</v>
      </c>
      <c r="D700" s="888" t="s">
        <v>281</v>
      </c>
      <c r="E700" s="883" t="s">
        <v>799</v>
      </c>
      <c r="F700" s="884">
        <v>100</v>
      </c>
      <c r="G700" s="884">
        <v>70</v>
      </c>
      <c r="H700" s="884">
        <f t="shared" ref="H700:H705" si="541">F700*G700</f>
        <v>7000</v>
      </c>
      <c r="I700" s="884">
        <f>ROUND(Labour_perc_roads*G700,1)</f>
        <v>2</v>
      </c>
      <c r="J700" s="884">
        <f t="shared" ref="J700:J705" si="542">I700*F700</f>
        <v>200</v>
      </c>
      <c r="K700" s="884">
        <f t="shared" ref="K700:K705" si="543">$M$1</f>
        <v>358.32</v>
      </c>
      <c r="L700" s="885">
        <f t="shared" ref="L700:L705" si="544">J700/K700</f>
        <v>0.55816030363920521</v>
      </c>
      <c r="M700" s="915">
        <f t="shared" ref="M700:M705" si="545">IF(SUM(L700)&gt;0,J700/H700,"")</f>
        <v>2.8571428571428571E-2</v>
      </c>
    </row>
    <row r="701" spans="2:13" x14ac:dyDescent="0.25">
      <c r="B701" s="887" t="s">
        <v>41</v>
      </c>
      <c r="C701" s="892">
        <f ca="1">IF(E701="","",MAX(INDIRECT(ADDRESS(ROW()-7,COLUMN())):INDIRECT(ADDRESS(ROW()-1,COLUMN())))+1)</f>
        <v>360</v>
      </c>
      <c r="D701" s="888" t="s">
        <v>282</v>
      </c>
      <c r="E701" s="883" t="s">
        <v>799</v>
      </c>
      <c r="F701" s="884">
        <v>75</v>
      </c>
      <c r="G701" s="884">
        <v>160</v>
      </c>
      <c r="H701" s="884">
        <f t="shared" si="541"/>
        <v>12000</v>
      </c>
      <c r="I701" s="884">
        <f>ROUND(Labour_perc_roads*G701,1)</f>
        <v>4.5999999999999996</v>
      </c>
      <c r="J701" s="884">
        <f t="shared" si="542"/>
        <v>345</v>
      </c>
      <c r="K701" s="884">
        <f t="shared" si="543"/>
        <v>358.32</v>
      </c>
      <c r="L701" s="885">
        <f t="shared" si="544"/>
        <v>0.96282652377762901</v>
      </c>
      <c r="M701" s="915">
        <f t="shared" si="545"/>
        <v>2.8750000000000001E-2</v>
      </c>
    </row>
    <row r="702" spans="2:13" x14ac:dyDescent="0.25">
      <c r="B702" s="887" t="s">
        <v>52</v>
      </c>
      <c r="C702" s="892">
        <f ca="1">IF(E702="","",MAX(INDIRECT(ADDRESS(ROW()-7,COLUMN())):INDIRECT(ADDRESS(ROW()-1,COLUMN())))+1)</f>
        <v>361</v>
      </c>
      <c r="D702" s="888" t="s">
        <v>1961</v>
      </c>
      <c r="E702" s="883" t="s">
        <v>799</v>
      </c>
      <c r="F702" s="884">
        <v>50</v>
      </c>
      <c r="G702" s="884">
        <v>320</v>
      </c>
      <c r="H702" s="884">
        <f t="shared" si="541"/>
        <v>16000</v>
      </c>
      <c r="I702" s="884">
        <f>ROUND(Labour_perc_roads*G702,1)</f>
        <v>9.3000000000000007</v>
      </c>
      <c r="J702" s="884">
        <f t="shared" si="542"/>
        <v>465.00000000000006</v>
      </c>
      <c r="K702" s="884">
        <f t="shared" si="543"/>
        <v>358.32</v>
      </c>
      <c r="L702" s="885">
        <f t="shared" si="544"/>
        <v>1.2977227059611522</v>
      </c>
      <c r="M702" s="915">
        <f t="shared" si="545"/>
        <v>2.9062500000000005E-2</v>
      </c>
    </row>
    <row r="703" spans="2:13" ht="25" x14ac:dyDescent="0.25">
      <c r="B703" s="887" t="s">
        <v>288</v>
      </c>
      <c r="C703" s="892">
        <f ca="1">IF(E703="","",MAX(INDIRECT(ADDRESS(ROW()-7,COLUMN())):INDIRECT(ADDRESS(ROW()-1,COLUMN())))+1)</f>
        <v>362</v>
      </c>
      <c r="D703" s="888" t="s">
        <v>283</v>
      </c>
      <c r="E703" s="883" t="s">
        <v>799</v>
      </c>
      <c r="F703" s="884">
        <v>50</v>
      </c>
      <c r="G703" s="884">
        <v>350</v>
      </c>
      <c r="H703" s="884">
        <f t="shared" si="541"/>
        <v>17500</v>
      </c>
      <c r="I703" s="884">
        <f>ROUND(Labour_perc_roads*G703,1)</f>
        <v>10.199999999999999</v>
      </c>
      <c r="J703" s="884">
        <f t="shared" si="542"/>
        <v>509.99999999999994</v>
      </c>
      <c r="K703" s="884">
        <f t="shared" si="543"/>
        <v>358.32</v>
      </c>
      <c r="L703" s="885">
        <f t="shared" si="544"/>
        <v>1.423308774279973</v>
      </c>
      <c r="M703" s="915">
        <f t="shared" si="545"/>
        <v>2.914285714285714E-2</v>
      </c>
    </row>
    <row r="704" spans="2:13" ht="37.5" x14ac:dyDescent="0.25">
      <c r="B704" s="887" t="s">
        <v>289</v>
      </c>
      <c r="C704" s="892">
        <f ca="1">IF(E704="","",MAX(INDIRECT(ADDRESS(ROW()-7,COLUMN())):INDIRECT(ADDRESS(ROW()-1,COLUMN())))+1)</f>
        <v>363</v>
      </c>
      <c r="D704" s="888" t="s">
        <v>284</v>
      </c>
      <c r="E704" s="883" t="s">
        <v>799</v>
      </c>
      <c r="F704" s="884">
        <v>35</v>
      </c>
      <c r="G704" s="884">
        <v>130</v>
      </c>
      <c r="H704" s="884">
        <f t="shared" si="541"/>
        <v>4550</v>
      </c>
      <c r="I704" s="884">
        <f>ROUND(Labour_perc_roads*G704,1)</f>
        <v>3.8</v>
      </c>
      <c r="J704" s="884">
        <f t="shared" si="542"/>
        <v>133</v>
      </c>
      <c r="K704" s="884">
        <f t="shared" si="543"/>
        <v>358.32</v>
      </c>
      <c r="L704" s="885">
        <f t="shared" si="544"/>
        <v>0.37117660192007146</v>
      </c>
      <c r="M704" s="915">
        <f t="shared" si="545"/>
        <v>2.923076923076923E-2</v>
      </c>
    </row>
    <row r="705" spans="2:13" ht="25" x14ac:dyDescent="0.25">
      <c r="B705" s="887" t="s">
        <v>290</v>
      </c>
      <c r="C705" s="892">
        <f ca="1">IF(E705="","",MAX(INDIRECT(ADDRESS(ROW()-7,COLUMN())):INDIRECT(ADDRESS(ROW()-1,COLUMN())))+1)</f>
        <v>364</v>
      </c>
      <c r="D705" s="888" t="s">
        <v>285</v>
      </c>
      <c r="E705" s="883" t="s">
        <v>799</v>
      </c>
      <c r="F705" s="884">
        <v>20</v>
      </c>
      <c r="G705" s="884">
        <v>230</v>
      </c>
      <c r="H705" s="884">
        <f t="shared" si="541"/>
        <v>4600</v>
      </c>
      <c r="I705" s="884">
        <f>G705*90/100</f>
        <v>207</v>
      </c>
      <c r="J705" s="884">
        <f t="shared" si="542"/>
        <v>4140</v>
      </c>
      <c r="K705" s="884">
        <f t="shared" si="543"/>
        <v>358.32</v>
      </c>
      <c r="L705" s="885">
        <f t="shared" si="544"/>
        <v>11.553918285331548</v>
      </c>
      <c r="M705" s="915">
        <f t="shared" si="545"/>
        <v>0.9</v>
      </c>
    </row>
    <row r="706" spans="2:13" ht="13" x14ac:dyDescent="0.25">
      <c r="B706" s="882" t="s">
        <v>292</v>
      </c>
      <c r="C706" s="911" t="str">
        <f ca="1">IF(E706="","",MAX(INDIRECT(ADDRESS(ROW()-7,COLUMN())):INDIRECT(ADDRESS(ROW()-1,COLUMN())))+1)</f>
        <v/>
      </c>
      <c r="D706" s="881" t="s">
        <v>291</v>
      </c>
      <c r="E706" s="883"/>
      <c r="F706" s="884"/>
      <c r="G706" s="884"/>
      <c r="H706" s="884"/>
      <c r="I706" s="884"/>
      <c r="J706" s="884"/>
      <c r="K706" s="884"/>
      <c r="L706" s="885"/>
      <c r="M706" s="915"/>
    </row>
    <row r="707" spans="2:13" x14ac:dyDescent="0.25">
      <c r="B707" s="887" t="s">
        <v>293</v>
      </c>
      <c r="C707" s="892">
        <f ca="1">IF(E707="","",MAX(INDIRECT(ADDRESS(ROW()-7,COLUMN())):INDIRECT(ADDRESS(ROW()-1,COLUMN())))+1)</f>
        <v>365</v>
      </c>
      <c r="D707" s="888" t="s">
        <v>295</v>
      </c>
      <c r="E707" s="883" t="s">
        <v>11</v>
      </c>
      <c r="F707" s="884">
        <v>1</v>
      </c>
      <c r="G707" s="884">
        <v>15000</v>
      </c>
      <c r="H707" s="884">
        <f t="shared" ref="H707" si="546">F707*G707</f>
        <v>15000</v>
      </c>
      <c r="I707" s="884">
        <f>ROUND(Labour_perc_roads*G707,4)</f>
        <v>435</v>
      </c>
      <c r="J707" s="884">
        <f t="shared" ref="J707" si="547">I707*F707</f>
        <v>435</v>
      </c>
      <c r="K707" s="884">
        <f>$M$1</f>
        <v>358.32</v>
      </c>
      <c r="L707" s="885">
        <f t="shared" ref="L707" si="548">J707/K707</f>
        <v>1.2139986604152713</v>
      </c>
      <c r="M707" s="915">
        <f>IF(SUM(L707)&gt;0,J707/H707,"")</f>
        <v>2.9000000000000001E-2</v>
      </c>
    </row>
    <row r="708" spans="2:13" x14ac:dyDescent="0.25">
      <c r="B708" s="887" t="s">
        <v>299</v>
      </c>
      <c r="C708" s="892" t="str">
        <f ca="1">IF(E708="","",MAX(INDIRECT(ADDRESS(ROW()-7,COLUMN())):INDIRECT(ADDRESS(ROW()-1,COLUMN())))+1)</f>
        <v/>
      </c>
      <c r="D708" s="888" t="s">
        <v>297</v>
      </c>
      <c r="E708" s="883"/>
      <c r="F708" s="884"/>
      <c r="G708" s="884"/>
      <c r="H708" s="884"/>
      <c r="I708" s="884"/>
      <c r="J708" s="884"/>
      <c r="K708" s="884"/>
      <c r="L708" s="885"/>
      <c r="M708" s="915"/>
    </row>
    <row r="709" spans="2:13" x14ac:dyDescent="0.25">
      <c r="B709" s="887" t="s">
        <v>300</v>
      </c>
      <c r="C709" s="892">
        <f ca="1">IF(E709="","",MAX(INDIRECT(ADDRESS(ROW()-7,COLUMN())):INDIRECT(ADDRESS(ROW()-1,COLUMN())))+1)</f>
        <v>366</v>
      </c>
      <c r="D709" s="888" t="s">
        <v>298</v>
      </c>
      <c r="E709" s="883" t="s">
        <v>799</v>
      </c>
      <c r="F709" s="884">
        <v>100</v>
      </c>
      <c r="G709" s="884">
        <v>42.5</v>
      </c>
      <c r="H709" s="884">
        <f t="shared" ref="H709:H712" si="549">F709*G709</f>
        <v>4250</v>
      </c>
      <c r="I709" s="884">
        <f>ROUND(Labour_perc_roads*G709,1)</f>
        <v>1.2</v>
      </c>
      <c r="J709" s="884">
        <f t="shared" ref="J709:J712" si="550">I709*F709</f>
        <v>120</v>
      </c>
      <c r="K709" s="884">
        <f t="shared" ref="K709:K712" si="551">$M$1</f>
        <v>358.32</v>
      </c>
      <c r="L709" s="885">
        <f t="shared" ref="L709:L712" si="552">J709/K709</f>
        <v>0.33489618218352313</v>
      </c>
      <c r="M709" s="915">
        <f>IF(SUM(L709)&gt;0,J709/H709,"")</f>
        <v>2.823529411764706E-2</v>
      </c>
    </row>
    <row r="710" spans="2:13" ht="25" x14ac:dyDescent="0.25">
      <c r="B710" s="887" t="s">
        <v>301</v>
      </c>
      <c r="C710" s="892">
        <f ca="1">IF(E710="","",MAX(INDIRECT(ADDRESS(ROW()-7,COLUMN())):INDIRECT(ADDRESS(ROW()-1,COLUMN())))+1)</f>
        <v>367</v>
      </c>
      <c r="D710" s="888" t="s">
        <v>2145</v>
      </c>
      <c r="E710" s="883" t="s">
        <v>799</v>
      </c>
      <c r="F710" s="884">
        <v>50</v>
      </c>
      <c r="G710" s="884">
        <v>55</v>
      </c>
      <c r="H710" s="884">
        <f t="shared" si="549"/>
        <v>2750</v>
      </c>
      <c r="I710" s="884">
        <f>ROUND(Labour_perc_roads*G710,1)</f>
        <v>1.6</v>
      </c>
      <c r="J710" s="884">
        <f t="shared" si="550"/>
        <v>80</v>
      </c>
      <c r="K710" s="884">
        <f t="shared" si="551"/>
        <v>358.32</v>
      </c>
      <c r="L710" s="885">
        <f t="shared" si="552"/>
        <v>0.22326412145568209</v>
      </c>
      <c r="M710" s="915">
        <f>IF(SUM(L710)&gt;0,J710/H710,"")</f>
        <v>2.9090909090909091E-2</v>
      </c>
    </row>
    <row r="711" spans="2:13" ht="26" x14ac:dyDescent="0.25">
      <c r="B711" s="882" t="s">
        <v>1886</v>
      </c>
      <c r="C711" s="911">
        <f ca="1">IF(E711="","",MAX(INDIRECT(ADDRESS(ROW()-7,COLUMN())):INDIRECT(ADDRESS(ROW()-1,COLUMN())))+1)</f>
        <v>368</v>
      </c>
      <c r="D711" s="881" t="s">
        <v>302</v>
      </c>
      <c r="E711" s="883" t="s">
        <v>799</v>
      </c>
      <c r="F711" s="884">
        <v>20</v>
      </c>
      <c r="G711" s="884">
        <v>75</v>
      </c>
      <c r="H711" s="884">
        <f t="shared" si="549"/>
        <v>1500</v>
      </c>
      <c r="I711" s="884">
        <f>ROUND(Labour_perc_roads*G711,1)</f>
        <v>2.2000000000000002</v>
      </c>
      <c r="J711" s="884">
        <f t="shared" si="550"/>
        <v>44</v>
      </c>
      <c r="K711" s="884">
        <f t="shared" si="551"/>
        <v>358.32</v>
      </c>
      <c r="L711" s="885">
        <f t="shared" si="552"/>
        <v>0.12279526680062514</v>
      </c>
      <c r="M711" s="915">
        <f>IF(SUM(L711)&gt;0,J711/H711,"")</f>
        <v>2.9333333333333333E-2</v>
      </c>
    </row>
    <row r="712" spans="2:13" ht="39" x14ac:dyDescent="0.25">
      <c r="B712" s="882" t="s">
        <v>304</v>
      </c>
      <c r="C712" s="911">
        <f ca="1">IF(E712="","",MAX(INDIRECT(ADDRESS(ROW()-7,COLUMN())):INDIRECT(ADDRESS(ROW()-1,COLUMN())))+1)</f>
        <v>369</v>
      </c>
      <c r="D712" s="881" t="s">
        <v>303</v>
      </c>
      <c r="E712" s="883" t="s">
        <v>1245</v>
      </c>
      <c r="F712" s="884">
        <v>500</v>
      </c>
      <c r="G712" s="884">
        <v>6.5</v>
      </c>
      <c r="H712" s="884">
        <f t="shared" si="549"/>
        <v>3250</v>
      </c>
      <c r="I712" s="884">
        <f>ROUND(Labour_perc_roads*G712,1)</f>
        <v>0.2</v>
      </c>
      <c r="J712" s="884">
        <f t="shared" si="550"/>
        <v>100</v>
      </c>
      <c r="K712" s="884">
        <f t="shared" si="551"/>
        <v>358.32</v>
      </c>
      <c r="L712" s="885">
        <f t="shared" si="552"/>
        <v>0.27908015181960261</v>
      </c>
      <c r="M712" s="915">
        <f>IF(SUM(L712)&gt;0,J712/H712,"")</f>
        <v>3.0769230769230771E-2</v>
      </c>
    </row>
    <row r="713" spans="2:13" ht="13" x14ac:dyDescent="0.25">
      <c r="B713" s="882" t="s">
        <v>1887</v>
      </c>
      <c r="C713" s="911" t="str">
        <f ca="1">IF(E713="","",MAX(INDIRECT(ADDRESS(ROW()-7,COLUMN())):INDIRECT(ADDRESS(ROW()-1,COLUMN())))+1)</f>
        <v/>
      </c>
      <c r="D713" s="881" t="s">
        <v>309</v>
      </c>
      <c r="E713" s="883"/>
      <c r="F713" s="884"/>
      <c r="G713" s="884"/>
      <c r="H713" s="884"/>
      <c r="I713" s="884"/>
      <c r="J713" s="884"/>
      <c r="K713" s="884"/>
      <c r="L713" s="885"/>
      <c r="M713" s="915"/>
    </row>
    <row r="714" spans="2:13" x14ac:dyDescent="0.25">
      <c r="B714" s="887" t="s">
        <v>305</v>
      </c>
      <c r="C714" s="892">
        <f ca="1">IF(E714="","",MAX(INDIRECT(ADDRESS(ROW()-7,COLUMN())):INDIRECT(ADDRESS(ROW()-1,COLUMN())))+1)</f>
        <v>370</v>
      </c>
      <c r="D714" s="888" t="s">
        <v>227</v>
      </c>
      <c r="E714" s="883" t="s">
        <v>799</v>
      </c>
      <c r="F714" s="884">
        <v>80</v>
      </c>
      <c r="G714" s="884">
        <v>550</v>
      </c>
      <c r="H714" s="884">
        <f t="shared" ref="H714:H717" si="553">F714*G714</f>
        <v>44000</v>
      </c>
      <c r="I714" s="884">
        <f>ROUND(Labour_perc_roads*G714,1)</f>
        <v>16</v>
      </c>
      <c r="J714" s="884">
        <f t="shared" ref="J714:J717" si="554">I714*F714</f>
        <v>1280</v>
      </c>
      <c r="K714" s="884">
        <f t="shared" ref="K714:K717" si="555">$M$1</f>
        <v>358.32</v>
      </c>
      <c r="L714" s="885">
        <f t="shared" ref="L714:L717" si="556">J714/K714</f>
        <v>3.5722259432909134</v>
      </c>
      <c r="M714" s="915">
        <f>IF(SUM(L714)&gt;0,J714/H714,"")</f>
        <v>2.9090909090909091E-2</v>
      </c>
    </row>
    <row r="715" spans="2:13" ht="50" x14ac:dyDescent="0.25">
      <c r="B715" s="887" t="s">
        <v>306</v>
      </c>
      <c r="C715" s="892">
        <f ca="1">IF(E715="","",MAX(INDIRECT(ADDRESS(ROW()-7,COLUMN())):INDIRECT(ADDRESS(ROW()-1,COLUMN())))+1)</f>
        <v>371</v>
      </c>
      <c r="D715" s="888" t="s">
        <v>2146</v>
      </c>
      <c r="E715" s="883" t="s">
        <v>799</v>
      </c>
      <c r="F715" s="884">
        <v>80</v>
      </c>
      <c r="G715" s="884">
        <v>300</v>
      </c>
      <c r="H715" s="884">
        <f t="shared" si="553"/>
        <v>24000</v>
      </c>
      <c r="I715" s="884">
        <f>ROUND(Labour_perc_roads*G715,1)</f>
        <v>8.6999999999999993</v>
      </c>
      <c r="J715" s="884">
        <f t="shared" si="554"/>
        <v>696</v>
      </c>
      <c r="K715" s="884">
        <f t="shared" si="555"/>
        <v>358.32</v>
      </c>
      <c r="L715" s="885">
        <f t="shared" si="556"/>
        <v>1.942397856664434</v>
      </c>
      <c r="M715" s="915">
        <f>IF(SUM(L715)&gt;0,J715/H715,"")</f>
        <v>2.9000000000000001E-2</v>
      </c>
    </row>
    <row r="716" spans="2:13" ht="25" x14ac:dyDescent="0.25">
      <c r="B716" s="887" t="s">
        <v>307</v>
      </c>
      <c r="C716" s="892">
        <f ca="1">IF(E716="","",MAX(INDIRECT(ADDRESS(ROW()-7,COLUMN())):INDIRECT(ADDRESS(ROW()-1,COLUMN())))+1)</f>
        <v>372</v>
      </c>
      <c r="D716" s="888" t="s">
        <v>2147</v>
      </c>
      <c r="E716" s="883" t="s">
        <v>799</v>
      </c>
      <c r="F716" s="884">
        <v>35</v>
      </c>
      <c r="G716" s="884">
        <v>2100</v>
      </c>
      <c r="H716" s="884">
        <f t="shared" si="553"/>
        <v>73500</v>
      </c>
      <c r="I716" s="884">
        <f>ROUND(_Mix+_Haul+_Place,1)*0.5</f>
        <v>396.35</v>
      </c>
      <c r="J716" s="884">
        <f t="shared" si="554"/>
        <v>13872.25</v>
      </c>
      <c r="K716" s="884">
        <f t="shared" si="555"/>
        <v>358.32</v>
      </c>
      <c r="L716" s="885">
        <f t="shared" si="556"/>
        <v>38.714696360794818</v>
      </c>
      <c r="M716" s="915">
        <f>IF(SUM(L716)&gt;0,J716/H716,"")</f>
        <v>0.18873809523809523</v>
      </c>
    </row>
    <row r="717" spans="2:13" ht="25" x14ac:dyDescent="0.25">
      <c r="B717" s="887" t="s">
        <v>308</v>
      </c>
      <c r="C717" s="892">
        <f ca="1">IF(E717="","",MAX(INDIRECT(ADDRESS(ROW()-7,COLUMN())):INDIRECT(ADDRESS(ROW()-1,COLUMN())))+1)</f>
        <v>373</v>
      </c>
      <c r="D717" s="888" t="s">
        <v>2148</v>
      </c>
      <c r="E717" s="883" t="s">
        <v>799</v>
      </c>
      <c r="F717" s="884">
        <v>15</v>
      </c>
      <c r="G717" s="884">
        <v>2000</v>
      </c>
      <c r="H717" s="884">
        <f t="shared" si="553"/>
        <v>30000</v>
      </c>
      <c r="I717" s="884">
        <f>ROUND(_Mix+_Haul+_Place,1)*0.5</f>
        <v>396.35</v>
      </c>
      <c r="J717" s="884">
        <f t="shared" si="554"/>
        <v>5945.25</v>
      </c>
      <c r="K717" s="884">
        <f t="shared" si="555"/>
        <v>358.32</v>
      </c>
      <c r="L717" s="885">
        <f t="shared" si="556"/>
        <v>16.592012726054925</v>
      </c>
      <c r="M717" s="915">
        <f>IF(SUM(L717)&gt;0,J717/H717,"")</f>
        <v>0.19817499999999999</v>
      </c>
    </row>
    <row r="718" spans="2:13" x14ac:dyDescent="0.25">
      <c r="B718" s="887"/>
      <c r="C718" s="892" t="str">
        <f ca="1">IF(E718="","",MAX(INDIRECT(ADDRESS(ROW()-7,COLUMN())):INDIRECT(ADDRESS(ROW()-1,COLUMN())))+1)</f>
        <v/>
      </c>
      <c r="D718" s="888"/>
      <c r="E718" s="883"/>
      <c r="F718" s="884"/>
      <c r="G718" s="884"/>
      <c r="H718" s="884"/>
      <c r="I718" s="884"/>
      <c r="J718" s="884"/>
      <c r="K718" s="884"/>
      <c r="L718" s="885"/>
      <c r="M718" s="915"/>
    </row>
    <row r="719" spans="2:13" ht="26" x14ac:dyDescent="0.25">
      <c r="B719" s="882" t="s">
        <v>312</v>
      </c>
      <c r="C719" s="911" t="str">
        <f ca="1">IF(E719="","",MAX(INDIRECT(ADDRESS(ROW()-7,COLUMN())):INDIRECT(ADDRESS(ROW()-1,COLUMN())))+1)</f>
        <v/>
      </c>
      <c r="D719" s="881" t="s">
        <v>311</v>
      </c>
      <c r="E719" s="883"/>
      <c r="F719" s="884"/>
      <c r="G719" s="884"/>
      <c r="H719" s="884"/>
      <c r="I719" s="884"/>
      <c r="J719" s="884"/>
      <c r="K719" s="884"/>
      <c r="L719" s="885"/>
      <c r="M719" s="915"/>
    </row>
    <row r="720" spans="2:13" ht="26" x14ac:dyDescent="0.25">
      <c r="B720" s="882" t="s">
        <v>313</v>
      </c>
      <c r="C720" s="911" t="str">
        <f ca="1">IF(E720="","",MAX(INDIRECT(ADDRESS(ROW()-7,COLUMN())):INDIRECT(ADDRESS(ROW()-1,COLUMN())))+1)</f>
        <v/>
      </c>
      <c r="D720" s="881" t="s">
        <v>1901</v>
      </c>
      <c r="E720" s="883"/>
      <c r="F720" s="884"/>
      <c r="G720" s="884"/>
      <c r="H720" s="884"/>
      <c r="I720" s="884"/>
      <c r="J720" s="884"/>
      <c r="K720" s="884"/>
      <c r="L720" s="885"/>
      <c r="M720" s="915"/>
    </row>
    <row r="721" spans="2:13" x14ac:dyDescent="0.25">
      <c r="B721" s="887" t="s">
        <v>39</v>
      </c>
      <c r="C721" s="892" t="str">
        <f ca="1">IF(E721="","",MAX(INDIRECT(ADDRESS(ROW()-7,COLUMN())):INDIRECT(ADDRESS(ROW()-1,COLUMN())))+1)</f>
        <v/>
      </c>
      <c r="D721" s="888" t="s">
        <v>1733</v>
      </c>
      <c r="E721" s="883"/>
      <c r="F721" s="884"/>
      <c r="G721" s="884"/>
      <c r="H721" s="884"/>
      <c r="I721" s="884"/>
      <c r="J721" s="884"/>
      <c r="K721" s="884"/>
      <c r="L721" s="885"/>
      <c r="M721" s="915"/>
    </row>
    <row r="722" spans="2:13" x14ac:dyDescent="0.25">
      <c r="B722" s="887" t="s">
        <v>990</v>
      </c>
      <c r="C722" s="892">
        <f ca="1">IF(E722="","",MAX(INDIRECT(ADDRESS(ROW()-7,COLUMN())):INDIRECT(ADDRESS(ROW()-1,COLUMN())))+1)</f>
        <v>374</v>
      </c>
      <c r="D722" s="888" t="s">
        <v>1755</v>
      </c>
      <c r="E722" s="883" t="s">
        <v>555</v>
      </c>
      <c r="F722" s="884">
        <v>55</v>
      </c>
      <c r="G722" s="884">
        <v>450</v>
      </c>
      <c r="H722" s="884">
        <f t="shared" ref="H722:H724" si="557">F722*G722</f>
        <v>24750</v>
      </c>
      <c r="I722" s="884">
        <f>_Formwork*0.9</f>
        <v>120.60000000000001</v>
      </c>
      <c r="J722" s="884">
        <f t="shared" ref="J722:J724" si="558">I722*F722</f>
        <v>6633.0000000000009</v>
      </c>
      <c r="K722" s="884">
        <f t="shared" ref="K722:K724" si="559">$M$1</f>
        <v>358.32</v>
      </c>
      <c r="L722" s="885">
        <f t="shared" ref="L722:L724" si="560">J722/K722</f>
        <v>18.511386470194243</v>
      </c>
      <c r="M722" s="915">
        <f>IF(SUM(L722)&gt;0,J722/H722,"")</f>
        <v>0.26800000000000002</v>
      </c>
    </row>
    <row r="723" spans="2:13" x14ac:dyDescent="0.25">
      <c r="B723" s="887" t="s">
        <v>991</v>
      </c>
      <c r="C723" s="892">
        <f ca="1">IF(E723="","",MAX(INDIRECT(ADDRESS(ROW()-7,COLUMN())):INDIRECT(ADDRESS(ROW()-1,COLUMN())))+1)</f>
        <v>375</v>
      </c>
      <c r="D723" s="888" t="s">
        <v>1756</v>
      </c>
      <c r="E723" s="883" t="s">
        <v>555</v>
      </c>
      <c r="F723" s="884">
        <v>120</v>
      </c>
      <c r="G723" s="884">
        <v>450</v>
      </c>
      <c r="H723" s="884">
        <f t="shared" si="557"/>
        <v>54000</v>
      </c>
      <c r="I723" s="884">
        <f>_Formwork*0.9</f>
        <v>120.60000000000001</v>
      </c>
      <c r="J723" s="884">
        <f t="shared" si="558"/>
        <v>14472.000000000002</v>
      </c>
      <c r="K723" s="884">
        <f t="shared" si="559"/>
        <v>358.32</v>
      </c>
      <c r="L723" s="885">
        <f t="shared" si="560"/>
        <v>40.388479571332894</v>
      </c>
      <c r="M723" s="915">
        <f>IF(SUM(L723)&gt;0,J723/H723,"")</f>
        <v>0.26800000000000002</v>
      </c>
    </row>
    <row r="724" spans="2:13" x14ac:dyDescent="0.25">
      <c r="B724" s="887" t="s">
        <v>1679</v>
      </c>
      <c r="C724" s="892">
        <f ca="1">IF(E724="","",MAX(INDIRECT(ADDRESS(ROW()-7,COLUMN())):INDIRECT(ADDRESS(ROW()-1,COLUMN())))+1)</f>
        <v>376</v>
      </c>
      <c r="D724" s="888" t="s">
        <v>1757</v>
      </c>
      <c r="E724" s="883" t="s">
        <v>555</v>
      </c>
      <c r="F724" s="884">
        <v>35</v>
      </c>
      <c r="G724" s="884">
        <v>450</v>
      </c>
      <c r="H724" s="884">
        <f t="shared" si="557"/>
        <v>15750</v>
      </c>
      <c r="I724" s="884">
        <f>_Formwork*0.9</f>
        <v>120.60000000000001</v>
      </c>
      <c r="J724" s="884">
        <f t="shared" si="558"/>
        <v>4221</v>
      </c>
      <c r="K724" s="884">
        <f t="shared" si="559"/>
        <v>358.32</v>
      </c>
      <c r="L724" s="885">
        <f t="shared" si="560"/>
        <v>11.779973208305426</v>
      </c>
      <c r="M724" s="915">
        <f>IF(SUM(L724)&gt;0,J724/H724,"")</f>
        <v>0.26800000000000002</v>
      </c>
    </row>
    <row r="725" spans="2:13" x14ac:dyDescent="0.25">
      <c r="B725" s="887" t="s">
        <v>41</v>
      </c>
      <c r="C725" s="892" t="str">
        <f ca="1">IF(E725="","",MAX(INDIRECT(ADDRESS(ROW()-7,COLUMN())):INDIRECT(ADDRESS(ROW()-1,COLUMN())))+1)</f>
        <v/>
      </c>
      <c r="D725" s="888" t="s">
        <v>1742</v>
      </c>
      <c r="E725" s="883"/>
      <c r="F725" s="884"/>
      <c r="G725" s="884"/>
      <c r="H725" s="884"/>
      <c r="I725" s="884"/>
      <c r="J725" s="884"/>
      <c r="K725" s="884"/>
      <c r="L725" s="885"/>
      <c r="M725" s="915"/>
    </row>
    <row r="726" spans="2:13" x14ac:dyDescent="0.25">
      <c r="B726" s="887" t="s">
        <v>990</v>
      </c>
      <c r="C726" s="892">
        <f ca="1">IF(E726="","",MAX(INDIRECT(ADDRESS(ROW()-7,COLUMN())):INDIRECT(ADDRESS(ROW()-1,COLUMN())))+1)</f>
        <v>377</v>
      </c>
      <c r="D726" s="888" t="s">
        <v>1758</v>
      </c>
      <c r="E726" s="883" t="s">
        <v>555</v>
      </c>
      <c r="F726" s="884">
        <v>40</v>
      </c>
      <c r="G726" s="884">
        <v>480</v>
      </c>
      <c r="H726" s="884">
        <f t="shared" ref="H726:H728" si="561">F726*G726</f>
        <v>19200</v>
      </c>
      <c r="I726" s="884">
        <f>_Formwork*0.9</f>
        <v>120.60000000000001</v>
      </c>
      <c r="J726" s="884">
        <f t="shared" ref="J726:J728" si="562">I726*F726</f>
        <v>4824</v>
      </c>
      <c r="K726" s="884">
        <f t="shared" ref="K726:K728" si="563">$M$1</f>
        <v>358.32</v>
      </c>
      <c r="L726" s="885">
        <f t="shared" ref="L726:L728" si="564">J726/K726</f>
        <v>13.462826523777629</v>
      </c>
      <c r="M726" s="915">
        <f>IF(SUM(L726)&gt;0,J726/H726,"")</f>
        <v>0.25124999999999997</v>
      </c>
    </row>
    <row r="727" spans="2:13" x14ac:dyDescent="0.25">
      <c r="B727" s="887" t="s">
        <v>991</v>
      </c>
      <c r="C727" s="892">
        <f ca="1">IF(E727="","",MAX(INDIRECT(ADDRESS(ROW()-7,COLUMN())):INDIRECT(ADDRESS(ROW()-1,COLUMN())))+1)</f>
        <v>378</v>
      </c>
      <c r="D727" s="888" t="s">
        <v>1756</v>
      </c>
      <c r="E727" s="883" t="s">
        <v>555</v>
      </c>
      <c r="F727" s="884">
        <v>200</v>
      </c>
      <c r="G727" s="884">
        <v>480</v>
      </c>
      <c r="H727" s="884">
        <f t="shared" si="561"/>
        <v>96000</v>
      </c>
      <c r="I727" s="884">
        <f>_Formwork*0.9</f>
        <v>120.60000000000001</v>
      </c>
      <c r="J727" s="884">
        <f t="shared" si="562"/>
        <v>24120</v>
      </c>
      <c r="K727" s="884">
        <f t="shared" si="563"/>
        <v>358.32</v>
      </c>
      <c r="L727" s="885">
        <f t="shared" si="564"/>
        <v>67.314132618888152</v>
      </c>
      <c r="M727" s="915">
        <f>IF(SUM(L727)&gt;0,J727/H727,"")</f>
        <v>0.25124999999999997</v>
      </c>
    </row>
    <row r="728" spans="2:13" x14ac:dyDescent="0.25">
      <c r="B728" s="887" t="s">
        <v>1679</v>
      </c>
      <c r="C728" s="892">
        <f ca="1">IF(E728="","",MAX(INDIRECT(ADDRESS(ROW()-7,COLUMN())):INDIRECT(ADDRESS(ROW()-1,COLUMN())))+1)</f>
        <v>379</v>
      </c>
      <c r="D728" s="888" t="s">
        <v>1757</v>
      </c>
      <c r="E728" s="883" t="s">
        <v>555</v>
      </c>
      <c r="F728" s="884">
        <v>70</v>
      </c>
      <c r="G728" s="884">
        <v>480</v>
      </c>
      <c r="H728" s="884">
        <f t="shared" si="561"/>
        <v>33600</v>
      </c>
      <c r="I728" s="884">
        <f>_Formwork*0.9</f>
        <v>120.60000000000001</v>
      </c>
      <c r="J728" s="884">
        <f t="shared" si="562"/>
        <v>8442</v>
      </c>
      <c r="K728" s="884">
        <f t="shared" si="563"/>
        <v>358.32</v>
      </c>
      <c r="L728" s="885">
        <f t="shared" si="564"/>
        <v>23.559946416610853</v>
      </c>
      <c r="M728" s="915">
        <f>IF(SUM(L728)&gt;0,J728/H728,"")</f>
        <v>0.25124999999999997</v>
      </c>
    </row>
    <row r="729" spans="2:13" ht="26" x14ac:dyDescent="0.25">
      <c r="B729" s="882" t="s">
        <v>314</v>
      </c>
      <c r="C729" s="911" t="str">
        <f ca="1">IF(E729="","",MAX(INDIRECT(ADDRESS(ROW()-7,COLUMN())):INDIRECT(ADDRESS(ROW()-1,COLUMN())))+1)</f>
        <v/>
      </c>
      <c r="D729" s="881" t="s">
        <v>1902</v>
      </c>
      <c r="E729" s="883"/>
      <c r="F729" s="884"/>
      <c r="G729" s="884"/>
      <c r="H729" s="884"/>
      <c r="I729" s="884"/>
      <c r="J729" s="884"/>
      <c r="K729" s="884"/>
      <c r="L729" s="885"/>
      <c r="M729" s="915"/>
    </row>
    <row r="730" spans="2:13" x14ac:dyDescent="0.25">
      <c r="B730" s="887" t="s">
        <v>39</v>
      </c>
      <c r="C730" s="892" t="str">
        <f ca="1">IF(E730="","",MAX(INDIRECT(ADDRESS(ROW()-7,COLUMN())):INDIRECT(ADDRESS(ROW()-1,COLUMN())))+1)</f>
        <v/>
      </c>
      <c r="D730" s="888" t="s">
        <v>1742</v>
      </c>
      <c r="E730" s="883"/>
      <c r="F730" s="884"/>
      <c r="G730" s="884"/>
      <c r="H730" s="884"/>
      <c r="I730" s="884"/>
      <c r="J730" s="884"/>
      <c r="K730" s="884"/>
      <c r="L730" s="885"/>
      <c r="M730" s="915"/>
    </row>
    <row r="731" spans="2:13" x14ac:dyDescent="0.25">
      <c r="B731" s="887" t="s">
        <v>990</v>
      </c>
      <c r="C731" s="892">
        <f ca="1">IF(E731="","",MAX(INDIRECT(ADDRESS(ROW()-7,COLUMN())):INDIRECT(ADDRESS(ROW()-1,COLUMN())))+1)</f>
        <v>380</v>
      </c>
      <c r="D731" s="888" t="s">
        <v>1759</v>
      </c>
      <c r="E731" s="883" t="s">
        <v>555</v>
      </c>
      <c r="F731" s="884">
        <v>100</v>
      </c>
      <c r="G731" s="884">
        <v>1700</v>
      </c>
      <c r="H731" s="884">
        <f t="shared" ref="H731" si="565">F731*G731</f>
        <v>170000</v>
      </c>
      <c r="I731" s="884">
        <f>_Formwork*0.9</f>
        <v>120.60000000000001</v>
      </c>
      <c r="J731" s="884">
        <f t="shared" ref="J731" si="566">I731*F731</f>
        <v>12060</v>
      </c>
      <c r="K731" s="884">
        <f>$M$1</f>
        <v>358.32</v>
      </c>
      <c r="L731" s="885">
        <f t="shared" ref="L731" si="567">J731/K731</f>
        <v>33.657066309444076</v>
      </c>
      <c r="M731" s="915">
        <f>IF(SUM(L731)&gt;0,J731/H731,"")</f>
        <v>7.094117647058823E-2</v>
      </c>
    </row>
    <row r="732" spans="2:13" ht="26" x14ac:dyDescent="0.25">
      <c r="B732" s="882" t="s">
        <v>315</v>
      </c>
      <c r="C732" s="911" t="str">
        <f ca="1">IF(E732="","",MAX(INDIRECT(ADDRESS(ROW()-7,COLUMN())):INDIRECT(ADDRESS(ROW()-1,COLUMN())))+1)</f>
        <v/>
      </c>
      <c r="D732" s="881" t="s">
        <v>1903</v>
      </c>
      <c r="E732" s="883"/>
      <c r="F732" s="884"/>
      <c r="G732" s="884"/>
      <c r="H732" s="884"/>
      <c r="I732" s="884"/>
      <c r="J732" s="884"/>
      <c r="K732" s="884"/>
      <c r="L732" s="885"/>
      <c r="M732" s="915"/>
    </row>
    <row r="733" spans="2:13" x14ac:dyDescent="0.25">
      <c r="B733" s="887" t="s">
        <v>41</v>
      </c>
      <c r="C733" s="892" t="str">
        <f ca="1">IF(E733="","",MAX(INDIRECT(ADDRESS(ROW()-7,COLUMN())):INDIRECT(ADDRESS(ROW()-1,COLUMN())))+1)</f>
        <v/>
      </c>
      <c r="D733" s="888" t="s">
        <v>1742</v>
      </c>
      <c r="E733" s="883"/>
      <c r="F733" s="884"/>
      <c r="G733" s="884"/>
      <c r="H733" s="884"/>
      <c r="I733" s="884"/>
      <c r="J733" s="884"/>
      <c r="K733" s="884"/>
      <c r="L733" s="885"/>
      <c r="M733" s="915"/>
    </row>
    <row r="734" spans="2:13" x14ac:dyDescent="0.25">
      <c r="B734" s="887" t="s">
        <v>990</v>
      </c>
      <c r="C734" s="892">
        <f ca="1">IF(E734="","",MAX(INDIRECT(ADDRESS(ROW()-7,COLUMN())):INDIRECT(ADDRESS(ROW()-1,COLUMN())))+1)</f>
        <v>381</v>
      </c>
      <c r="D734" s="888" t="s">
        <v>1759</v>
      </c>
      <c r="E734" s="883" t="s">
        <v>555</v>
      </c>
      <c r="F734" s="884">
        <v>5</v>
      </c>
      <c r="G734" s="884">
        <v>1700</v>
      </c>
      <c r="H734" s="884">
        <f t="shared" ref="H734" si="568">F734*G734</f>
        <v>8500</v>
      </c>
      <c r="I734" s="884">
        <f>_Formwork*0.9</f>
        <v>120.60000000000001</v>
      </c>
      <c r="J734" s="884">
        <f t="shared" ref="J734" si="569">I734*F734</f>
        <v>603</v>
      </c>
      <c r="K734" s="884">
        <f>$M$1</f>
        <v>358.32</v>
      </c>
      <c r="L734" s="885">
        <f t="shared" ref="L734" si="570">J734/K734</f>
        <v>1.6828533154722036</v>
      </c>
      <c r="M734" s="915">
        <f>IF(SUM(L734)&gt;0,J734/H734,"")</f>
        <v>7.094117647058823E-2</v>
      </c>
    </row>
    <row r="735" spans="2:13" x14ac:dyDescent="0.25">
      <c r="B735" s="887"/>
      <c r="C735" s="892" t="str">
        <f ca="1">IF(E735="","",MAX(INDIRECT(ADDRESS(ROW()-7,COLUMN())):INDIRECT(ADDRESS(ROW()-1,COLUMN())))+1)</f>
        <v/>
      </c>
      <c r="D735" s="888"/>
      <c r="E735" s="883"/>
      <c r="F735" s="884"/>
      <c r="G735" s="884"/>
      <c r="H735" s="884"/>
      <c r="I735" s="884"/>
      <c r="J735" s="884"/>
      <c r="K735" s="884"/>
      <c r="L735" s="885"/>
      <c r="M735" s="915"/>
    </row>
    <row r="736" spans="2:13" ht="13" x14ac:dyDescent="0.25">
      <c r="B736" s="882" t="s">
        <v>316</v>
      </c>
      <c r="C736" s="911" t="str">
        <f ca="1">IF(E736="","",MAX(INDIRECT(ADDRESS(ROW()-7,COLUMN())):INDIRECT(ADDRESS(ROW()-1,COLUMN())))+1)</f>
        <v/>
      </c>
      <c r="D736" s="881" t="s">
        <v>317</v>
      </c>
      <c r="E736" s="883"/>
      <c r="F736" s="884"/>
      <c r="G736" s="884"/>
      <c r="H736" s="884"/>
      <c r="I736" s="884"/>
      <c r="J736" s="884"/>
      <c r="K736" s="884"/>
      <c r="L736" s="885"/>
      <c r="M736" s="915"/>
    </row>
    <row r="737" spans="2:13" ht="13" x14ac:dyDescent="0.25">
      <c r="B737" s="882" t="s">
        <v>318</v>
      </c>
      <c r="C737" s="911" t="str">
        <f ca="1">IF(E737="","",MAX(INDIRECT(ADDRESS(ROW()-7,COLUMN())):INDIRECT(ADDRESS(ROW()-1,COLUMN())))+1)</f>
        <v/>
      </c>
      <c r="D737" s="881" t="s">
        <v>322</v>
      </c>
      <c r="E737" s="883"/>
      <c r="F737" s="884"/>
      <c r="G737" s="884"/>
      <c r="H737" s="884"/>
      <c r="I737" s="884"/>
      <c r="J737" s="884"/>
      <c r="K737" s="884"/>
      <c r="L737" s="885"/>
      <c r="M737" s="915"/>
    </row>
    <row r="738" spans="2:13" x14ac:dyDescent="0.25">
      <c r="B738" s="887" t="s">
        <v>319</v>
      </c>
      <c r="C738" s="892" t="str">
        <f ca="1">IF(E738="","",MAX(INDIRECT(ADDRESS(ROW()-7,COLUMN())):INDIRECT(ADDRESS(ROW()-1,COLUMN())))+1)</f>
        <v/>
      </c>
      <c r="D738" s="888" t="s">
        <v>1760</v>
      </c>
      <c r="E738" s="883"/>
      <c r="F738" s="884"/>
      <c r="G738" s="884"/>
      <c r="H738" s="884"/>
      <c r="I738" s="884"/>
      <c r="J738" s="884"/>
      <c r="K738" s="884"/>
      <c r="L738" s="885"/>
      <c r="M738" s="915"/>
    </row>
    <row r="739" spans="2:13" x14ac:dyDescent="0.25">
      <c r="B739" s="887" t="s">
        <v>39</v>
      </c>
      <c r="C739" s="892">
        <f ca="1">IF(E739="","",MAX(INDIRECT(ADDRESS(ROW()-7,COLUMN())):INDIRECT(ADDRESS(ROW()-1,COLUMN())))+1)</f>
        <v>382</v>
      </c>
      <c r="D739" s="888" t="s">
        <v>1751</v>
      </c>
      <c r="E739" s="883" t="s">
        <v>7</v>
      </c>
      <c r="F739" s="884">
        <v>1.1000000000000001</v>
      </c>
      <c r="G739" s="884">
        <v>15000</v>
      </c>
      <c r="H739" s="884">
        <f t="shared" ref="H739:H740" si="571">F739*G739</f>
        <v>16500</v>
      </c>
      <c r="I739" s="884">
        <f>ROUND(9%*G739,1)</f>
        <v>1350</v>
      </c>
      <c r="J739" s="884">
        <f t="shared" ref="J739:J740" si="572">I739*F739</f>
        <v>1485.0000000000002</v>
      </c>
      <c r="K739" s="884">
        <f t="shared" ref="K739:K740" si="573">$M$1</f>
        <v>358.32</v>
      </c>
      <c r="L739" s="885">
        <f t="shared" ref="L739:L740" si="574">J739/K739</f>
        <v>4.144340254521099</v>
      </c>
      <c r="M739" s="915">
        <f>IF(SUM(L739)&gt;0,J739/H739,"")</f>
        <v>9.0000000000000011E-2</v>
      </c>
    </row>
    <row r="740" spans="2:13" x14ac:dyDescent="0.25">
      <c r="B740" s="887" t="s">
        <v>41</v>
      </c>
      <c r="C740" s="892">
        <f ca="1">IF(E740="","",MAX(INDIRECT(ADDRESS(ROW()-7,COLUMN())):INDIRECT(ADDRESS(ROW()-1,COLUMN())))+1)</f>
        <v>383</v>
      </c>
      <c r="D740" s="888" t="s">
        <v>1752</v>
      </c>
      <c r="E740" s="883" t="s">
        <v>7</v>
      </c>
      <c r="F740" s="884">
        <v>10</v>
      </c>
      <c r="G740" s="884">
        <v>15000</v>
      </c>
      <c r="H740" s="884">
        <f t="shared" si="571"/>
        <v>150000</v>
      </c>
      <c r="I740" s="884">
        <f>ROUND(9%*G740,1)</f>
        <v>1350</v>
      </c>
      <c r="J740" s="884">
        <f t="shared" si="572"/>
        <v>13500</v>
      </c>
      <c r="K740" s="884">
        <f t="shared" si="573"/>
        <v>358.32</v>
      </c>
      <c r="L740" s="885">
        <f t="shared" si="574"/>
        <v>37.675820495646349</v>
      </c>
      <c r="M740" s="915">
        <f>IF(SUM(L740)&gt;0,J740/H740,"")</f>
        <v>0.09</v>
      </c>
    </row>
    <row r="741" spans="2:13" x14ac:dyDescent="0.25">
      <c r="B741" s="887" t="s">
        <v>320</v>
      </c>
      <c r="C741" s="892" t="str">
        <f ca="1">IF(E741="","",MAX(INDIRECT(ADDRESS(ROW()-7,COLUMN())):INDIRECT(ADDRESS(ROW()-1,COLUMN())))+1)</f>
        <v/>
      </c>
      <c r="D741" s="888" t="s">
        <v>1757</v>
      </c>
      <c r="E741" s="883"/>
      <c r="F741" s="884"/>
      <c r="G741" s="884"/>
      <c r="H741" s="884"/>
      <c r="I741" s="884"/>
      <c r="J741" s="884"/>
      <c r="K741" s="884"/>
      <c r="L741" s="885"/>
      <c r="M741" s="915"/>
    </row>
    <row r="742" spans="2:13" x14ac:dyDescent="0.25">
      <c r="B742" s="887" t="s">
        <v>39</v>
      </c>
      <c r="C742" s="892">
        <f ca="1">IF(E742="","",MAX(INDIRECT(ADDRESS(ROW()-7,COLUMN())):INDIRECT(ADDRESS(ROW()-1,COLUMN())))+1)</f>
        <v>384</v>
      </c>
      <c r="D742" s="888" t="s">
        <v>1751</v>
      </c>
      <c r="E742" s="883" t="s">
        <v>7</v>
      </c>
      <c r="F742" s="884">
        <v>0.2</v>
      </c>
      <c r="G742" s="884">
        <v>15000</v>
      </c>
      <c r="H742" s="884">
        <f t="shared" ref="H742:H743" si="575">F742*G742</f>
        <v>3000</v>
      </c>
      <c r="I742" s="884">
        <f>ROUND(9%*G742,1)</f>
        <v>1350</v>
      </c>
      <c r="J742" s="884">
        <f t="shared" ref="J742:J743" si="576">I742*F742</f>
        <v>270</v>
      </c>
      <c r="K742" s="884">
        <f t="shared" ref="K742:K743" si="577">$M$1</f>
        <v>358.32</v>
      </c>
      <c r="L742" s="885">
        <f t="shared" ref="L742:L743" si="578">J742/K742</f>
        <v>0.75351640991292701</v>
      </c>
      <c r="M742" s="915">
        <f>IF(SUM(L742)&gt;0,J742/H742,"")</f>
        <v>0.09</v>
      </c>
    </row>
    <row r="743" spans="2:13" x14ac:dyDescent="0.25">
      <c r="B743" s="887" t="s">
        <v>41</v>
      </c>
      <c r="C743" s="892">
        <f ca="1">IF(E743="","",MAX(INDIRECT(ADDRESS(ROW()-7,COLUMN())):INDIRECT(ADDRESS(ROW()-1,COLUMN())))+1)</f>
        <v>385</v>
      </c>
      <c r="D743" s="888" t="s">
        <v>1752</v>
      </c>
      <c r="E743" s="883" t="s">
        <v>7</v>
      </c>
      <c r="F743" s="884">
        <v>3</v>
      </c>
      <c r="G743" s="884">
        <v>15000</v>
      </c>
      <c r="H743" s="884">
        <f t="shared" si="575"/>
        <v>45000</v>
      </c>
      <c r="I743" s="884">
        <f>ROUND(9%*G743,1)</f>
        <v>1350</v>
      </c>
      <c r="J743" s="884">
        <f t="shared" si="576"/>
        <v>4050</v>
      </c>
      <c r="K743" s="884">
        <f t="shared" si="577"/>
        <v>358.32</v>
      </c>
      <c r="L743" s="885">
        <f t="shared" si="578"/>
        <v>11.302746148693904</v>
      </c>
      <c r="M743" s="915">
        <f>IF(SUM(L743)&gt;0,J743/H743,"")</f>
        <v>0.09</v>
      </c>
    </row>
    <row r="744" spans="2:13" x14ac:dyDescent="0.25">
      <c r="B744" s="887" t="s">
        <v>1745</v>
      </c>
      <c r="C744" s="892" t="str">
        <f ca="1">IF(E744="","",MAX(INDIRECT(ADDRESS(ROW()-7,COLUMN())):INDIRECT(ADDRESS(ROW()-1,COLUMN())))+1)</f>
        <v/>
      </c>
      <c r="D744" s="888" t="s">
        <v>1755</v>
      </c>
      <c r="E744" s="883"/>
      <c r="F744" s="884"/>
      <c r="G744" s="884"/>
      <c r="H744" s="884"/>
      <c r="I744" s="884"/>
      <c r="J744" s="884"/>
      <c r="K744" s="884"/>
      <c r="L744" s="885"/>
      <c r="M744" s="915"/>
    </row>
    <row r="745" spans="2:13" x14ac:dyDescent="0.25">
      <c r="B745" s="887" t="s">
        <v>39</v>
      </c>
      <c r="C745" s="892">
        <f ca="1">IF(E745="","",MAX(INDIRECT(ADDRESS(ROW()-7,COLUMN())):INDIRECT(ADDRESS(ROW()-1,COLUMN())))+1)</f>
        <v>386</v>
      </c>
      <c r="D745" s="888" t="s">
        <v>1751</v>
      </c>
      <c r="E745" s="883" t="s">
        <v>7</v>
      </c>
      <c r="F745" s="884">
        <v>0.1</v>
      </c>
      <c r="G745" s="884">
        <v>15000</v>
      </c>
      <c r="H745" s="884">
        <f t="shared" ref="H745:H746" si="579">F745*G745</f>
        <v>1500</v>
      </c>
      <c r="I745" s="884">
        <f>ROUND(9%*G745,1)</f>
        <v>1350</v>
      </c>
      <c r="J745" s="884">
        <f t="shared" ref="J745:J746" si="580">I745*F745</f>
        <v>135</v>
      </c>
      <c r="K745" s="884">
        <f t="shared" ref="K745:K746" si="581">$M$1</f>
        <v>358.32</v>
      </c>
      <c r="L745" s="885">
        <f t="shared" ref="L745:L746" si="582">J745/K745</f>
        <v>0.3767582049564635</v>
      </c>
      <c r="M745" s="915">
        <f>IF(SUM(L745)&gt;0,J745/H745,"")</f>
        <v>0.09</v>
      </c>
    </row>
    <row r="746" spans="2:13" x14ac:dyDescent="0.25">
      <c r="B746" s="887" t="s">
        <v>41</v>
      </c>
      <c r="C746" s="892">
        <f ca="1">IF(E746="","",MAX(INDIRECT(ADDRESS(ROW()-7,COLUMN())):INDIRECT(ADDRESS(ROW()-1,COLUMN())))+1)</f>
        <v>387</v>
      </c>
      <c r="D746" s="888" t="s">
        <v>1752</v>
      </c>
      <c r="E746" s="883" t="s">
        <v>7</v>
      </c>
      <c r="F746" s="884">
        <v>0.4</v>
      </c>
      <c r="G746" s="884">
        <v>15000</v>
      </c>
      <c r="H746" s="884">
        <f t="shared" si="579"/>
        <v>6000</v>
      </c>
      <c r="I746" s="884">
        <f>ROUND(9%*G746,1)</f>
        <v>1350</v>
      </c>
      <c r="J746" s="884">
        <f t="shared" si="580"/>
        <v>540</v>
      </c>
      <c r="K746" s="884">
        <f t="shared" si="581"/>
        <v>358.32</v>
      </c>
      <c r="L746" s="885">
        <f t="shared" si="582"/>
        <v>1.507032819825854</v>
      </c>
      <c r="M746" s="915">
        <f>IF(SUM(L746)&gt;0,J746/H746,"")</f>
        <v>0.09</v>
      </c>
    </row>
    <row r="747" spans="2:13" x14ac:dyDescent="0.25">
      <c r="B747" s="887" t="s">
        <v>1746</v>
      </c>
      <c r="C747" s="892" t="str">
        <f ca="1">IF(E747="","",MAX(INDIRECT(ADDRESS(ROW()-7,COLUMN())):INDIRECT(ADDRESS(ROW()-1,COLUMN())))+1)</f>
        <v/>
      </c>
      <c r="D747" s="888" t="s">
        <v>1761</v>
      </c>
      <c r="E747" s="883"/>
      <c r="F747" s="884"/>
      <c r="G747" s="884"/>
      <c r="H747" s="884"/>
      <c r="I747" s="884"/>
      <c r="J747" s="884"/>
      <c r="K747" s="884"/>
      <c r="L747" s="885"/>
      <c r="M747" s="915"/>
    </row>
    <row r="748" spans="2:13" x14ac:dyDescent="0.25">
      <c r="B748" s="887" t="s">
        <v>39</v>
      </c>
      <c r="C748" s="892">
        <f ca="1">IF(E748="","",MAX(INDIRECT(ADDRESS(ROW()-7,COLUMN())):INDIRECT(ADDRESS(ROW()-1,COLUMN())))+1)</f>
        <v>388</v>
      </c>
      <c r="D748" s="888" t="s">
        <v>1751</v>
      </c>
      <c r="E748" s="883" t="s">
        <v>7</v>
      </c>
      <c r="F748" s="884">
        <v>0.5</v>
      </c>
      <c r="G748" s="884">
        <v>15000</v>
      </c>
      <c r="H748" s="884">
        <f t="shared" ref="H748:H750" si="583">F748*G748</f>
        <v>7500</v>
      </c>
      <c r="I748" s="884">
        <f>ROUND(9%*G748,1)</f>
        <v>1350</v>
      </c>
      <c r="J748" s="884">
        <f t="shared" ref="J748:J750" si="584">I748*F748</f>
        <v>675</v>
      </c>
      <c r="K748" s="884">
        <f t="shared" ref="K748:K750" si="585">$M$1</f>
        <v>358.32</v>
      </c>
      <c r="L748" s="885">
        <f t="shared" ref="L748:L750" si="586">J748/K748</f>
        <v>1.8837910247823175</v>
      </c>
      <c r="M748" s="915">
        <f>IF(SUM(L748)&gt;0,J748/H748,"")</f>
        <v>0.09</v>
      </c>
    </row>
    <row r="749" spans="2:13" x14ac:dyDescent="0.25">
      <c r="B749" s="887" t="s">
        <v>41</v>
      </c>
      <c r="C749" s="892">
        <f ca="1">IF(E749="","",MAX(INDIRECT(ADDRESS(ROW()-7,COLUMN())):INDIRECT(ADDRESS(ROW()-1,COLUMN())))+1)</f>
        <v>389</v>
      </c>
      <c r="D749" s="888" t="s">
        <v>1752</v>
      </c>
      <c r="E749" s="883" t="s">
        <v>7</v>
      </c>
      <c r="F749" s="884">
        <v>1</v>
      </c>
      <c r="G749" s="884">
        <v>15000</v>
      </c>
      <c r="H749" s="884">
        <f t="shared" si="583"/>
        <v>15000</v>
      </c>
      <c r="I749" s="884">
        <f>ROUND(9%*G749,1)</f>
        <v>1350</v>
      </c>
      <c r="J749" s="884">
        <f t="shared" si="584"/>
        <v>1350</v>
      </c>
      <c r="K749" s="884">
        <f t="shared" si="585"/>
        <v>358.32</v>
      </c>
      <c r="L749" s="885">
        <f t="shared" si="586"/>
        <v>3.767582049564635</v>
      </c>
      <c r="M749" s="915">
        <f>IF(SUM(L749)&gt;0,J749/H749,"")</f>
        <v>0.09</v>
      </c>
    </row>
    <row r="750" spans="2:13" x14ac:dyDescent="0.25">
      <c r="B750" s="887" t="s">
        <v>52</v>
      </c>
      <c r="C750" s="892">
        <f ca="1">IF(E750="","",MAX(INDIRECT(ADDRESS(ROW()-7,COLUMN())):INDIRECT(ADDRESS(ROW()-1,COLUMN())))+1)</f>
        <v>390</v>
      </c>
      <c r="D750" s="888" t="s">
        <v>1753</v>
      </c>
      <c r="E750" s="883" t="s">
        <v>24</v>
      </c>
      <c r="F750" s="884">
        <v>500</v>
      </c>
      <c r="G750" s="884">
        <v>22.5</v>
      </c>
      <c r="H750" s="884">
        <f t="shared" si="583"/>
        <v>11250</v>
      </c>
      <c r="I750" s="884">
        <f>_Mesh*0.9</f>
        <v>4.05</v>
      </c>
      <c r="J750" s="884">
        <f t="shared" si="584"/>
        <v>2025</v>
      </c>
      <c r="K750" s="884">
        <f t="shared" si="585"/>
        <v>358.32</v>
      </c>
      <c r="L750" s="885">
        <f t="shared" si="586"/>
        <v>5.6513730743469521</v>
      </c>
      <c r="M750" s="915">
        <f>IF(SUM(L750)&gt;0,J750/H750,"")</f>
        <v>0.18</v>
      </c>
    </row>
    <row r="751" spans="2:13" ht="25" x14ac:dyDescent="0.25">
      <c r="B751" s="887" t="s">
        <v>1748</v>
      </c>
      <c r="C751" s="892" t="str">
        <f ca="1">IF(E751="","",MAX(INDIRECT(ADDRESS(ROW()-7,COLUMN())):INDIRECT(ADDRESS(ROW()-1,COLUMN())))+1)</f>
        <v/>
      </c>
      <c r="D751" s="888" t="s">
        <v>1769</v>
      </c>
      <c r="E751" s="883"/>
      <c r="F751" s="884"/>
      <c r="G751" s="884"/>
      <c r="H751" s="884"/>
      <c r="I751" s="884"/>
      <c r="J751" s="884"/>
      <c r="K751" s="884"/>
      <c r="L751" s="885"/>
      <c r="M751" s="915"/>
    </row>
    <row r="752" spans="2:13" x14ac:dyDescent="0.25">
      <c r="B752" s="887" t="s">
        <v>41</v>
      </c>
      <c r="C752" s="892">
        <f ca="1">IF(E752="","",MAX(INDIRECT(ADDRESS(ROW()-7,COLUMN())):INDIRECT(ADDRESS(ROW()-1,COLUMN())))+1)</f>
        <v>391</v>
      </c>
      <c r="D752" s="888" t="s">
        <v>1752</v>
      </c>
      <c r="E752" s="883" t="s">
        <v>7</v>
      </c>
      <c r="F752" s="884">
        <v>0.22</v>
      </c>
      <c r="G752" s="884">
        <v>15000</v>
      </c>
      <c r="H752" s="884">
        <f t="shared" ref="H752" si="587">F752*G752</f>
        <v>3300</v>
      </c>
      <c r="I752" s="884">
        <f>ROUND(9%*G752,1)</f>
        <v>1350</v>
      </c>
      <c r="J752" s="884">
        <f t="shared" ref="J752" si="588">I752*F752</f>
        <v>297</v>
      </c>
      <c r="K752" s="884">
        <f>$M$1</f>
        <v>358.32</v>
      </c>
      <c r="L752" s="885">
        <f t="shared" ref="L752" si="589">J752/K752</f>
        <v>0.82886805090421967</v>
      </c>
      <c r="M752" s="915">
        <f>IF(SUM(L752)&gt;0,J752/H752,"")</f>
        <v>0.09</v>
      </c>
    </row>
    <row r="753" spans="2:13" ht="25" x14ac:dyDescent="0.25">
      <c r="B753" s="887" t="s">
        <v>1749</v>
      </c>
      <c r="C753" s="892" t="str">
        <f ca="1">IF(E753="","",MAX(INDIRECT(ADDRESS(ROW()-7,COLUMN())):INDIRECT(ADDRESS(ROW()-1,COLUMN())))+1)</f>
        <v/>
      </c>
      <c r="D753" s="888" t="s">
        <v>1770</v>
      </c>
      <c r="E753" s="883"/>
      <c r="F753" s="884"/>
      <c r="G753" s="884"/>
      <c r="H753" s="884"/>
      <c r="I753" s="884"/>
      <c r="J753" s="884"/>
      <c r="K753" s="884"/>
      <c r="L753" s="885"/>
      <c r="M753" s="915"/>
    </row>
    <row r="754" spans="2:13" x14ac:dyDescent="0.25">
      <c r="B754" s="887" t="s">
        <v>41</v>
      </c>
      <c r="C754" s="892">
        <f ca="1">IF(E754="","",MAX(INDIRECT(ADDRESS(ROW()-7,COLUMN())):INDIRECT(ADDRESS(ROW()-1,COLUMN())))+1)</f>
        <v>392</v>
      </c>
      <c r="D754" s="888" t="s">
        <v>1752</v>
      </c>
      <c r="E754" s="883" t="s">
        <v>7</v>
      </c>
      <c r="F754" s="884">
        <v>0.12</v>
      </c>
      <c r="G754" s="884">
        <v>15000</v>
      </c>
      <c r="H754" s="884">
        <f t="shared" ref="H754" si="590">F754*G754</f>
        <v>1800</v>
      </c>
      <c r="I754" s="884">
        <f>ROUND(9%*G754,1)</f>
        <v>1350</v>
      </c>
      <c r="J754" s="884">
        <f t="shared" ref="J754" si="591">I754*F754</f>
        <v>162</v>
      </c>
      <c r="K754" s="884">
        <f>$M$1</f>
        <v>358.32</v>
      </c>
      <c r="L754" s="885">
        <f t="shared" ref="L754" si="592">J754/K754</f>
        <v>0.45210984594775622</v>
      </c>
      <c r="M754" s="915">
        <f>IF(SUM(L754)&gt;0,J754/H754,"")</f>
        <v>0.09</v>
      </c>
    </row>
    <row r="755" spans="2:13" x14ac:dyDescent="0.25">
      <c r="B755" s="887"/>
      <c r="C755" s="892" t="str">
        <f ca="1">IF(E755="","",MAX(INDIRECT(ADDRESS(ROW()-7,COLUMN())):INDIRECT(ADDRESS(ROW()-1,COLUMN())))+1)</f>
        <v/>
      </c>
      <c r="D755" s="888"/>
      <c r="E755" s="883"/>
      <c r="F755" s="884"/>
      <c r="G755" s="884"/>
      <c r="H755" s="884"/>
      <c r="I755" s="884"/>
      <c r="J755" s="884"/>
      <c r="K755" s="884"/>
      <c r="L755" s="885"/>
      <c r="M755" s="915"/>
    </row>
    <row r="756" spans="2:13" ht="13" x14ac:dyDescent="0.25">
      <c r="B756" s="882" t="s">
        <v>323</v>
      </c>
      <c r="C756" s="911" t="str">
        <f ca="1">IF(E756="","",MAX(INDIRECT(ADDRESS(ROW()-7,COLUMN())):INDIRECT(ADDRESS(ROW()-1,COLUMN())))+1)</f>
        <v/>
      </c>
      <c r="D756" s="881" t="s">
        <v>324</v>
      </c>
      <c r="E756" s="883"/>
      <c r="F756" s="884"/>
      <c r="G756" s="884"/>
      <c r="H756" s="884"/>
      <c r="I756" s="884"/>
      <c r="J756" s="884"/>
      <c r="K756" s="884"/>
      <c r="L756" s="885"/>
      <c r="M756" s="915"/>
    </row>
    <row r="757" spans="2:13" ht="13" x14ac:dyDescent="0.25">
      <c r="B757" s="882" t="s">
        <v>328</v>
      </c>
      <c r="C757" s="911" t="str">
        <f ca="1">IF(E757="","",MAX(INDIRECT(ADDRESS(ROW()-7,COLUMN())):INDIRECT(ADDRESS(ROW()-1,COLUMN())))+1)</f>
        <v/>
      </c>
      <c r="D757" s="881" t="s">
        <v>1848</v>
      </c>
      <c r="E757" s="883"/>
      <c r="F757" s="884"/>
      <c r="G757" s="884"/>
      <c r="H757" s="884"/>
      <c r="I757" s="884"/>
      <c r="J757" s="884"/>
      <c r="K757" s="884"/>
      <c r="L757" s="885"/>
      <c r="M757" s="915"/>
    </row>
    <row r="758" spans="2:13" x14ac:dyDescent="0.25">
      <c r="B758" s="887" t="s">
        <v>329</v>
      </c>
      <c r="C758" s="892" t="str">
        <f ca="1">IF(E758="","",MAX(INDIRECT(ADDRESS(ROW()-7,COLUMN())):INDIRECT(ADDRESS(ROW()-1,COLUMN())))+1)</f>
        <v/>
      </c>
      <c r="D758" s="888" t="s">
        <v>325</v>
      </c>
      <c r="E758" s="883"/>
      <c r="F758" s="884"/>
      <c r="G758" s="884"/>
      <c r="H758" s="884"/>
      <c r="I758" s="884"/>
      <c r="J758" s="884"/>
      <c r="K758" s="884"/>
      <c r="L758" s="885"/>
      <c r="M758" s="915"/>
    </row>
    <row r="759" spans="2:13" x14ac:dyDescent="0.25">
      <c r="B759" s="887" t="s">
        <v>39</v>
      </c>
      <c r="C759" s="892">
        <f ca="1">IF(E759="","",MAX(INDIRECT(ADDRESS(ROW()-7,COLUMN())):INDIRECT(ADDRESS(ROW()-1,COLUMN())))+1)</f>
        <v>393</v>
      </c>
      <c r="D759" s="888" t="s">
        <v>2037</v>
      </c>
      <c r="E759" s="883" t="s">
        <v>799</v>
      </c>
      <c r="F759" s="884">
        <v>150</v>
      </c>
      <c r="G759" s="884">
        <v>2300</v>
      </c>
      <c r="H759" s="884">
        <f t="shared" ref="H759:H762" si="593">F759*G759</f>
        <v>345000</v>
      </c>
      <c r="I759" s="884">
        <f>ROUND(Labour_perc_roads*G759,1)</f>
        <v>66.7</v>
      </c>
      <c r="J759" s="884">
        <f t="shared" ref="J759:J762" si="594">I759*F759</f>
        <v>10005</v>
      </c>
      <c r="K759" s="884">
        <f t="shared" ref="K759:K762" si="595">$M$1</f>
        <v>358.32</v>
      </c>
      <c r="L759" s="885">
        <f t="shared" ref="L759:L762" si="596">J759/K759</f>
        <v>27.921969189551241</v>
      </c>
      <c r="M759" s="915">
        <f>IF(SUM(L759)&gt;0,J759/H759,"")</f>
        <v>2.9000000000000001E-2</v>
      </c>
    </row>
    <row r="760" spans="2:13" ht="25" x14ac:dyDescent="0.25">
      <c r="B760" s="887" t="s">
        <v>41</v>
      </c>
      <c r="C760" s="892">
        <f ca="1">IF(E760="","",MAX(INDIRECT(ADDRESS(ROW()-7,COLUMN())):INDIRECT(ADDRESS(ROW()-1,COLUMN())))+1)</f>
        <v>394</v>
      </c>
      <c r="D760" s="888" t="s">
        <v>2038</v>
      </c>
      <c r="E760" s="883" t="s">
        <v>799</v>
      </c>
      <c r="F760" s="884">
        <v>20</v>
      </c>
      <c r="G760" s="884">
        <v>2300</v>
      </c>
      <c r="H760" s="884">
        <f t="shared" si="593"/>
        <v>46000</v>
      </c>
      <c r="I760" s="884">
        <f>ROUND(Labour_perc_roads*G760,1)</f>
        <v>66.7</v>
      </c>
      <c r="J760" s="884">
        <f t="shared" si="594"/>
        <v>1334</v>
      </c>
      <c r="K760" s="884">
        <f t="shared" si="595"/>
        <v>358.32</v>
      </c>
      <c r="L760" s="885">
        <f t="shared" si="596"/>
        <v>3.7229292252734987</v>
      </c>
      <c r="M760" s="915">
        <f>IF(SUM(L760)&gt;0,J760/H760,"")</f>
        <v>2.9000000000000001E-2</v>
      </c>
    </row>
    <row r="761" spans="2:13" ht="25" x14ac:dyDescent="0.25">
      <c r="B761" s="887" t="s">
        <v>52</v>
      </c>
      <c r="C761" s="892">
        <f ca="1">IF(E761="","",MAX(INDIRECT(ADDRESS(ROW()-7,COLUMN())):INDIRECT(ADDRESS(ROW()-1,COLUMN())))+1)</f>
        <v>395</v>
      </c>
      <c r="D761" s="888" t="s">
        <v>2039</v>
      </c>
      <c r="E761" s="883" t="s">
        <v>799</v>
      </c>
      <c r="F761" s="884">
        <v>50</v>
      </c>
      <c r="G761" s="884">
        <v>2300</v>
      </c>
      <c r="H761" s="884">
        <f t="shared" si="593"/>
        <v>115000</v>
      </c>
      <c r="I761" s="884">
        <f>ROUND(Labour_perc_roads*G761,1)</f>
        <v>66.7</v>
      </c>
      <c r="J761" s="884">
        <f t="shared" si="594"/>
        <v>3335</v>
      </c>
      <c r="K761" s="884">
        <f t="shared" si="595"/>
        <v>358.32</v>
      </c>
      <c r="L761" s="885">
        <f t="shared" si="596"/>
        <v>9.3073230631837465</v>
      </c>
      <c r="M761" s="915">
        <f>IF(SUM(L761)&gt;0,J761/H761,"")</f>
        <v>2.9000000000000001E-2</v>
      </c>
    </row>
    <row r="762" spans="2:13" ht="25" x14ac:dyDescent="0.25">
      <c r="B762" s="887" t="s">
        <v>43</v>
      </c>
      <c r="C762" s="892">
        <f ca="1">IF(E762="","",MAX(INDIRECT(ADDRESS(ROW()-7,COLUMN())):INDIRECT(ADDRESS(ROW()-1,COLUMN())))+1)</f>
        <v>396</v>
      </c>
      <c r="D762" s="888" t="s">
        <v>2040</v>
      </c>
      <c r="E762" s="883" t="s">
        <v>799</v>
      </c>
      <c r="F762" s="884">
        <v>15</v>
      </c>
      <c r="G762" s="884">
        <v>2300</v>
      </c>
      <c r="H762" s="884">
        <f t="shared" si="593"/>
        <v>34500</v>
      </c>
      <c r="I762" s="884">
        <f>ROUND(Labour_perc_roads*G762,1)</f>
        <v>66.7</v>
      </c>
      <c r="J762" s="884">
        <f t="shared" si="594"/>
        <v>1000.5</v>
      </c>
      <c r="K762" s="884">
        <f t="shared" si="595"/>
        <v>358.32</v>
      </c>
      <c r="L762" s="885">
        <f t="shared" si="596"/>
        <v>2.7921969189551241</v>
      </c>
      <c r="M762" s="915">
        <f>IF(SUM(L762)&gt;0,J762/H762,"")</f>
        <v>2.9000000000000001E-2</v>
      </c>
    </row>
    <row r="763" spans="2:13" ht="39" x14ac:dyDescent="0.25">
      <c r="B763" s="882" t="s">
        <v>332</v>
      </c>
      <c r="C763" s="911" t="str">
        <f ca="1">IF(E763="","",MAX(INDIRECT(ADDRESS(ROW()-7,COLUMN())):INDIRECT(ADDRESS(ROW()-1,COLUMN())))+1)</f>
        <v/>
      </c>
      <c r="D763" s="881" t="s">
        <v>327</v>
      </c>
      <c r="E763" s="883"/>
      <c r="F763" s="884"/>
      <c r="G763" s="884"/>
      <c r="H763" s="884"/>
      <c r="I763" s="884"/>
      <c r="J763" s="884"/>
      <c r="K763" s="884"/>
      <c r="L763" s="885"/>
      <c r="M763" s="915"/>
    </row>
    <row r="764" spans="2:13" x14ac:dyDescent="0.25">
      <c r="B764" s="887" t="s">
        <v>333</v>
      </c>
      <c r="C764" s="892">
        <f ca="1">IF(E764="","",MAX(INDIRECT(ADDRESS(ROW()-7,COLUMN())):INDIRECT(ADDRESS(ROW()-1,COLUMN())))+1)</f>
        <v>397</v>
      </c>
      <c r="D764" s="888" t="s">
        <v>1724</v>
      </c>
      <c r="E764" s="883" t="s">
        <v>799</v>
      </c>
      <c r="F764" s="884">
        <v>250</v>
      </c>
      <c r="G764" s="884">
        <v>500</v>
      </c>
      <c r="H764" s="884">
        <f t="shared" ref="H764" si="597">F764*G764</f>
        <v>125000</v>
      </c>
      <c r="I764" s="884">
        <f>ROUND(Labour_perc_roads*G764,1)</f>
        <v>14.5</v>
      </c>
      <c r="J764" s="884">
        <f t="shared" ref="J764" si="598">I764*F764</f>
        <v>3625</v>
      </c>
      <c r="K764" s="884">
        <f>$M$1</f>
        <v>358.32</v>
      </c>
      <c r="L764" s="885">
        <f t="shared" ref="L764" si="599">J764/K764</f>
        <v>10.116655503460594</v>
      </c>
      <c r="M764" s="915">
        <f>IF(SUM(L764)&gt;0,J764/H764,"")</f>
        <v>2.9000000000000001E-2</v>
      </c>
    </row>
    <row r="765" spans="2:13" ht="26" x14ac:dyDescent="0.25">
      <c r="B765" s="882" t="s">
        <v>2036</v>
      </c>
      <c r="C765" s="911" t="str">
        <f ca="1">IF(E765="","",MAX(INDIRECT(ADDRESS(ROW()-7,COLUMN())):INDIRECT(ADDRESS(ROW()-1,COLUMN())))+1)</f>
        <v/>
      </c>
      <c r="D765" s="881" t="s">
        <v>188</v>
      </c>
      <c r="E765" s="883"/>
      <c r="F765" s="884"/>
      <c r="G765" s="884"/>
      <c r="H765" s="884"/>
      <c r="I765" s="884"/>
      <c r="J765" s="884"/>
      <c r="K765" s="884"/>
      <c r="L765" s="885"/>
      <c r="M765" s="915"/>
    </row>
    <row r="766" spans="2:13" x14ac:dyDescent="0.25">
      <c r="B766" s="887" t="s">
        <v>52</v>
      </c>
      <c r="C766" s="892">
        <f ca="1">IF(E766="","",MAX(INDIRECT(ADDRESS(ROW()-7,COLUMN())):INDIRECT(ADDRESS(ROW()-1,COLUMN())))+1)</f>
        <v>398</v>
      </c>
      <c r="D766" s="888" t="s">
        <v>190</v>
      </c>
      <c r="E766" s="883" t="s">
        <v>2170</v>
      </c>
      <c r="F766" s="884">
        <v>9200</v>
      </c>
      <c r="G766" s="884">
        <v>8</v>
      </c>
      <c r="H766" s="884">
        <f t="shared" ref="H766" si="600">F766*G766</f>
        <v>73600</v>
      </c>
      <c r="I766" s="884">
        <f>ROUND(Labour_perc_roads*G766,1)</f>
        <v>0.2</v>
      </c>
      <c r="J766" s="884">
        <f t="shared" ref="J766" si="601">I766*F766</f>
        <v>1840</v>
      </c>
      <c r="K766" s="884">
        <f>$M$1</f>
        <v>358.32</v>
      </c>
      <c r="L766" s="885">
        <f t="shared" ref="L766" si="602">J766/K766</f>
        <v>5.1350747934806877</v>
      </c>
      <c r="M766" s="915">
        <f>IF(SUM(L766)&gt;0,J766/H766,"")</f>
        <v>2.5000000000000001E-2</v>
      </c>
    </row>
    <row r="767" spans="2:13" x14ac:dyDescent="0.25">
      <c r="B767" s="887"/>
      <c r="C767" s="892" t="str">
        <f ca="1">IF(E767="","",MAX(INDIRECT(ADDRESS(ROW()-7,COLUMN())):INDIRECT(ADDRESS(ROW()-1,COLUMN())))+1)</f>
        <v/>
      </c>
      <c r="D767" s="888"/>
      <c r="E767" s="883"/>
      <c r="F767" s="884"/>
      <c r="G767" s="884"/>
      <c r="H767" s="884"/>
      <c r="I767" s="884"/>
      <c r="J767" s="884"/>
      <c r="K767" s="884"/>
      <c r="L767" s="885"/>
      <c r="M767" s="915"/>
    </row>
    <row r="768" spans="2:13" ht="13" x14ac:dyDescent="0.25">
      <c r="B768" s="882" t="s">
        <v>345</v>
      </c>
      <c r="C768" s="911" t="str">
        <f ca="1">IF(E768="","",MAX(INDIRECT(ADDRESS(ROW()-7,COLUMN())):INDIRECT(ADDRESS(ROW()-1,COLUMN())))+1)</f>
        <v/>
      </c>
      <c r="D768" s="881" t="s">
        <v>344</v>
      </c>
      <c r="E768" s="883"/>
      <c r="F768" s="884"/>
      <c r="G768" s="884"/>
      <c r="H768" s="884"/>
      <c r="I768" s="884"/>
      <c r="J768" s="884"/>
      <c r="K768" s="884"/>
      <c r="L768" s="885"/>
      <c r="M768" s="915"/>
    </row>
    <row r="769" spans="2:13" ht="13" x14ac:dyDescent="0.25">
      <c r="B769" s="882" t="s">
        <v>353</v>
      </c>
      <c r="C769" s="911" t="str">
        <f ca="1">IF(E769="","",MAX(INDIRECT(ADDRESS(ROW()-7,COLUMN())):INDIRECT(ADDRESS(ROW()-1,COLUMN())))+1)</f>
        <v/>
      </c>
      <c r="D769" s="881" t="s">
        <v>348</v>
      </c>
      <c r="E769" s="883"/>
      <c r="F769" s="884"/>
      <c r="G769" s="884"/>
      <c r="H769" s="884"/>
      <c r="I769" s="884"/>
      <c r="J769" s="884"/>
      <c r="K769" s="884"/>
      <c r="L769" s="885"/>
      <c r="M769" s="915"/>
    </row>
    <row r="770" spans="2:13" ht="25" x14ac:dyDescent="0.25">
      <c r="B770" s="887" t="s">
        <v>352</v>
      </c>
      <c r="C770" s="892">
        <f ca="1">IF(E770="","",MAX(INDIRECT(ADDRESS(ROW()-7,COLUMN())):INDIRECT(ADDRESS(ROW()-1,COLUMN())))+1)</f>
        <v>399</v>
      </c>
      <c r="D770" s="888" t="s">
        <v>1762</v>
      </c>
      <c r="E770" s="883" t="s">
        <v>555</v>
      </c>
      <c r="F770" s="884">
        <v>6.3</v>
      </c>
      <c r="G770" s="884">
        <v>500</v>
      </c>
      <c r="H770" s="884">
        <f t="shared" ref="H770:H771" si="603">F770*G770</f>
        <v>3150</v>
      </c>
      <c r="I770" s="884">
        <f>ROUND(6%*G770,1)</f>
        <v>30</v>
      </c>
      <c r="J770" s="884">
        <f t="shared" ref="J770:J771" si="604">I770*F770</f>
        <v>189</v>
      </c>
      <c r="K770" s="884">
        <f>$M$1</f>
        <v>358.32</v>
      </c>
      <c r="L770" s="885">
        <f t="shared" ref="L770:L771" si="605">J770/K770</f>
        <v>0.52746148693904893</v>
      </c>
      <c r="M770" s="915">
        <f>IF(SUM(L770)&gt;0,J770/H770,"")</f>
        <v>0.06</v>
      </c>
    </row>
    <row r="771" spans="2:13" ht="25" x14ac:dyDescent="0.25">
      <c r="B771" s="887" t="s">
        <v>354</v>
      </c>
      <c r="C771" s="892">
        <f ca="1">IF(E771="","",MAX(INDIRECT(ADDRESS(ROW()-7,COLUMN())):INDIRECT(ADDRESS(ROW()-1,COLUMN())))+1)</f>
        <v>400</v>
      </c>
      <c r="D771" s="888" t="s">
        <v>1763</v>
      </c>
      <c r="E771" s="883" t="s">
        <v>6</v>
      </c>
      <c r="F771" s="884">
        <v>4.9000000000000004</v>
      </c>
      <c r="G771" s="884">
        <v>120</v>
      </c>
      <c r="H771" s="884">
        <f t="shared" si="603"/>
        <v>588</v>
      </c>
      <c r="I771" s="884">
        <f>ROUND(6%*G771,1)</f>
        <v>7.2</v>
      </c>
      <c r="J771" s="884">
        <f t="shared" si="604"/>
        <v>35.28</v>
      </c>
      <c r="K771" s="884">
        <f>$M$1</f>
        <v>358.32</v>
      </c>
      <c r="L771" s="885">
        <f t="shared" si="605"/>
        <v>9.8459477561955805E-2</v>
      </c>
      <c r="M771" s="915">
        <f>IF(SUM(L771)&gt;0,J771/H771,"")</f>
        <v>6.0000000000000005E-2</v>
      </c>
    </row>
    <row r="772" spans="2:13" ht="13" x14ac:dyDescent="0.25">
      <c r="B772" s="882" t="s">
        <v>357</v>
      </c>
      <c r="C772" s="911" t="str">
        <f ca="1">IF(E772="","",MAX(INDIRECT(ADDRESS(ROW()-7,COLUMN())):INDIRECT(ADDRESS(ROW()-1,COLUMN())))+1)</f>
        <v/>
      </c>
      <c r="D772" s="881" t="s">
        <v>350</v>
      </c>
      <c r="E772" s="883"/>
      <c r="F772" s="884"/>
      <c r="G772" s="884"/>
      <c r="H772" s="884"/>
      <c r="I772" s="884"/>
      <c r="J772" s="884"/>
      <c r="K772" s="884"/>
      <c r="L772" s="885"/>
      <c r="M772" s="915"/>
    </row>
    <row r="773" spans="2:13" ht="25" x14ac:dyDescent="0.25">
      <c r="B773" s="887" t="s">
        <v>358</v>
      </c>
      <c r="C773" s="892" t="str">
        <f ca="1">IF(E773="","",MAX(INDIRECT(ADDRESS(ROW()-7,COLUMN())):INDIRECT(ADDRESS(ROW()-1,COLUMN())))+1)</f>
        <v/>
      </c>
      <c r="D773" s="888" t="s">
        <v>2150</v>
      </c>
      <c r="E773" s="883"/>
      <c r="F773" s="884"/>
      <c r="G773" s="884"/>
      <c r="H773" s="884"/>
      <c r="I773" s="884"/>
      <c r="J773" s="884"/>
      <c r="K773" s="884"/>
      <c r="L773" s="885"/>
      <c r="M773" s="915"/>
    </row>
    <row r="774" spans="2:13" x14ac:dyDescent="0.25">
      <c r="B774" s="887" t="s">
        <v>39</v>
      </c>
      <c r="C774" s="892">
        <f ca="1">IF(E774="","",MAX(INDIRECT(ADDRESS(ROW()-7,COLUMN())):INDIRECT(ADDRESS(ROW()-1,COLUMN())))+1)</f>
        <v>401</v>
      </c>
      <c r="D774" s="888" t="s">
        <v>1760</v>
      </c>
      <c r="E774" s="883" t="s">
        <v>6</v>
      </c>
      <c r="F774" s="884">
        <v>12</v>
      </c>
      <c r="G774" s="884">
        <v>65</v>
      </c>
      <c r="H774" s="884">
        <f t="shared" ref="H774:H775" si="606">F774*G774</f>
        <v>780</v>
      </c>
      <c r="I774" s="884">
        <f>ROUND(6%*G774,1)</f>
        <v>3.9</v>
      </c>
      <c r="J774" s="884">
        <f t="shared" ref="J774:J775" si="607">I774*F774</f>
        <v>46.8</v>
      </c>
      <c r="K774" s="884">
        <f>$M$1</f>
        <v>358.32</v>
      </c>
      <c r="L774" s="885">
        <f t="shared" ref="L774:L775" si="608">J774/K774</f>
        <v>0.13060951105157401</v>
      </c>
      <c r="M774" s="915">
        <f>IF(SUM(L774)&gt;0,J774/H774,"")</f>
        <v>0.06</v>
      </c>
    </row>
    <row r="775" spans="2:13" x14ac:dyDescent="0.25">
      <c r="B775" s="887" t="s">
        <v>41</v>
      </c>
      <c r="C775" s="892">
        <f ca="1">IF(E775="","",MAX(INDIRECT(ADDRESS(ROW()-7,COLUMN())):INDIRECT(ADDRESS(ROW()-1,COLUMN())))+1)</f>
        <v>402</v>
      </c>
      <c r="D775" s="888" t="s">
        <v>1761</v>
      </c>
      <c r="E775" s="883" t="s">
        <v>6</v>
      </c>
      <c r="F775" s="884">
        <v>31</v>
      </c>
      <c r="G775" s="884">
        <v>65</v>
      </c>
      <c r="H775" s="884">
        <f t="shared" si="606"/>
        <v>2015</v>
      </c>
      <c r="I775" s="884">
        <f>ROUND(6%*G775,1)</f>
        <v>3.9</v>
      </c>
      <c r="J775" s="884">
        <f t="shared" si="607"/>
        <v>120.89999999999999</v>
      </c>
      <c r="K775" s="884">
        <f>$M$1</f>
        <v>358.32</v>
      </c>
      <c r="L775" s="885">
        <f t="shared" si="608"/>
        <v>0.33740790354989952</v>
      </c>
      <c r="M775" s="915">
        <f>IF(SUM(L775)&gt;0,J775/H775,"")</f>
        <v>0.06</v>
      </c>
    </row>
    <row r="776" spans="2:13" ht="39" x14ac:dyDescent="0.25">
      <c r="B776" s="882" t="s">
        <v>1900</v>
      </c>
      <c r="C776" s="911" t="str">
        <f ca="1">IF(E776="","",MAX(INDIRECT(ADDRESS(ROW()-7,COLUMN())):INDIRECT(ADDRESS(ROW()-1,COLUMN())))+1)</f>
        <v/>
      </c>
      <c r="D776" s="881" t="s">
        <v>1768</v>
      </c>
      <c r="E776" s="883"/>
      <c r="F776" s="884"/>
      <c r="G776" s="884"/>
      <c r="H776" s="884"/>
      <c r="I776" s="884">
        <f t="shared" ref="I776" si="609">IF(B776="","",ROUND(Labour_perc_structures*F776,1))</f>
        <v>0</v>
      </c>
      <c r="J776" s="884"/>
      <c r="K776" s="884"/>
      <c r="L776" s="885"/>
      <c r="M776" s="915"/>
    </row>
    <row r="777" spans="2:13" x14ac:dyDescent="0.25">
      <c r="B777" s="887" t="s">
        <v>39</v>
      </c>
      <c r="C777" s="892">
        <f ca="1">IF(E777="","",MAX(INDIRECT(ADDRESS(ROW()-7,COLUMN())):INDIRECT(ADDRESS(ROW()-1,COLUMN())))+1)</f>
        <v>403</v>
      </c>
      <c r="D777" s="888" t="s">
        <v>1771</v>
      </c>
      <c r="E777" s="883" t="s">
        <v>6</v>
      </c>
      <c r="F777" s="884">
        <v>8</v>
      </c>
      <c r="G777" s="884">
        <v>400</v>
      </c>
      <c r="H777" s="884">
        <f t="shared" ref="H777" si="610">F777*G777</f>
        <v>3200</v>
      </c>
      <c r="I777" s="884">
        <f>ROUND(6%*G777,1)</f>
        <v>24</v>
      </c>
      <c r="J777" s="884">
        <f t="shared" ref="J777" si="611">I777*F777</f>
        <v>192</v>
      </c>
      <c r="K777" s="884">
        <f>$M$1</f>
        <v>358.32</v>
      </c>
      <c r="L777" s="885">
        <f t="shared" ref="L777" si="612">J777/K777</f>
        <v>0.53583389149363703</v>
      </c>
      <c r="M777" s="915">
        <f>IF(SUM(L777)&gt;0,J777/H777,"")</f>
        <v>0.06</v>
      </c>
    </row>
    <row r="778" spans="2:13" x14ac:dyDescent="0.25">
      <c r="B778" s="887"/>
      <c r="C778" s="892" t="str">
        <f ca="1">IF(E778="","",MAX(INDIRECT(ADDRESS(ROW()-7,COLUMN())):INDIRECT(ADDRESS(ROW()-1,COLUMN())))+1)</f>
        <v/>
      </c>
      <c r="D778" s="888"/>
      <c r="E778" s="883"/>
      <c r="F778" s="884"/>
      <c r="G778" s="884"/>
      <c r="H778" s="884"/>
      <c r="I778" s="884"/>
      <c r="J778" s="884"/>
      <c r="K778" s="884"/>
      <c r="L778" s="885"/>
      <c r="M778" s="915"/>
    </row>
    <row r="779" spans="2:13" ht="13" x14ac:dyDescent="0.25">
      <c r="B779" s="882" t="s">
        <v>359</v>
      </c>
      <c r="C779" s="911" t="str">
        <f ca="1">IF(E779="","",MAX(INDIRECT(ADDRESS(ROW()-7,COLUMN())):INDIRECT(ADDRESS(ROW()-1,COLUMN())))+1)</f>
        <v/>
      </c>
      <c r="D779" s="881" t="s">
        <v>360</v>
      </c>
      <c r="E779" s="883"/>
      <c r="F779" s="884"/>
      <c r="G779" s="884"/>
      <c r="H779" s="884"/>
      <c r="I779" s="884"/>
      <c r="J779" s="884"/>
      <c r="K779" s="884"/>
      <c r="L779" s="885"/>
      <c r="M779" s="915"/>
    </row>
    <row r="780" spans="2:13" ht="13" x14ac:dyDescent="0.25">
      <c r="B780" s="882" t="s">
        <v>1890</v>
      </c>
      <c r="C780" s="911" t="str">
        <f ca="1">IF(E780="","",MAX(INDIRECT(ADDRESS(ROW()-7,COLUMN())):INDIRECT(ADDRESS(ROW()-1,COLUMN())))+1)</f>
        <v/>
      </c>
      <c r="D780" s="881" t="s">
        <v>364</v>
      </c>
      <c r="E780" s="883"/>
      <c r="F780" s="884"/>
      <c r="G780" s="884"/>
      <c r="H780" s="884"/>
      <c r="I780" s="884"/>
      <c r="J780" s="884"/>
      <c r="K780" s="884"/>
      <c r="L780" s="885"/>
      <c r="M780" s="915"/>
    </row>
    <row r="781" spans="2:13" x14ac:dyDescent="0.25">
      <c r="B781" s="887" t="s">
        <v>370</v>
      </c>
      <c r="C781" s="892">
        <f ca="1">IF(E781="","",MAX(INDIRECT(ADDRESS(ROW()-7,COLUMN())):INDIRECT(ADDRESS(ROW()-1,COLUMN())))+1)</f>
        <v>404</v>
      </c>
      <c r="D781" s="888" t="s">
        <v>1957</v>
      </c>
      <c r="E781" s="883" t="s">
        <v>34</v>
      </c>
      <c r="F781" s="884">
        <v>1</v>
      </c>
      <c r="G781" s="884">
        <v>6000</v>
      </c>
      <c r="H781" s="884">
        <f t="shared" ref="H781" si="613">F781*G781</f>
        <v>6000</v>
      </c>
      <c r="I781" s="884">
        <f>ROUND(12%*G781,1)</f>
        <v>720</v>
      </c>
      <c r="J781" s="884">
        <f t="shared" ref="J781" si="614">I781*F781</f>
        <v>720</v>
      </c>
      <c r="K781" s="884">
        <f>$M$1</f>
        <v>358.32</v>
      </c>
      <c r="L781" s="885">
        <f t="shared" ref="L781" si="615">J781/K781</f>
        <v>2.0093770931011385</v>
      </c>
      <c r="M781" s="915">
        <f>IF(SUM(L781)&gt;0,J781/H781,"")</f>
        <v>0.12</v>
      </c>
    </row>
    <row r="782" spans="2:13" x14ac:dyDescent="0.25">
      <c r="B782" s="887" t="s">
        <v>371</v>
      </c>
      <c r="C782" s="892" t="str">
        <f ca="1">IF(E782="","",MAX(INDIRECT(ADDRESS(ROW()-7,COLUMN())):INDIRECT(ADDRESS(ROW()-1,COLUMN())))+1)</f>
        <v/>
      </c>
      <c r="D782" s="888" t="s">
        <v>365</v>
      </c>
      <c r="E782" s="883"/>
      <c r="F782" s="884"/>
      <c r="G782" s="884"/>
      <c r="H782" s="884"/>
      <c r="I782" s="884"/>
      <c r="J782" s="884"/>
      <c r="K782" s="884"/>
      <c r="L782" s="885"/>
      <c r="M782" s="915"/>
    </row>
    <row r="783" spans="2:13" x14ac:dyDescent="0.25">
      <c r="B783" s="887" t="s">
        <v>373</v>
      </c>
      <c r="C783" s="892" t="str">
        <f ca="1">IF(E783="","",MAX(INDIRECT(ADDRESS(ROW()-7,COLUMN())):INDIRECT(ADDRESS(ROW()-1,COLUMN())))+1)</f>
        <v/>
      </c>
      <c r="D783" s="888" t="s">
        <v>367</v>
      </c>
      <c r="E783" s="883"/>
      <c r="F783" s="884"/>
      <c r="G783" s="884"/>
      <c r="H783" s="884"/>
      <c r="I783" s="884"/>
      <c r="J783" s="884"/>
      <c r="K783" s="884"/>
      <c r="L783" s="885"/>
      <c r="M783" s="915"/>
    </row>
    <row r="784" spans="2:13" x14ac:dyDescent="0.25">
      <c r="B784" s="887" t="s">
        <v>39</v>
      </c>
      <c r="C784" s="892">
        <f ca="1">IF(E784="","",MAX(INDIRECT(ADDRESS(ROW()-7,COLUMN())):INDIRECT(ADDRESS(ROW()-1,COLUMN())))+1)</f>
        <v>405</v>
      </c>
      <c r="D784" s="888" t="s">
        <v>1727</v>
      </c>
      <c r="E784" s="883" t="s">
        <v>6</v>
      </c>
      <c r="F784" s="884">
        <v>92</v>
      </c>
      <c r="G784" s="884">
        <v>75</v>
      </c>
      <c r="H784" s="884">
        <f t="shared" ref="H784" si="616">F784*G784</f>
        <v>6900</v>
      </c>
      <c r="I784" s="884">
        <f>ROUND(12%*G784,1)</f>
        <v>9</v>
      </c>
      <c r="J784" s="884">
        <f t="shared" ref="J784" si="617">I784*F784</f>
        <v>828</v>
      </c>
      <c r="K784" s="884">
        <f>$M$1</f>
        <v>358.32</v>
      </c>
      <c r="L784" s="885">
        <f t="shared" ref="L784" si="618">J784/K784</f>
        <v>2.3107836570663096</v>
      </c>
      <c r="M784" s="915">
        <f>IF(SUM(L784)&gt;0,J784/H784,"")</f>
        <v>0.12</v>
      </c>
    </row>
    <row r="785" spans="2:15" ht="13" x14ac:dyDescent="0.25">
      <c r="B785" s="882" t="s">
        <v>1897</v>
      </c>
      <c r="C785" s="911" t="str">
        <f ca="1">IF(E785="","",MAX(INDIRECT(ADDRESS(ROW()-7,COLUMN())):INDIRECT(ADDRESS(ROW()-1,COLUMN())))+1)</f>
        <v/>
      </c>
      <c r="D785" s="881" t="s">
        <v>1728</v>
      </c>
      <c r="E785" s="883"/>
      <c r="F785" s="884"/>
      <c r="G785" s="884"/>
      <c r="H785" s="884"/>
      <c r="I785" s="884"/>
      <c r="J785" s="884"/>
      <c r="K785" s="884"/>
      <c r="L785" s="885"/>
      <c r="M785" s="915"/>
    </row>
    <row r="786" spans="2:15" ht="25" x14ac:dyDescent="0.25">
      <c r="B786" s="887" t="s">
        <v>39</v>
      </c>
      <c r="C786" s="892">
        <f ca="1">IF(E786="","",MAX(INDIRECT(ADDRESS(ROW()-7,COLUMN())):INDIRECT(ADDRESS(ROW()-1,COLUMN())))+1)</f>
        <v>406</v>
      </c>
      <c r="D786" s="888" t="s">
        <v>1764</v>
      </c>
      <c r="E786" s="883" t="s">
        <v>555</v>
      </c>
      <c r="F786" s="884">
        <v>250</v>
      </c>
      <c r="G786" s="884">
        <v>20</v>
      </c>
      <c r="H786" s="884">
        <f t="shared" ref="H786:H788" si="619">F786*G786</f>
        <v>5000</v>
      </c>
      <c r="I786" s="884">
        <f>ROUND(12%*G786,1)</f>
        <v>2.4</v>
      </c>
      <c r="J786" s="884">
        <f t="shared" ref="J786:J788" si="620">I786*F786</f>
        <v>600</v>
      </c>
      <c r="K786" s="884">
        <f>$M$1</f>
        <v>358.32</v>
      </c>
      <c r="L786" s="885">
        <f t="shared" ref="L786:L788" si="621">J786/K786</f>
        <v>1.6744809109176155</v>
      </c>
      <c r="M786" s="915">
        <f>IF(SUM(L786)&gt;0,J786/H786,"")</f>
        <v>0.12</v>
      </c>
    </row>
    <row r="787" spans="2:15" ht="25" x14ac:dyDescent="0.25">
      <c r="B787" s="887" t="s">
        <v>41</v>
      </c>
      <c r="C787" s="892">
        <f ca="1">IF(E787="","",MAX(INDIRECT(ADDRESS(ROW()-7,COLUMN())):INDIRECT(ADDRESS(ROW()-1,COLUMN())))+1)</f>
        <v>407</v>
      </c>
      <c r="D787" s="888" t="s">
        <v>1765</v>
      </c>
      <c r="E787" s="883" t="s">
        <v>555</v>
      </c>
      <c r="F787" s="884">
        <v>6</v>
      </c>
      <c r="G787" s="884">
        <v>30</v>
      </c>
      <c r="H787" s="884">
        <f t="shared" si="619"/>
        <v>180</v>
      </c>
      <c r="I787" s="884">
        <f>ROUND(12%*G787,1)</f>
        <v>3.6</v>
      </c>
      <c r="J787" s="884">
        <f t="shared" si="620"/>
        <v>21.6</v>
      </c>
      <c r="K787" s="884">
        <f>$M$1</f>
        <v>358.32</v>
      </c>
      <c r="L787" s="885">
        <f t="shared" si="621"/>
        <v>6.0281312793034163E-2</v>
      </c>
      <c r="M787" s="915">
        <f>IF(SUM(L787)&gt;0,J787/H787,"")</f>
        <v>0.12000000000000001</v>
      </c>
    </row>
    <row r="788" spans="2:15" x14ac:dyDescent="0.25">
      <c r="B788" s="887" t="s">
        <v>52</v>
      </c>
      <c r="C788" s="892">
        <f ca="1">IF(E788="","",MAX(INDIRECT(ADDRESS(ROW()-7,COLUMN())):INDIRECT(ADDRESS(ROW()-1,COLUMN())))+1)</f>
        <v>408</v>
      </c>
      <c r="D788" s="888" t="s">
        <v>1766</v>
      </c>
      <c r="E788" s="883" t="s">
        <v>555</v>
      </c>
      <c r="F788" s="884">
        <v>140</v>
      </c>
      <c r="G788" s="884">
        <v>20</v>
      </c>
      <c r="H788" s="884">
        <f t="shared" si="619"/>
        <v>2800</v>
      </c>
      <c r="I788" s="884">
        <f>ROUND(12%*G788,1)</f>
        <v>2.4</v>
      </c>
      <c r="J788" s="884">
        <f t="shared" si="620"/>
        <v>336</v>
      </c>
      <c r="K788" s="884">
        <f>$M$1</f>
        <v>358.32</v>
      </c>
      <c r="L788" s="885">
        <f t="shared" si="621"/>
        <v>0.93770931011386471</v>
      </c>
      <c r="M788" s="915">
        <f>IF(SUM(L788)&gt;0,J788/H788,"")</f>
        <v>0.12</v>
      </c>
    </row>
    <row r="789" spans="2:15" ht="13" x14ac:dyDescent="0.25">
      <c r="B789" s="882" t="s">
        <v>374</v>
      </c>
      <c r="C789" s="911" t="str">
        <f ca="1">IF(E789="","",MAX(INDIRECT(ADDRESS(ROW()-7,COLUMN())):INDIRECT(ADDRESS(ROW()-1,COLUMN())))+1)</f>
        <v/>
      </c>
      <c r="D789" s="881" t="s">
        <v>1847</v>
      </c>
      <c r="E789" s="883"/>
      <c r="F789" s="884"/>
      <c r="G789" s="884"/>
      <c r="H789" s="884"/>
      <c r="I789" s="884"/>
      <c r="J789" s="884"/>
      <c r="K789" s="884"/>
      <c r="L789" s="885"/>
      <c r="M789" s="915"/>
    </row>
    <row r="790" spans="2:15" ht="37.5" x14ac:dyDescent="0.25">
      <c r="B790" s="887" t="s">
        <v>39</v>
      </c>
      <c r="C790" s="892">
        <f ca="1">IF(E790="","",MAX(INDIRECT(ADDRESS(ROW()-7,COLUMN())):INDIRECT(ADDRESS(ROW()-1,COLUMN())))+1)</f>
        <v>409</v>
      </c>
      <c r="D790" s="888" t="s">
        <v>1730</v>
      </c>
      <c r="E790" s="883" t="s">
        <v>6</v>
      </c>
      <c r="F790" s="884">
        <v>161</v>
      </c>
      <c r="G790" s="884">
        <v>62</v>
      </c>
      <c r="H790" s="884">
        <f t="shared" ref="H790" si="622">F790*G790</f>
        <v>9982</v>
      </c>
      <c r="I790" s="884">
        <f>ROUND(12%*G790,1)</f>
        <v>7.4</v>
      </c>
      <c r="J790" s="884">
        <f t="shared" ref="J790" si="623">I790*F790</f>
        <v>1191.4000000000001</v>
      </c>
      <c r="K790" s="884">
        <f>$M$1</f>
        <v>358.32</v>
      </c>
      <c r="L790" s="885">
        <f t="shared" ref="L790" si="624">J790/K790</f>
        <v>3.3249609287787454</v>
      </c>
      <c r="M790" s="915">
        <f>IF(SUM(L790)&gt;0,J790/H790,"")</f>
        <v>0.11935483870967743</v>
      </c>
    </row>
    <row r="791" spans="2:15" ht="13" x14ac:dyDescent="0.25">
      <c r="B791" s="882" t="s">
        <v>1898</v>
      </c>
      <c r="C791" s="911" t="str">
        <f ca="1">IF(E791="","",MAX(INDIRECT(ADDRESS(ROW()-7,COLUMN())):INDIRECT(ADDRESS(ROW()-1,COLUMN())))+1)</f>
        <v/>
      </c>
      <c r="D791" s="881" t="s">
        <v>368</v>
      </c>
      <c r="E791" s="883"/>
      <c r="F791" s="884"/>
      <c r="G791" s="884"/>
      <c r="H791" s="884"/>
      <c r="I791" s="884"/>
      <c r="J791" s="884"/>
      <c r="K791" s="884"/>
      <c r="L791" s="885"/>
      <c r="M791" s="915"/>
    </row>
    <row r="792" spans="2:15" ht="62.5" x14ac:dyDescent="0.25">
      <c r="B792" s="887" t="s">
        <v>375</v>
      </c>
      <c r="C792" s="892">
        <f ca="1">IF(E792="","",MAX(INDIRECT(ADDRESS(ROW()-7,COLUMN())):INDIRECT(ADDRESS(ROW()-1,COLUMN())))+1)</f>
        <v>410</v>
      </c>
      <c r="D792" s="888" t="s">
        <v>2052</v>
      </c>
      <c r="E792" s="883" t="s">
        <v>6</v>
      </c>
      <c r="F792" s="884">
        <v>54</v>
      </c>
      <c r="G792" s="884">
        <v>150</v>
      </c>
      <c r="H792" s="884">
        <f t="shared" ref="H792" si="625">F792*G792</f>
        <v>8100</v>
      </c>
      <c r="I792" s="884">
        <f>ROUND(12%*G792,1)</f>
        <v>18</v>
      </c>
      <c r="J792" s="884">
        <f t="shared" ref="J792" si="626">I792*F792</f>
        <v>972</v>
      </c>
      <c r="K792" s="884">
        <f>$M$1</f>
        <v>358.32</v>
      </c>
      <c r="L792" s="885">
        <f t="shared" ref="L792" si="627">J792/K792</f>
        <v>2.7126590756865374</v>
      </c>
      <c r="M792" s="915">
        <f>IF(SUM(L792)&gt;0,J792/H792,"")</f>
        <v>0.12</v>
      </c>
    </row>
    <row r="793" spans="2:15" x14ac:dyDescent="0.25">
      <c r="B793" s="887"/>
      <c r="C793" s="892" t="str">
        <f ca="1">IF(E793="","",MAX(INDIRECT(ADDRESS(ROW()-7,COLUMN())):INDIRECT(ADDRESS(ROW()-1,COLUMN())))+1)</f>
        <v/>
      </c>
      <c r="D793" s="888"/>
      <c r="E793" s="883"/>
      <c r="F793" s="884"/>
      <c r="G793" s="884"/>
      <c r="H793" s="884"/>
      <c r="I793" s="884"/>
      <c r="J793" s="884"/>
      <c r="K793" s="884"/>
      <c r="L793" s="885"/>
      <c r="M793" s="915"/>
    </row>
    <row r="794" spans="2:15" ht="26" x14ac:dyDescent="0.25">
      <c r="B794" s="891" t="s">
        <v>2240</v>
      </c>
      <c r="C794" s="919"/>
      <c r="D794" s="910" t="s">
        <v>781</v>
      </c>
      <c r="E794" s="920"/>
      <c r="F794" s="921"/>
      <c r="G794" s="921"/>
      <c r="H794" s="921"/>
      <c r="I794" s="921"/>
      <c r="J794" s="921"/>
      <c r="K794" s="921"/>
      <c r="L794" s="922"/>
      <c r="M794" s="923" t="str">
        <f>IF(SUM(L794)&gt;0,J794/H794,"")</f>
        <v/>
      </c>
    </row>
    <row r="795" spans="2:15" x14ac:dyDescent="0.25">
      <c r="B795" s="887" t="s">
        <v>2243</v>
      </c>
      <c r="C795" s="892">
        <f ca="1">IF(E795="","",MAX(INDIRECT(ADDRESS(ROW()-7,COLUMN())):INDIRECT(ADDRESS(ROW()-1,COLUMN())))+1)</f>
        <v>411</v>
      </c>
      <c r="D795" s="888" t="s">
        <v>1990</v>
      </c>
      <c r="E795" s="883" t="s">
        <v>557</v>
      </c>
      <c r="F795" s="884">
        <v>100000</v>
      </c>
      <c r="G795" s="884">
        <v>1</v>
      </c>
      <c r="H795" s="884">
        <f t="shared" ref="H795" si="628">F795*G795</f>
        <v>100000</v>
      </c>
      <c r="I795" s="884">
        <v>1</v>
      </c>
      <c r="J795" s="884">
        <f>I795*F795</f>
        <v>100000</v>
      </c>
      <c r="K795" s="884">
        <f>$M$1</f>
        <v>358.32</v>
      </c>
      <c r="L795" s="885">
        <f>J795/K795</f>
        <v>279.08015181960258</v>
      </c>
      <c r="M795" s="915">
        <f>IF(SUM(L795)&gt;0,J795/H795,"")</f>
        <v>1</v>
      </c>
    </row>
    <row r="796" spans="2:15" x14ac:dyDescent="0.25">
      <c r="B796" s="887"/>
      <c r="C796" s="892" t="str">
        <f ca="1">IF(E796="","",MAX(INDIRECT(ADDRESS(ROW()-7,COLUMN())):INDIRECT(ADDRESS(ROW()-1,COLUMN())))+1)</f>
        <v/>
      </c>
      <c r="D796" s="893"/>
      <c r="E796" s="894"/>
      <c r="F796" s="895"/>
      <c r="G796" s="895"/>
      <c r="H796" s="895"/>
      <c r="I796" s="895"/>
      <c r="J796" s="895"/>
      <c r="K796" s="896"/>
      <c r="L796" s="885"/>
      <c r="M796" s="887"/>
    </row>
    <row r="797" spans="2:15" ht="13" x14ac:dyDescent="0.25">
      <c r="B797" s="887"/>
      <c r="C797" s="892" t="str">
        <f ca="1">IF(E797="","",MAX(INDIRECT(ADDRESS(ROW()-7,COLUMN())):INDIRECT(ADDRESS(ROW()-1,COLUMN())))+1)</f>
        <v/>
      </c>
      <c r="D797" s="897" t="s">
        <v>1991</v>
      </c>
      <c r="E797" s="894"/>
      <c r="F797" s="895"/>
      <c r="G797" s="895"/>
      <c r="H797" s="895"/>
      <c r="I797" s="895"/>
      <c r="J797" s="895"/>
      <c r="K797" s="896"/>
      <c r="L797" s="898">
        <f>SUM(L3:L796)</f>
        <v>12584.539628584178</v>
      </c>
      <c r="M797" s="887"/>
      <c r="N797" s="899">
        <f>$L$797/$H$2</f>
        <v>1573.0674535730222</v>
      </c>
      <c r="O797" s="890" t="s">
        <v>1992</v>
      </c>
    </row>
    <row r="798" spans="2:15" ht="13" x14ac:dyDescent="0.25">
      <c r="B798" s="887"/>
      <c r="C798" s="892"/>
      <c r="D798" s="893" t="s">
        <v>1993</v>
      </c>
      <c r="E798" s="894"/>
      <c r="F798" s="895"/>
      <c r="G798" s="895"/>
      <c r="H798" s="895"/>
      <c r="I798" s="895"/>
      <c r="J798" s="895"/>
      <c r="K798" s="896"/>
      <c r="L798" s="900">
        <f ca="1">Summary!G16</f>
        <v>32990705</v>
      </c>
      <c r="M798" s="887"/>
      <c r="N798" s="899">
        <f ca="1">$L$798/$H$2</f>
        <v>4123838.125</v>
      </c>
      <c r="O798" s="890" t="s">
        <v>1994</v>
      </c>
    </row>
    <row r="799" spans="2:15" x14ac:dyDescent="0.25">
      <c r="B799" s="887"/>
      <c r="C799" s="892"/>
      <c r="D799" s="893"/>
      <c r="E799" s="894"/>
      <c r="F799" s="895"/>
      <c r="G799" s="895"/>
      <c r="H799" s="895"/>
      <c r="I799" s="895"/>
      <c r="J799" s="895"/>
      <c r="K799" s="896"/>
      <c r="L799" s="884"/>
      <c r="M799" s="887"/>
    </row>
    <row r="800" spans="2:15" x14ac:dyDescent="0.25">
      <c r="B800" s="887"/>
      <c r="C800" s="892"/>
      <c r="D800" s="893" t="str">
        <f>"Assuming Daily wage rate per day of R"&amp;$M$1</f>
        <v>Assuming Daily wage rate per day of R358.32</v>
      </c>
      <c r="E800" s="894"/>
      <c r="F800" s="895"/>
      <c r="G800" s="895"/>
      <c r="H800" s="895"/>
      <c r="I800" s="895"/>
      <c r="J800" s="895"/>
      <c r="K800" s="896"/>
      <c r="L800" s="884"/>
      <c r="M800" s="887"/>
    </row>
    <row r="801" spans="2:13" ht="13" x14ac:dyDescent="0.25">
      <c r="B801" s="887"/>
      <c r="C801" s="892"/>
      <c r="D801" s="893" t="s">
        <v>1995</v>
      </c>
      <c r="E801" s="894"/>
      <c r="F801" s="895"/>
      <c r="G801" s="895"/>
      <c r="H801" s="895"/>
      <c r="I801" s="895"/>
      <c r="J801" s="895"/>
      <c r="K801" s="896"/>
      <c r="L801" s="901">
        <f>$L$797*$M$1</f>
        <v>4509292.2397142826</v>
      </c>
      <c r="M801" s="887"/>
    </row>
    <row r="802" spans="2:13" x14ac:dyDescent="0.25">
      <c r="B802" s="887"/>
      <c r="C802" s="892"/>
      <c r="D802" s="902"/>
      <c r="E802" s="894"/>
      <c r="F802" s="895"/>
      <c r="G802" s="895"/>
      <c r="H802" s="895"/>
      <c r="I802" s="895"/>
      <c r="J802" s="895"/>
      <c r="K802" s="896"/>
      <c r="L802" s="884"/>
      <c r="M802" s="887"/>
    </row>
    <row r="803" spans="2:13" ht="13" x14ac:dyDescent="0.25">
      <c r="B803" s="887"/>
      <c r="C803" s="892"/>
      <c r="D803" s="897" t="s">
        <v>1996</v>
      </c>
      <c r="E803" s="903"/>
      <c r="F803" s="904"/>
      <c r="G803" s="904"/>
      <c r="H803" s="904"/>
      <c r="I803" s="904"/>
      <c r="J803" s="904"/>
      <c r="K803" s="905"/>
      <c r="L803" s="906">
        <f ca="1">(L801/L798)</f>
        <v>0.13668371863269616</v>
      </c>
      <c r="M803" s="887"/>
    </row>
    <row r="804" spans="2:13" x14ac:dyDescent="0.25">
      <c r="B804" s="887"/>
      <c r="C804" s="892"/>
      <c r="D804" s="893"/>
      <c r="E804" s="894"/>
      <c r="F804" s="895"/>
      <c r="G804" s="895"/>
      <c r="H804" s="895"/>
      <c r="I804" s="895"/>
      <c r="J804" s="895"/>
      <c r="K804" s="896"/>
      <c r="L804" s="884"/>
      <c r="M804" s="887"/>
    </row>
  </sheetData>
  <pageMargins left="0.43307086614173229" right="0.31496062992125984" top="0.43307086614173229" bottom="0.62992125984251968" header="0.31496062992125984" footer="0.31496062992125984"/>
  <pageSetup paperSize="9" scale="57" fitToHeight="0" orientation="portrait" horizontalDpi="4294967293" r:id="rId1"/>
  <headerFooter>
    <oddFooter>&amp;L&amp;8&amp;F: &amp;A&amp;C&amp;10Page &amp;P of &amp;N&amp;R&amp;8&amp;D</oddFooter>
  </headerFooter>
  <rowBreaks count="14" manualBreakCount="14">
    <brk id="79" max="12" man="1"/>
    <brk id="111" max="12" man="1"/>
    <brk id="177" max="12" man="1"/>
    <brk id="236" max="12" man="1"/>
    <brk id="282" max="12" man="1"/>
    <brk id="326" max="12" man="1"/>
    <brk id="383" max="12" man="1"/>
    <brk id="439" max="12" man="1"/>
    <brk id="480" max="12" man="1"/>
    <brk id="550" max="12" man="1"/>
    <brk id="587" max="12" man="1"/>
    <brk id="652" max="12" man="1"/>
    <brk id="690" max="12" man="1"/>
    <brk id="735"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32">
    <tabColor rgb="FFFFFF00"/>
  </sheetPr>
  <dimension ref="A1:N146"/>
  <sheetViews>
    <sheetView tabSelected="1" view="pageBreakPreview" zoomScale="90" zoomScaleNormal="125" zoomScaleSheetLayoutView="90" zoomScalePageLayoutView="125" workbookViewId="0">
      <pane ySplit="2" topLeftCell="A3" activePane="bottomLeft" state="frozen"/>
      <selection activeCell="C28" sqref="C28"/>
      <selection pane="bottomLeft" activeCell="G16" sqref="G1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MAX(H2:H210)</f>
        <v>0</v>
      </c>
      <c r="I1" s="247">
        <f>MAX(I2:I210)</f>
        <v>0</v>
      </c>
      <c r="J1" s="248"/>
      <c r="K1" s="249"/>
      <c r="L1" s="247">
        <f>MAX(L2:L210)</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C13.7</v>
      </c>
      <c r="I6" s="6"/>
    </row>
    <row r="7" spans="1:14" ht="33"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48"/>
      <c r="H7" s="1122"/>
      <c r="I7" s="8"/>
    </row>
    <row r="8" spans="1:14" ht="26.25" customHeight="1" x14ac:dyDescent="0.25">
      <c r="B8" s="1149" t="s">
        <v>1774</v>
      </c>
      <c r="C8" s="1150"/>
      <c r="D8" s="1150"/>
      <c r="E8" s="1150"/>
      <c r="F8" s="1150"/>
      <c r="G8" s="1150"/>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27" si="0">IF(D11="","",F11*G11)</f>
        <v/>
      </c>
      <c r="I11" s="18"/>
      <c r="J11" s="61"/>
      <c r="K11" s="399"/>
      <c r="L11" s="420" t="str">
        <f t="shared" ref="L11" si="1">IF(J11="","",F11*K11)</f>
        <v/>
      </c>
      <c r="M11" s="401" t="str">
        <f>IF(J11="","",IF(SUM(H11)=0,"",L11/H11))</f>
        <v/>
      </c>
    </row>
    <row r="12" spans="1:14" ht="13" x14ac:dyDescent="0.25">
      <c r="B12" s="146" t="s">
        <v>345</v>
      </c>
      <c r="C12" s="672" t="s">
        <v>344</v>
      </c>
      <c r="D12" s="15"/>
      <c r="E12" s="15"/>
      <c r="F12" s="15"/>
      <c r="G12" s="411"/>
      <c r="H12" s="17" t="str">
        <f t="shared" si="0"/>
        <v/>
      </c>
      <c r="I12" s="18"/>
      <c r="J12" s="61"/>
      <c r="K12" s="399"/>
      <c r="L12" s="420" t="str">
        <f t="shared" ref="L12:L27" si="2">IF(J12="","",F12*K12)</f>
        <v/>
      </c>
      <c r="M12" s="401" t="str">
        <f t="shared" ref="M12:M27" si="3">IF(J12="","",IF(SUM(H12)=0,"",L12/H12))</f>
        <v/>
      </c>
    </row>
    <row r="13" spans="1:14" x14ac:dyDescent="0.25">
      <c r="B13" s="58"/>
      <c r="C13" s="65"/>
      <c r="D13" s="15"/>
      <c r="E13" s="15"/>
      <c r="F13" s="15"/>
      <c r="G13" s="411"/>
      <c r="H13" s="17" t="str">
        <f t="shared" si="0"/>
        <v/>
      </c>
      <c r="I13" s="18"/>
      <c r="J13" s="61"/>
      <c r="K13" s="399"/>
      <c r="L13" s="420" t="str">
        <f t="shared" si="2"/>
        <v/>
      </c>
      <c r="M13" s="401" t="str">
        <f t="shared" si="3"/>
        <v/>
      </c>
    </row>
    <row r="14" spans="1:14" ht="13" x14ac:dyDescent="0.25">
      <c r="B14" s="146" t="s">
        <v>346</v>
      </c>
      <c r="C14" s="672" t="s">
        <v>347</v>
      </c>
      <c r="D14" s="15"/>
      <c r="E14" s="15"/>
      <c r="F14" s="15"/>
      <c r="G14" s="411"/>
      <c r="H14" s="17" t="str">
        <f t="shared" si="0"/>
        <v/>
      </c>
      <c r="I14" s="18"/>
      <c r="J14" s="61"/>
      <c r="K14" s="399"/>
      <c r="L14" s="420" t="str">
        <f t="shared" si="2"/>
        <v/>
      </c>
      <c r="M14" s="401" t="str">
        <f t="shared" si="3"/>
        <v/>
      </c>
    </row>
    <row r="15" spans="1:14" x14ac:dyDescent="0.25">
      <c r="B15" s="58"/>
      <c r="C15" s="65"/>
      <c r="D15" s="15"/>
      <c r="E15" s="15"/>
      <c r="F15" s="15"/>
      <c r="G15" s="411"/>
      <c r="H15" s="17" t="str">
        <f t="shared" si="0"/>
        <v/>
      </c>
      <c r="I15" s="18"/>
      <c r="J15" s="61"/>
      <c r="K15" s="399"/>
      <c r="L15" s="420" t="str">
        <f t="shared" si="2"/>
        <v/>
      </c>
      <c r="M15" s="401" t="str">
        <f t="shared" si="3"/>
        <v/>
      </c>
    </row>
    <row r="16" spans="1:14" ht="25" x14ac:dyDescent="0.25">
      <c r="B16" s="58" t="s">
        <v>351</v>
      </c>
      <c r="C16" s="668" t="s">
        <v>1762</v>
      </c>
      <c r="D16" s="15" t="s">
        <v>61</v>
      </c>
      <c r="E16" s="15" t="s">
        <v>996</v>
      </c>
      <c r="F16" s="582">
        <v>6.3</v>
      </c>
      <c r="G16" s="411"/>
      <c r="H16" s="17">
        <f t="shared" si="0"/>
        <v>0</v>
      </c>
      <c r="I16" s="63"/>
      <c r="J16" s="61" t="s">
        <v>1721</v>
      </c>
      <c r="K16" s="399">
        <f>IF(D16="","",ROUND(6%*G16,1))</f>
        <v>0</v>
      </c>
      <c r="L16" s="420">
        <f t="shared" si="2"/>
        <v>0</v>
      </c>
      <c r="M16" s="401" t="str">
        <f t="shared" si="3"/>
        <v/>
      </c>
    </row>
    <row r="17" spans="2:13" x14ac:dyDescent="0.25">
      <c r="B17" s="58"/>
      <c r="C17" s="802"/>
      <c r="D17" s="15"/>
      <c r="E17" s="15"/>
      <c r="F17" s="24"/>
      <c r="G17" s="411"/>
      <c r="H17" s="17" t="str">
        <f t="shared" si="0"/>
        <v/>
      </c>
      <c r="I17" s="63"/>
      <c r="J17" s="61"/>
      <c r="K17" s="402"/>
      <c r="L17" s="420" t="str">
        <f t="shared" si="2"/>
        <v/>
      </c>
      <c r="M17" s="401" t="str">
        <f t="shared" si="3"/>
        <v/>
      </c>
    </row>
    <row r="18" spans="2:13" ht="25" x14ac:dyDescent="0.25">
      <c r="B18" s="58" t="s">
        <v>1846</v>
      </c>
      <c r="C18" s="668" t="s">
        <v>1763</v>
      </c>
      <c r="D18" s="15" t="s">
        <v>6</v>
      </c>
      <c r="E18" s="15" t="s">
        <v>996</v>
      </c>
      <c r="F18" s="582">
        <v>4.9000000000000004</v>
      </c>
      <c r="G18" s="411"/>
      <c r="H18" s="17">
        <f t="shared" si="0"/>
        <v>0</v>
      </c>
      <c r="I18" s="63"/>
      <c r="J18" s="61" t="s">
        <v>1721</v>
      </c>
      <c r="K18" s="399">
        <f>IF(D18="","",ROUND(6%*G18,1))</f>
        <v>0</v>
      </c>
      <c r="L18" s="420">
        <f t="shared" si="2"/>
        <v>0</v>
      </c>
      <c r="M18" s="401" t="str">
        <f t="shared" si="3"/>
        <v/>
      </c>
    </row>
    <row r="19" spans="2:13" x14ac:dyDescent="0.25">
      <c r="B19" s="58"/>
      <c r="C19" s="65"/>
      <c r="D19" s="15"/>
      <c r="E19" s="15"/>
      <c r="F19" s="24"/>
      <c r="G19" s="411"/>
      <c r="H19" s="17" t="str">
        <f t="shared" si="0"/>
        <v/>
      </c>
      <c r="I19" s="57"/>
      <c r="J19" s="61"/>
      <c r="K19" s="399"/>
      <c r="L19" s="420" t="str">
        <f t="shared" si="2"/>
        <v/>
      </c>
      <c r="M19" s="401" t="str">
        <f t="shared" si="3"/>
        <v/>
      </c>
    </row>
    <row r="20" spans="2:13" ht="13" x14ac:dyDescent="0.25">
      <c r="B20" s="146" t="s">
        <v>357</v>
      </c>
      <c r="C20" s="672" t="s">
        <v>350</v>
      </c>
      <c r="D20" s="15"/>
      <c r="E20" s="15"/>
      <c r="F20" s="24"/>
      <c r="G20" s="411"/>
      <c r="H20" s="17" t="str">
        <f t="shared" si="0"/>
        <v/>
      </c>
      <c r="I20" s="57"/>
      <c r="J20" s="61"/>
      <c r="K20" s="399"/>
      <c r="L20" s="420" t="str">
        <f t="shared" si="2"/>
        <v/>
      </c>
      <c r="M20" s="401" t="str">
        <f t="shared" si="3"/>
        <v/>
      </c>
    </row>
    <row r="21" spans="2:13" x14ac:dyDescent="0.25">
      <c r="B21" s="58"/>
      <c r="C21" s="65"/>
      <c r="D21" s="15"/>
      <c r="E21" s="15"/>
      <c r="F21" s="24"/>
      <c r="G21" s="411"/>
      <c r="H21" s="17" t="str">
        <f t="shared" si="0"/>
        <v/>
      </c>
      <c r="I21" s="18"/>
      <c r="J21" s="61"/>
      <c r="K21" s="399"/>
      <c r="L21" s="420" t="str">
        <f t="shared" si="2"/>
        <v/>
      </c>
      <c r="M21" s="401" t="str">
        <f t="shared" si="3"/>
        <v/>
      </c>
    </row>
    <row r="22" spans="2:13" ht="25" x14ac:dyDescent="0.25">
      <c r="B22" s="58" t="s">
        <v>358</v>
      </c>
      <c r="C22" s="65" t="s">
        <v>2150</v>
      </c>
      <c r="D22" s="15"/>
      <c r="E22" s="15"/>
      <c r="F22" s="24"/>
      <c r="G22" s="411"/>
      <c r="H22" s="17" t="str">
        <f t="shared" si="0"/>
        <v/>
      </c>
      <c r="I22" s="18"/>
      <c r="J22" s="61"/>
      <c r="K22" s="399"/>
      <c r="L22" s="420" t="str">
        <f t="shared" si="2"/>
        <v/>
      </c>
      <c r="M22" s="401" t="str">
        <f t="shared" si="3"/>
        <v/>
      </c>
    </row>
    <row r="23" spans="2:13" x14ac:dyDescent="0.25">
      <c r="B23" s="58"/>
      <c r="C23" s="65"/>
      <c r="D23" s="15"/>
      <c r="E23" s="15"/>
      <c r="F23" s="24"/>
      <c r="G23" s="411"/>
      <c r="H23" s="17" t="str">
        <f t="shared" si="0"/>
        <v/>
      </c>
      <c r="I23" s="18"/>
      <c r="J23" s="61"/>
      <c r="K23" s="399"/>
      <c r="L23" s="420" t="str">
        <f t="shared" si="2"/>
        <v/>
      </c>
      <c r="M23" s="401" t="str">
        <f t="shared" si="3"/>
        <v/>
      </c>
    </row>
    <row r="24" spans="2:13" x14ac:dyDescent="0.25">
      <c r="B24" s="58" t="s">
        <v>39</v>
      </c>
      <c r="C24" s="65" t="s">
        <v>1760</v>
      </c>
      <c r="D24" s="15" t="s">
        <v>6</v>
      </c>
      <c r="E24" s="15" t="s">
        <v>996</v>
      </c>
      <c r="F24" s="24">
        <v>12</v>
      </c>
      <c r="G24" s="411"/>
      <c r="H24" s="17">
        <f t="shared" si="0"/>
        <v>0</v>
      </c>
      <c r="I24" s="18"/>
      <c r="J24" s="61" t="s">
        <v>1721</v>
      </c>
      <c r="K24" s="399">
        <f>IF(D24="","",ROUND(6%*G24,1))</f>
        <v>0</v>
      </c>
      <c r="L24" s="420">
        <f t="shared" si="2"/>
        <v>0</v>
      </c>
      <c r="M24" s="401" t="str">
        <f t="shared" si="3"/>
        <v/>
      </c>
    </row>
    <row r="25" spans="2:13" x14ac:dyDescent="0.25">
      <c r="B25" s="58"/>
      <c r="C25" s="65"/>
      <c r="D25" s="15"/>
      <c r="E25" s="15"/>
      <c r="F25" s="24"/>
      <c r="G25" s="411"/>
      <c r="H25" s="17" t="str">
        <f t="shared" si="0"/>
        <v/>
      </c>
      <c r="I25" s="18"/>
      <c r="J25" s="61"/>
      <c r="K25" s="399" t="str">
        <f t="shared" ref="K25" si="4">IF(D25="","",ROUND(Labour_perc_structures*H25,1))</f>
        <v/>
      </c>
      <c r="L25" s="420" t="str">
        <f t="shared" si="2"/>
        <v/>
      </c>
      <c r="M25" s="401" t="str">
        <f t="shared" si="3"/>
        <v/>
      </c>
    </row>
    <row r="26" spans="2:13" x14ac:dyDescent="0.25">
      <c r="B26" s="58" t="s">
        <v>41</v>
      </c>
      <c r="C26" s="65" t="s">
        <v>1761</v>
      </c>
      <c r="D26" s="15" t="s">
        <v>6</v>
      </c>
      <c r="E26" s="15" t="s">
        <v>996</v>
      </c>
      <c r="F26" s="24">
        <v>31</v>
      </c>
      <c r="G26" s="411"/>
      <c r="H26" s="17">
        <f t="shared" si="0"/>
        <v>0</v>
      </c>
      <c r="I26" s="18"/>
      <c r="J26" s="61" t="s">
        <v>1721</v>
      </c>
      <c r="K26" s="399">
        <f>IF(D26="","",ROUND(6%*G26,1))</f>
        <v>0</v>
      </c>
      <c r="L26" s="420">
        <f t="shared" si="2"/>
        <v>0</v>
      </c>
      <c r="M26" s="401" t="str">
        <f t="shared" si="3"/>
        <v/>
      </c>
    </row>
    <row r="27" spans="2:13" x14ac:dyDescent="0.25">
      <c r="B27" s="58"/>
      <c r="C27" s="65"/>
      <c r="D27" s="15"/>
      <c r="E27" s="15"/>
      <c r="F27" s="24"/>
      <c r="G27" s="411"/>
      <c r="H27" s="17" t="str">
        <f t="shared" si="0"/>
        <v/>
      </c>
      <c r="I27" s="63"/>
      <c r="J27" s="61"/>
      <c r="K27" s="399"/>
      <c r="L27" s="420" t="str">
        <f t="shared" si="2"/>
        <v/>
      </c>
      <c r="M27" s="401" t="str">
        <f t="shared" si="3"/>
        <v/>
      </c>
    </row>
    <row r="28" spans="2:13" ht="39" x14ac:dyDescent="0.25">
      <c r="B28" s="146" t="s">
        <v>1900</v>
      </c>
      <c r="C28" s="807" t="s">
        <v>1768</v>
      </c>
      <c r="D28" s="666"/>
      <c r="E28" s="666"/>
      <c r="F28" s="15"/>
      <c r="G28" s="411"/>
      <c r="H28" s="17" t="str">
        <f t="shared" ref="H28:H70" si="5">IF(D28="","",F28*G28)</f>
        <v/>
      </c>
      <c r="I28" s="18"/>
      <c r="J28" s="61"/>
      <c r="K28" s="610" t="str">
        <f t="shared" ref="K28:K29" si="6">IF(D28="","",ROUND(Labour_perc_structures*H28,1))</f>
        <v/>
      </c>
      <c r="L28" s="420" t="str">
        <f t="shared" ref="L28:L30" si="7">IF(J28="","",F28*K28)</f>
        <v/>
      </c>
      <c r="M28" s="401" t="str">
        <f t="shared" ref="M28:M30" si="8">IF(J28="","",IF(SUM(H28)=0,"",L28/H28))</f>
        <v/>
      </c>
    </row>
    <row r="29" spans="2:13" x14ac:dyDescent="0.25">
      <c r="B29" s="58"/>
      <c r="C29" s="667"/>
      <c r="D29" s="666"/>
      <c r="E29" s="666"/>
      <c r="F29" s="15"/>
      <c r="G29" s="411"/>
      <c r="H29" s="17" t="str">
        <f t="shared" si="5"/>
        <v/>
      </c>
      <c r="I29" s="18"/>
      <c r="J29" s="61"/>
      <c r="K29" s="605" t="str">
        <f t="shared" si="6"/>
        <v/>
      </c>
      <c r="L29" s="420" t="str">
        <f t="shared" si="7"/>
        <v/>
      </c>
      <c r="M29" s="401" t="str">
        <f t="shared" si="8"/>
        <v/>
      </c>
    </row>
    <row r="30" spans="2:13" s="36" customFormat="1" x14ac:dyDescent="0.25">
      <c r="B30" s="58" t="s">
        <v>39</v>
      </c>
      <c r="C30" s="668" t="s">
        <v>1771</v>
      </c>
      <c r="D30" s="666" t="s">
        <v>6</v>
      </c>
      <c r="E30" s="666" t="s">
        <v>996</v>
      </c>
      <c r="F30" s="15">
        <v>8</v>
      </c>
      <c r="G30" s="411"/>
      <c r="H30" s="17">
        <f t="shared" si="5"/>
        <v>0</v>
      </c>
      <c r="I30" s="18"/>
      <c r="J30" s="61" t="s">
        <v>1721</v>
      </c>
      <c r="K30" s="399">
        <f>IF(D30="","",ROUND(6%*G30,1))</f>
        <v>0</v>
      </c>
      <c r="L30" s="420">
        <f t="shared" si="7"/>
        <v>0</v>
      </c>
      <c r="M30" s="401" t="str">
        <f t="shared" si="8"/>
        <v/>
      </c>
    </row>
    <row r="31" spans="2:13" x14ac:dyDescent="0.25">
      <c r="B31" s="58"/>
      <c r="C31" s="668"/>
      <c r="D31" s="666"/>
      <c r="E31" s="666"/>
      <c r="F31" s="15"/>
      <c r="G31" s="411"/>
      <c r="H31" s="17" t="str">
        <f t="shared" si="5"/>
        <v/>
      </c>
      <c r="I31" s="18"/>
      <c r="J31" s="61"/>
      <c r="K31" s="605"/>
      <c r="L31" s="420" t="str">
        <f t="shared" ref="L31:L70" si="9">IF(J31="","",F31*K31)</f>
        <v/>
      </c>
      <c r="M31" s="401" t="str">
        <f t="shared" ref="M31:M70" si="10">IF(J31="","",IF(SUM(H31)=0,"",L31/H31))</f>
        <v/>
      </c>
    </row>
    <row r="32" spans="2:13" x14ac:dyDescent="0.25">
      <c r="B32" s="58"/>
      <c r="C32" s="668"/>
      <c r="D32" s="666"/>
      <c r="E32" s="666"/>
      <c r="F32" s="15"/>
      <c r="G32" s="411"/>
      <c r="H32" s="17" t="str">
        <f t="shared" si="5"/>
        <v/>
      </c>
      <c r="I32" s="18"/>
      <c r="J32" s="61"/>
      <c r="K32" s="605"/>
      <c r="L32" s="420" t="str">
        <f t="shared" si="9"/>
        <v/>
      </c>
      <c r="M32" s="401" t="str">
        <f t="shared" si="10"/>
        <v/>
      </c>
    </row>
    <row r="33" spans="2:13" x14ac:dyDescent="0.25">
      <c r="B33" s="58"/>
      <c r="C33" s="668"/>
      <c r="D33" s="666"/>
      <c r="E33" s="666"/>
      <c r="F33" s="15"/>
      <c r="G33" s="411"/>
      <c r="H33" s="17" t="str">
        <f t="shared" si="5"/>
        <v/>
      </c>
      <c r="I33" s="18"/>
      <c r="J33" s="61"/>
      <c r="K33" s="609" t="str">
        <f t="shared" ref="K33:K34" si="11">IF(D33="","",ROUND(Labour_perc_structures*H33,1))</f>
        <v/>
      </c>
      <c r="L33" s="420" t="str">
        <f t="shared" si="9"/>
        <v/>
      </c>
      <c r="M33" s="401" t="str">
        <f t="shared" si="10"/>
        <v/>
      </c>
    </row>
    <row r="34" spans="2:13" ht="13" x14ac:dyDescent="0.25">
      <c r="B34" s="146"/>
      <c r="C34" s="807"/>
      <c r="D34" s="666"/>
      <c r="E34" s="666"/>
      <c r="F34" s="15"/>
      <c r="G34" s="411"/>
      <c r="H34" s="17" t="str">
        <f t="shared" si="5"/>
        <v/>
      </c>
      <c r="I34" s="18"/>
      <c r="J34" s="61"/>
      <c r="K34" s="610" t="str">
        <f t="shared" si="11"/>
        <v/>
      </c>
      <c r="L34" s="420" t="str">
        <f t="shared" si="9"/>
        <v/>
      </c>
      <c r="M34" s="401" t="str">
        <f t="shared" si="10"/>
        <v/>
      </c>
    </row>
    <row r="35" spans="2:13" x14ac:dyDescent="0.25">
      <c r="B35" s="58"/>
      <c r="C35" s="667"/>
      <c r="D35" s="666"/>
      <c r="E35" s="666"/>
      <c r="F35" s="15"/>
      <c r="G35" s="411"/>
      <c r="H35" s="17" t="str">
        <f t="shared" si="5"/>
        <v/>
      </c>
      <c r="I35" s="18"/>
      <c r="J35" s="61"/>
      <c r="K35" s="605"/>
      <c r="L35" s="420" t="str">
        <f t="shared" si="9"/>
        <v/>
      </c>
      <c r="M35" s="401" t="str">
        <f t="shared" si="10"/>
        <v/>
      </c>
    </row>
    <row r="36" spans="2:13" x14ac:dyDescent="0.25">
      <c r="B36" s="58"/>
      <c r="C36" s="668"/>
      <c r="D36" s="666"/>
      <c r="E36" s="666"/>
      <c r="F36" s="15"/>
      <c r="G36" s="411"/>
      <c r="H36" s="17" t="str">
        <f t="shared" si="5"/>
        <v/>
      </c>
      <c r="I36" s="18"/>
      <c r="J36" s="61"/>
      <c r="K36" s="605"/>
      <c r="L36" s="420" t="str">
        <f t="shared" si="9"/>
        <v/>
      </c>
      <c r="M36" s="401" t="str">
        <f t="shared" si="10"/>
        <v/>
      </c>
    </row>
    <row r="37" spans="2:13" x14ac:dyDescent="0.25">
      <c r="B37" s="58"/>
      <c r="C37" s="65"/>
      <c r="D37" s="15"/>
      <c r="E37" s="15"/>
      <c r="F37" s="24"/>
      <c r="G37" s="411"/>
      <c r="H37" s="17" t="str">
        <f t="shared" si="5"/>
        <v/>
      </c>
      <c r="I37" s="18"/>
      <c r="J37" s="61"/>
      <c r="K37" s="399" t="str">
        <f t="shared" ref="K37:K40" si="12">IF(D37="","",ROUND(Labour_perc_structures*H37,1))</f>
        <v/>
      </c>
      <c r="L37" s="420" t="str">
        <f t="shared" si="9"/>
        <v/>
      </c>
      <c r="M37" s="401" t="str">
        <f t="shared" si="10"/>
        <v/>
      </c>
    </row>
    <row r="38" spans="2:13" x14ac:dyDescent="0.25">
      <c r="B38" s="58"/>
      <c r="C38" s="65"/>
      <c r="D38" s="15"/>
      <c r="E38" s="15"/>
      <c r="F38" s="24"/>
      <c r="G38" s="411"/>
      <c r="H38" s="17" t="str">
        <f t="shared" si="5"/>
        <v/>
      </c>
      <c r="I38" s="18"/>
      <c r="J38" s="61"/>
      <c r="K38" s="399" t="str">
        <f>IF(D38="","",ROUND(Labour_perc_structures*G38,1))</f>
        <v/>
      </c>
      <c r="L38" s="420" t="str">
        <f t="shared" si="9"/>
        <v/>
      </c>
      <c r="M38" s="401" t="str">
        <f t="shared" si="10"/>
        <v/>
      </c>
    </row>
    <row r="39" spans="2:13" x14ac:dyDescent="0.25">
      <c r="B39" s="58"/>
      <c r="C39" s="65"/>
      <c r="D39" s="15"/>
      <c r="E39" s="15"/>
      <c r="F39" s="24"/>
      <c r="G39" s="411"/>
      <c r="H39" s="17" t="str">
        <f t="shared" si="5"/>
        <v/>
      </c>
      <c r="I39" s="18"/>
      <c r="J39" s="61"/>
      <c r="K39" s="399" t="str">
        <f t="shared" si="12"/>
        <v/>
      </c>
      <c r="L39" s="420" t="str">
        <f t="shared" si="9"/>
        <v/>
      </c>
      <c r="M39" s="401" t="str">
        <f t="shared" si="10"/>
        <v/>
      </c>
    </row>
    <row r="40" spans="2:13" x14ac:dyDescent="0.25">
      <c r="B40" s="58"/>
      <c r="C40" s="65"/>
      <c r="D40" s="15"/>
      <c r="E40" s="15"/>
      <c r="F40" s="24"/>
      <c r="G40" s="411"/>
      <c r="H40" s="17" t="str">
        <f t="shared" si="5"/>
        <v/>
      </c>
      <c r="I40" s="18"/>
      <c r="J40" s="61"/>
      <c r="K40" s="399" t="str">
        <f t="shared" si="12"/>
        <v/>
      </c>
      <c r="L40" s="420" t="str">
        <f t="shared" si="9"/>
        <v/>
      </c>
      <c r="M40" s="401" t="str">
        <f t="shared" si="10"/>
        <v/>
      </c>
    </row>
    <row r="41" spans="2:13" x14ac:dyDescent="0.25">
      <c r="B41" s="58"/>
      <c r="C41" s="65"/>
      <c r="D41" s="15"/>
      <c r="E41" s="15"/>
      <c r="F41" s="15"/>
      <c r="G41" s="411"/>
      <c r="H41" s="17" t="str">
        <f t="shared" ref="H41:H68" si="13">IF(D41="","",F41*G41)</f>
        <v/>
      </c>
      <c r="I41" s="18"/>
      <c r="J41" s="61"/>
      <c r="K41" s="399" t="str">
        <f t="shared" ref="K41:K68" si="14">IF(D41="","",ROUND(Labour_perc_structures*H41,1))</f>
        <v/>
      </c>
      <c r="L41" s="420" t="str">
        <f t="shared" ref="L41:L68" si="15">IF(J41="","",F41*K41)</f>
        <v/>
      </c>
      <c r="M41" s="401" t="str">
        <f t="shared" ref="M41:M68" si="16">IF(J41="","",IF(SUM(H41)=0,"",L41/H41))</f>
        <v/>
      </c>
    </row>
    <row r="42" spans="2:13" x14ac:dyDescent="0.25">
      <c r="B42" s="58"/>
      <c r="C42" s="65"/>
      <c r="D42" s="15"/>
      <c r="E42" s="15"/>
      <c r="F42" s="15"/>
      <c r="G42" s="411"/>
      <c r="H42" s="17" t="str">
        <f t="shared" si="13"/>
        <v/>
      </c>
      <c r="I42" s="18"/>
      <c r="J42" s="61"/>
      <c r="K42" s="399" t="str">
        <f t="shared" si="14"/>
        <v/>
      </c>
      <c r="L42" s="420" t="str">
        <f t="shared" si="15"/>
        <v/>
      </c>
      <c r="M42" s="401" t="str">
        <f t="shared" si="16"/>
        <v/>
      </c>
    </row>
    <row r="43" spans="2:13" x14ac:dyDescent="0.25">
      <c r="B43" s="58"/>
      <c r="C43" s="65"/>
      <c r="D43" s="15"/>
      <c r="E43" s="15"/>
      <c r="F43" s="15"/>
      <c r="G43" s="411"/>
      <c r="H43" s="17" t="str">
        <f t="shared" si="13"/>
        <v/>
      </c>
      <c r="I43" s="18"/>
      <c r="J43" s="61"/>
      <c r="K43" s="399" t="str">
        <f t="shared" si="14"/>
        <v/>
      </c>
      <c r="L43" s="420" t="str">
        <f t="shared" si="15"/>
        <v/>
      </c>
      <c r="M43" s="401" t="str">
        <f t="shared" si="16"/>
        <v/>
      </c>
    </row>
    <row r="44" spans="2:13" x14ac:dyDescent="0.25">
      <c r="B44" s="58"/>
      <c r="C44" s="65"/>
      <c r="D44" s="15"/>
      <c r="E44" s="15"/>
      <c r="F44" s="15"/>
      <c r="G44" s="411"/>
      <c r="H44" s="17" t="str">
        <f t="shared" si="13"/>
        <v/>
      </c>
      <c r="I44" s="18"/>
      <c r="J44" s="61"/>
      <c r="K44" s="399" t="str">
        <f t="shared" si="14"/>
        <v/>
      </c>
      <c r="L44" s="420" t="str">
        <f t="shared" si="15"/>
        <v/>
      </c>
      <c r="M44" s="401" t="str">
        <f t="shared" si="16"/>
        <v/>
      </c>
    </row>
    <row r="45" spans="2:13" x14ac:dyDescent="0.25">
      <c r="B45" s="58"/>
      <c r="C45" s="65"/>
      <c r="D45" s="15"/>
      <c r="E45" s="15"/>
      <c r="F45" s="15"/>
      <c r="G45" s="411"/>
      <c r="H45" s="17" t="str">
        <f t="shared" si="13"/>
        <v/>
      </c>
      <c r="I45" s="18"/>
      <c r="J45" s="61"/>
      <c r="K45" s="399" t="str">
        <f t="shared" si="14"/>
        <v/>
      </c>
      <c r="L45" s="420" t="str">
        <f t="shared" si="15"/>
        <v/>
      </c>
      <c r="M45" s="401" t="str">
        <f t="shared" si="16"/>
        <v/>
      </c>
    </row>
    <row r="46" spans="2:13" x14ac:dyDescent="0.25">
      <c r="B46" s="58"/>
      <c r="C46" s="65"/>
      <c r="D46" s="15"/>
      <c r="E46" s="15"/>
      <c r="F46" s="15"/>
      <c r="G46" s="411"/>
      <c r="H46" s="17" t="str">
        <f t="shared" si="13"/>
        <v/>
      </c>
      <c r="I46" s="18"/>
      <c r="J46" s="61"/>
      <c r="K46" s="399" t="str">
        <f t="shared" si="14"/>
        <v/>
      </c>
      <c r="L46" s="420" t="str">
        <f t="shared" si="15"/>
        <v/>
      </c>
      <c r="M46" s="401" t="str">
        <f t="shared" si="16"/>
        <v/>
      </c>
    </row>
    <row r="47" spans="2:13" x14ac:dyDescent="0.25">
      <c r="B47" s="58"/>
      <c r="C47" s="65"/>
      <c r="D47" s="15"/>
      <c r="E47" s="15"/>
      <c r="F47" s="15"/>
      <c r="G47" s="411"/>
      <c r="H47" s="17" t="str">
        <f t="shared" si="13"/>
        <v/>
      </c>
      <c r="I47" s="18"/>
      <c r="J47" s="61"/>
      <c r="K47" s="399" t="str">
        <f t="shared" si="14"/>
        <v/>
      </c>
      <c r="L47" s="420" t="str">
        <f t="shared" si="15"/>
        <v/>
      </c>
      <c r="M47" s="401" t="str">
        <f t="shared" si="16"/>
        <v/>
      </c>
    </row>
    <row r="48" spans="2:13" x14ac:dyDescent="0.25">
      <c r="B48" s="58"/>
      <c r="C48" s="65"/>
      <c r="D48" s="15"/>
      <c r="E48" s="15"/>
      <c r="F48" s="15"/>
      <c r="G48" s="411"/>
      <c r="H48" s="17" t="str">
        <f t="shared" si="13"/>
        <v/>
      </c>
      <c r="I48" s="18"/>
      <c r="J48" s="61"/>
      <c r="K48" s="399" t="str">
        <f t="shared" si="14"/>
        <v/>
      </c>
      <c r="L48" s="420" t="str">
        <f t="shared" si="15"/>
        <v/>
      </c>
      <c r="M48" s="401" t="str">
        <f t="shared" si="16"/>
        <v/>
      </c>
    </row>
    <row r="49" spans="2:13" x14ac:dyDescent="0.25">
      <c r="B49" s="58"/>
      <c r="C49" s="65"/>
      <c r="D49" s="15"/>
      <c r="E49" s="15"/>
      <c r="F49" s="15"/>
      <c r="G49" s="411"/>
      <c r="H49" s="17" t="str">
        <f t="shared" si="13"/>
        <v/>
      </c>
      <c r="I49" s="18"/>
      <c r="J49" s="61"/>
      <c r="K49" s="399" t="str">
        <f t="shared" si="14"/>
        <v/>
      </c>
      <c r="L49" s="420" t="str">
        <f t="shared" si="15"/>
        <v/>
      </c>
      <c r="M49" s="401" t="str">
        <f t="shared" si="16"/>
        <v/>
      </c>
    </row>
    <row r="50" spans="2:13" x14ac:dyDescent="0.25">
      <c r="B50" s="58"/>
      <c r="C50" s="65"/>
      <c r="D50" s="15"/>
      <c r="E50" s="15"/>
      <c r="F50" s="15"/>
      <c r="G50" s="411"/>
      <c r="H50" s="17" t="str">
        <f t="shared" si="13"/>
        <v/>
      </c>
      <c r="I50" s="18"/>
      <c r="J50" s="61"/>
      <c r="K50" s="399" t="str">
        <f t="shared" si="14"/>
        <v/>
      </c>
      <c r="L50" s="420" t="str">
        <f t="shared" si="15"/>
        <v/>
      </c>
      <c r="M50" s="401" t="str">
        <f t="shared" si="16"/>
        <v/>
      </c>
    </row>
    <row r="51" spans="2:13" x14ac:dyDescent="0.25">
      <c r="B51" s="58"/>
      <c r="C51" s="65"/>
      <c r="D51" s="15"/>
      <c r="E51" s="15"/>
      <c r="F51" s="15"/>
      <c r="G51" s="411"/>
      <c r="H51" s="17" t="str">
        <f t="shared" si="13"/>
        <v/>
      </c>
      <c r="I51" s="18"/>
      <c r="J51" s="61"/>
      <c r="K51" s="399" t="str">
        <f t="shared" si="14"/>
        <v/>
      </c>
      <c r="L51" s="420" t="str">
        <f t="shared" si="15"/>
        <v/>
      </c>
      <c r="M51" s="401" t="str">
        <f t="shared" si="16"/>
        <v/>
      </c>
    </row>
    <row r="52" spans="2:13" x14ac:dyDescent="0.25">
      <c r="B52" s="58"/>
      <c r="C52" s="65"/>
      <c r="D52" s="15"/>
      <c r="E52" s="15"/>
      <c r="F52" s="15"/>
      <c r="G52" s="411"/>
      <c r="H52" s="17" t="str">
        <f t="shared" si="13"/>
        <v/>
      </c>
      <c r="I52" s="18"/>
      <c r="J52" s="61"/>
      <c r="K52" s="399" t="str">
        <f t="shared" si="14"/>
        <v/>
      </c>
      <c r="L52" s="420" t="str">
        <f t="shared" si="15"/>
        <v/>
      </c>
      <c r="M52" s="401" t="str">
        <f t="shared" si="16"/>
        <v/>
      </c>
    </row>
    <row r="53" spans="2:13" x14ac:dyDescent="0.25">
      <c r="B53" s="58"/>
      <c r="C53" s="65"/>
      <c r="D53" s="15"/>
      <c r="E53" s="15"/>
      <c r="F53" s="15"/>
      <c r="G53" s="411"/>
      <c r="H53" s="17" t="str">
        <f t="shared" si="13"/>
        <v/>
      </c>
      <c r="I53" s="18"/>
      <c r="J53" s="61"/>
      <c r="K53" s="399" t="str">
        <f t="shared" si="14"/>
        <v/>
      </c>
      <c r="L53" s="420" t="str">
        <f t="shared" si="15"/>
        <v/>
      </c>
      <c r="M53" s="401" t="str">
        <f t="shared" si="16"/>
        <v/>
      </c>
    </row>
    <row r="54" spans="2:13" x14ac:dyDescent="0.25">
      <c r="B54" s="58"/>
      <c r="C54" s="65"/>
      <c r="D54" s="15"/>
      <c r="E54" s="15"/>
      <c r="F54" s="15"/>
      <c r="G54" s="411"/>
      <c r="H54" s="17" t="str">
        <f t="shared" si="13"/>
        <v/>
      </c>
      <c r="I54" s="18"/>
      <c r="J54" s="61"/>
      <c r="K54" s="399" t="str">
        <f t="shared" si="14"/>
        <v/>
      </c>
      <c r="L54" s="420" t="str">
        <f t="shared" si="15"/>
        <v/>
      </c>
      <c r="M54" s="401" t="str">
        <f t="shared" si="16"/>
        <v/>
      </c>
    </row>
    <row r="55" spans="2:13" x14ac:dyDescent="0.25">
      <c r="B55" s="58"/>
      <c r="C55" s="65"/>
      <c r="D55" s="15"/>
      <c r="E55" s="15"/>
      <c r="F55" s="15"/>
      <c r="G55" s="411"/>
      <c r="H55" s="17" t="str">
        <f t="shared" si="13"/>
        <v/>
      </c>
      <c r="I55" s="18"/>
      <c r="J55" s="61"/>
      <c r="K55" s="399" t="str">
        <f t="shared" si="14"/>
        <v/>
      </c>
      <c r="L55" s="420" t="str">
        <f t="shared" si="15"/>
        <v/>
      </c>
      <c r="M55" s="401" t="str">
        <f t="shared" si="16"/>
        <v/>
      </c>
    </row>
    <row r="56" spans="2:13" x14ac:dyDescent="0.25">
      <c r="B56" s="58"/>
      <c r="C56" s="65"/>
      <c r="D56" s="15"/>
      <c r="E56" s="15"/>
      <c r="F56" s="15"/>
      <c r="G56" s="411"/>
      <c r="H56" s="17" t="str">
        <f t="shared" si="13"/>
        <v/>
      </c>
      <c r="I56" s="18"/>
      <c r="J56" s="61"/>
      <c r="K56" s="399" t="str">
        <f t="shared" si="14"/>
        <v/>
      </c>
      <c r="L56" s="420" t="str">
        <f t="shared" si="15"/>
        <v/>
      </c>
      <c r="M56" s="401" t="str">
        <f t="shared" si="16"/>
        <v/>
      </c>
    </row>
    <row r="57" spans="2:13" x14ac:dyDescent="0.25">
      <c r="B57" s="58"/>
      <c r="C57" s="65"/>
      <c r="D57" s="15"/>
      <c r="E57" s="15"/>
      <c r="F57" s="15"/>
      <c r="G57" s="411"/>
      <c r="H57" s="17" t="str">
        <f t="shared" si="13"/>
        <v/>
      </c>
      <c r="I57" s="18"/>
      <c r="J57" s="61"/>
      <c r="K57" s="399" t="str">
        <f t="shared" si="14"/>
        <v/>
      </c>
      <c r="L57" s="420" t="str">
        <f t="shared" si="15"/>
        <v/>
      </c>
      <c r="M57" s="401" t="str">
        <f t="shared" si="16"/>
        <v/>
      </c>
    </row>
    <row r="58" spans="2:13" x14ac:dyDescent="0.25">
      <c r="B58" s="58"/>
      <c r="C58" s="65"/>
      <c r="D58" s="15"/>
      <c r="E58" s="15"/>
      <c r="F58" s="15"/>
      <c r="G58" s="411"/>
      <c r="H58" s="17" t="str">
        <f t="shared" si="13"/>
        <v/>
      </c>
      <c r="I58" s="18"/>
      <c r="J58" s="61"/>
      <c r="K58" s="399" t="str">
        <f t="shared" si="14"/>
        <v/>
      </c>
      <c r="L58" s="420" t="str">
        <f t="shared" si="15"/>
        <v/>
      </c>
      <c r="M58" s="401" t="str">
        <f t="shared" si="16"/>
        <v/>
      </c>
    </row>
    <row r="59" spans="2:13" x14ac:dyDescent="0.25">
      <c r="B59" s="58"/>
      <c r="C59" s="65"/>
      <c r="D59" s="15"/>
      <c r="E59" s="15"/>
      <c r="F59" s="15"/>
      <c r="G59" s="411"/>
      <c r="H59" s="17" t="str">
        <f t="shared" si="13"/>
        <v/>
      </c>
      <c r="I59" s="18"/>
      <c r="J59" s="61"/>
      <c r="K59" s="399" t="str">
        <f t="shared" si="14"/>
        <v/>
      </c>
      <c r="L59" s="420" t="str">
        <f t="shared" si="15"/>
        <v/>
      </c>
      <c r="M59" s="401" t="str">
        <f t="shared" si="16"/>
        <v/>
      </c>
    </row>
    <row r="60" spans="2:13" x14ac:dyDescent="0.25">
      <c r="B60" s="58"/>
      <c r="C60" s="65"/>
      <c r="D60" s="15"/>
      <c r="E60" s="15"/>
      <c r="F60" s="15"/>
      <c r="G60" s="411"/>
      <c r="H60" s="17" t="str">
        <f t="shared" si="13"/>
        <v/>
      </c>
      <c r="I60" s="18"/>
      <c r="J60" s="61"/>
      <c r="K60" s="399" t="str">
        <f t="shared" si="14"/>
        <v/>
      </c>
      <c r="L60" s="420" t="str">
        <f t="shared" si="15"/>
        <v/>
      </c>
      <c r="M60" s="401" t="str">
        <f t="shared" si="16"/>
        <v/>
      </c>
    </row>
    <row r="61" spans="2:13" x14ac:dyDescent="0.25">
      <c r="B61" s="58"/>
      <c r="C61" s="65"/>
      <c r="D61" s="15"/>
      <c r="E61" s="15"/>
      <c r="F61" s="15"/>
      <c r="G61" s="411"/>
      <c r="H61" s="17" t="str">
        <f t="shared" si="13"/>
        <v/>
      </c>
      <c r="I61" s="18"/>
      <c r="J61" s="61"/>
      <c r="K61" s="399" t="str">
        <f t="shared" si="14"/>
        <v/>
      </c>
      <c r="L61" s="420" t="str">
        <f t="shared" si="15"/>
        <v/>
      </c>
      <c r="M61" s="401" t="str">
        <f t="shared" si="16"/>
        <v/>
      </c>
    </row>
    <row r="62" spans="2:13" x14ac:dyDescent="0.25">
      <c r="B62" s="58"/>
      <c r="C62" s="65"/>
      <c r="D62" s="15"/>
      <c r="E62" s="15"/>
      <c r="F62" s="15"/>
      <c r="G62" s="411"/>
      <c r="H62" s="17" t="str">
        <f t="shared" si="13"/>
        <v/>
      </c>
      <c r="I62" s="18"/>
      <c r="J62" s="61"/>
      <c r="K62" s="399" t="str">
        <f t="shared" si="14"/>
        <v/>
      </c>
      <c r="L62" s="420" t="str">
        <f t="shared" si="15"/>
        <v/>
      </c>
      <c r="M62" s="401" t="str">
        <f t="shared" si="16"/>
        <v/>
      </c>
    </row>
    <row r="63" spans="2:13" x14ac:dyDescent="0.25">
      <c r="B63" s="58"/>
      <c r="C63" s="65"/>
      <c r="D63" s="15"/>
      <c r="E63" s="15"/>
      <c r="F63" s="15"/>
      <c r="G63" s="411"/>
      <c r="H63" s="17" t="str">
        <f t="shared" si="13"/>
        <v/>
      </c>
      <c r="I63" s="18"/>
      <c r="J63" s="61"/>
      <c r="K63" s="399" t="str">
        <f t="shared" si="14"/>
        <v/>
      </c>
      <c r="L63" s="420" t="str">
        <f t="shared" si="15"/>
        <v/>
      </c>
      <c r="M63" s="401" t="str">
        <f t="shared" si="16"/>
        <v/>
      </c>
    </row>
    <row r="64" spans="2:13" x14ac:dyDescent="0.25">
      <c r="B64" s="58"/>
      <c r="C64" s="65"/>
      <c r="D64" s="15"/>
      <c r="E64" s="15"/>
      <c r="F64" s="15"/>
      <c r="G64" s="411"/>
      <c r="H64" s="17" t="str">
        <f t="shared" si="13"/>
        <v/>
      </c>
      <c r="I64" s="18"/>
      <c r="J64" s="61"/>
      <c r="K64" s="399" t="str">
        <f t="shared" si="14"/>
        <v/>
      </c>
      <c r="L64" s="420" t="str">
        <f t="shared" si="15"/>
        <v/>
      </c>
      <c r="M64" s="401" t="str">
        <f t="shared" si="16"/>
        <v/>
      </c>
    </row>
    <row r="65" spans="2:13" x14ac:dyDescent="0.25">
      <c r="B65" s="58"/>
      <c r="C65" s="65"/>
      <c r="D65" s="15"/>
      <c r="E65" s="15"/>
      <c r="F65" s="15"/>
      <c r="G65" s="411"/>
      <c r="H65" s="17" t="str">
        <f t="shared" si="13"/>
        <v/>
      </c>
      <c r="I65" s="18"/>
      <c r="J65" s="61"/>
      <c r="K65" s="399" t="str">
        <f t="shared" si="14"/>
        <v/>
      </c>
      <c r="L65" s="420" t="str">
        <f t="shared" si="15"/>
        <v/>
      </c>
      <c r="M65" s="401" t="str">
        <f t="shared" si="16"/>
        <v/>
      </c>
    </row>
    <row r="66" spans="2:13" x14ac:dyDescent="0.25">
      <c r="B66" s="58"/>
      <c r="C66" s="65"/>
      <c r="D66" s="15"/>
      <c r="E66" s="15"/>
      <c r="F66" s="15"/>
      <c r="G66" s="411"/>
      <c r="H66" s="17" t="str">
        <f t="shared" si="13"/>
        <v/>
      </c>
      <c r="I66" s="18"/>
      <c r="J66" s="61"/>
      <c r="K66" s="399" t="str">
        <f t="shared" si="14"/>
        <v/>
      </c>
      <c r="L66" s="420" t="str">
        <f t="shared" si="15"/>
        <v/>
      </c>
      <c r="M66" s="401" t="str">
        <f t="shared" si="16"/>
        <v/>
      </c>
    </row>
    <row r="67" spans="2:13" x14ac:dyDescent="0.25">
      <c r="B67" s="58"/>
      <c r="C67" s="65"/>
      <c r="D67" s="61"/>
      <c r="E67" s="61"/>
      <c r="F67" s="61"/>
      <c r="G67" s="411"/>
      <c r="H67" s="17" t="str">
        <f t="shared" si="13"/>
        <v/>
      </c>
      <c r="I67" s="18"/>
      <c r="J67" s="61"/>
      <c r="K67" s="399" t="str">
        <f t="shared" si="14"/>
        <v/>
      </c>
      <c r="L67" s="420" t="str">
        <f t="shared" si="15"/>
        <v/>
      </c>
      <c r="M67" s="401" t="str">
        <f t="shared" si="16"/>
        <v/>
      </c>
    </row>
    <row r="68" spans="2:13" ht="12.75" customHeight="1" x14ac:dyDescent="0.25">
      <c r="B68" s="58"/>
      <c r="C68" s="65"/>
      <c r="D68" s="15"/>
      <c r="E68" s="15"/>
      <c r="F68" s="61"/>
      <c r="G68" s="411"/>
      <c r="H68" s="17" t="str">
        <f t="shared" si="13"/>
        <v/>
      </c>
      <c r="I68" s="18"/>
      <c r="J68" s="61"/>
      <c r="K68" s="399" t="str">
        <f t="shared" si="14"/>
        <v/>
      </c>
      <c r="L68" s="420" t="str">
        <f t="shared" si="15"/>
        <v/>
      </c>
      <c r="M68" s="401" t="str">
        <f t="shared" si="16"/>
        <v/>
      </c>
    </row>
    <row r="69" spans="2:13" x14ac:dyDescent="0.25">
      <c r="B69" s="58"/>
      <c r="C69" s="65"/>
      <c r="D69" s="15"/>
      <c r="E69" s="15"/>
      <c r="F69" s="15"/>
      <c r="G69" s="411"/>
      <c r="H69" s="17" t="str">
        <f t="shared" si="5"/>
        <v/>
      </c>
      <c r="I69" s="18"/>
      <c r="J69" s="62"/>
      <c r="K69" s="62"/>
      <c r="L69" s="420" t="str">
        <f t="shared" si="9"/>
        <v/>
      </c>
      <c r="M69" s="401" t="str">
        <f t="shared" si="10"/>
        <v/>
      </c>
    </row>
    <row r="70" spans="2:13" x14ac:dyDescent="0.25">
      <c r="B70" s="58"/>
      <c r="C70" s="65"/>
      <c r="D70" s="15"/>
      <c r="E70" s="15"/>
      <c r="F70" s="15"/>
      <c r="G70" s="411"/>
      <c r="H70" s="17" t="str">
        <f t="shared" si="5"/>
        <v/>
      </c>
      <c r="I70" s="18"/>
      <c r="J70" s="61"/>
      <c r="K70" s="696"/>
      <c r="L70" s="420" t="str">
        <f t="shared" si="9"/>
        <v/>
      </c>
      <c r="M70" s="401" t="str">
        <f t="shared" si="10"/>
        <v/>
      </c>
    </row>
    <row r="71" spans="2:13" s="28" customFormat="1" ht="19.5" customHeight="1" x14ac:dyDescent="0.25">
      <c r="B71" s="135" t="str">
        <f>$B$12</f>
        <v>C13.7</v>
      </c>
      <c r="C71" s="30" t="s">
        <v>12</v>
      </c>
      <c r="D71" s="31"/>
      <c r="E71" s="31"/>
      <c r="F71" s="32"/>
      <c r="G71" s="31"/>
      <c r="H71" s="33">
        <f>SUM(H11:H70)</f>
        <v>0</v>
      </c>
      <c r="I71" s="34"/>
      <c r="J71" s="408"/>
      <c r="K71" s="406"/>
      <c r="L71" s="418">
        <f>SUM(L11:L70)</f>
        <v>0</v>
      </c>
      <c r="M71" s="407" t="str">
        <f t="shared" ref="M71" si="17">IF(J71="","",IF(SUM(H71)=0,"",L71/H71))</f>
        <v/>
      </c>
    </row>
    <row r="72" spans="2:13" ht="13" x14ac:dyDescent="0.25">
      <c r="B72" s="1108" t="str">
        <f>Client1</f>
        <v>Province of KwaZulu-Natal</v>
      </c>
      <c r="C72" s="1108"/>
      <c r="D72" s="1108"/>
      <c r="E72" s="87"/>
      <c r="F72" s="1109" t="str">
        <f>"Contract No. "&amp;ContractNo</f>
        <v>Contract No. ZNB 00399/00000/HOD/INF/21/T</v>
      </c>
      <c r="G72" s="1109"/>
      <c r="H72" s="1109"/>
    </row>
    <row r="73" spans="2:13" ht="13" x14ac:dyDescent="0.25">
      <c r="B73" s="1108" t="str">
        <f>Client2</f>
        <v>Department of Transport</v>
      </c>
      <c r="C73" s="1108"/>
      <c r="D73" s="1108"/>
      <c r="E73" s="87"/>
      <c r="F73" s="1109"/>
      <c r="G73" s="1109"/>
      <c r="H73" s="1109"/>
    </row>
    <row r="74" spans="2:13" x14ac:dyDescent="0.25">
      <c r="B74" s="1111"/>
      <c r="C74" s="1111"/>
      <c r="D74" s="1111"/>
      <c r="E74" s="78"/>
      <c r="F74" s="1110"/>
      <c r="G74" s="1110"/>
      <c r="H74" s="1110"/>
    </row>
    <row r="75" spans="2:13" ht="13" x14ac:dyDescent="0.25">
      <c r="B75" s="1112" t="s">
        <v>1773</v>
      </c>
      <c r="C75" s="1113"/>
      <c r="D75" s="1113"/>
      <c r="E75" s="1113"/>
      <c r="F75" s="1113"/>
      <c r="G75" s="1113"/>
      <c r="H75" s="1125" t="str">
        <f>$H$6</f>
        <v>CHAPTER C13.7</v>
      </c>
      <c r="I75" s="6"/>
    </row>
    <row r="76" spans="2:13" ht="31.5" customHeight="1" x14ac:dyDescent="0.25">
      <c r="B76" s="1117" t="str">
        <f>ContractDescription</f>
        <v>THE CONSTRUCTION OF EARTHWORKS, LAYERWORKS, SURFACING, CULVERTS AND CWAKA RIVER BRIDGE FROM KM 11.600 TO KM 14.000 ON MAIN ROAD P494 IN THE KING CETSHWAYO DISTRICT UNDER EMPANGENI REGION</v>
      </c>
      <c r="C76" s="1148"/>
      <c r="D76" s="1148"/>
      <c r="E76" s="1148"/>
      <c r="F76" s="1148"/>
      <c r="G76" s="1148"/>
      <c r="H76" s="1126"/>
      <c r="I76" s="8"/>
    </row>
    <row r="77" spans="2:13" ht="21" customHeight="1" x14ac:dyDescent="0.25">
      <c r="B77" s="1149" t="s">
        <v>1774</v>
      </c>
      <c r="C77" s="1150"/>
      <c r="D77" s="1150"/>
      <c r="E77" s="1150"/>
      <c r="F77" s="1150"/>
      <c r="G77" s="1150"/>
      <c r="H77" s="1126"/>
      <c r="I77" s="8"/>
    </row>
    <row r="78" spans="2:13" ht="13" x14ac:dyDescent="0.25">
      <c r="B78" s="611"/>
      <c r="C78" s="612"/>
      <c r="D78" s="612"/>
      <c r="E78" s="612"/>
      <c r="F78" s="612"/>
      <c r="G78" s="612"/>
      <c r="H78" s="1127"/>
      <c r="I78" s="8"/>
    </row>
    <row r="79" spans="2:13" s="9" customFormat="1" ht="25" customHeight="1" x14ac:dyDescent="0.25">
      <c r="B79" s="74" t="s">
        <v>0</v>
      </c>
      <c r="C79" s="11" t="s">
        <v>1</v>
      </c>
      <c r="D79" s="11" t="s">
        <v>2</v>
      </c>
      <c r="E79" s="11"/>
      <c r="F79" s="11" t="s">
        <v>3</v>
      </c>
      <c r="G79" s="11" t="s">
        <v>4</v>
      </c>
      <c r="H79" s="11" t="s">
        <v>5</v>
      </c>
      <c r="I79" s="12"/>
      <c r="J79" s="408" t="s">
        <v>996</v>
      </c>
      <c r="K79" s="253" t="s">
        <v>997</v>
      </c>
      <c r="L79" s="253" t="s">
        <v>998</v>
      </c>
      <c r="M79" s="253" t="s">
        <v>999</v>
      </c>
    </row>
    <row r="80" spans="2:13" s="28" customFormat="1" ht="19.5" customHeight="1" x14ac:dyDescent="0.25">
      <c r="B80" s="80"/>
      <c r="C80" s="30" t="s">
        <v>27</v>
      </c>
      <c r="D80" s="31"/>
      <c r="E80" s="31"/>
      <c r="F80" s="32"/>
      <c r="G80" s="31"/>
      <c r="H80" s="33">
        <f>H71</f>
        <v>0</v>
      </c>
      <c r="I80" s="34"/>
      <c r="J80" s="416"/>
      <c r="K80" s="409"/>
      <c r="L80" s="419">
        <f>L71</f>
        <v>0</v>
      </c>
      <c r="M80" s="410" t="str">
        <f>IF(J80="","",IF(SUM(H80)=0,"",L80/H80))</f>
        <v/>
      </c>
    </row>
    <row r="81" spans="2:13" x14ac:dyDescent="0.25">
      <c r="B81" s="58"/>
      <c r="C81" s="65"/>
      <c r="D81" s="15"/>
      <c r="E81" s="15"/>
      <c r="F81" s="15"/>
      <c r="G81" s="422"/>
      <c r="H81" s="17" t="str">
        <f t="shared" ref="H81:H82" si="18">IF(D81="","",F81*G81)</f>
        <v/>
      </c>
      <c r="I81" s="18"/>
      <c r="J81" s="61"/>
      <c r="K81" s="399"/>
      <c r="L81" s="420" t="str">
        <f t="shared" ref="L81:L82" si="19">IF(J81="","",F81*K81)</f>
        <v/>
      </c>
      <c r="M81" s="401" t="str">
        <f t="shared" ref="M81:M82" si="20">IF(J81="","",IF(SUM(H81)=0,"",L81/H81))</f>
        <v/>
      </c>
    </row>
    <row r="82" spans="2:13" x14ac:dyDescent="0.25">
      <c r="B82" s="58"/>
      <c r="C82" s="65"/>
      <c r="D82" s="15"/>
      <c r="E82" s="15"/>
      <c r="F82" s="15"/>
      <c r="G82" s="422"/>
      <c r="H82" s="17" t="str">
        <f t="shared" si="18"/>
        <v/>
      </c>
      <c r="I82" s="18"/>
      <c r="J82" s="61"/>
      <c r="K82" s="399"/>
      <c r="L82" s="420" t="str">
        <f t="shared" si="19"/>
        <v/>
      </c>
      <c r="M82" s="401" t="str">
        <f t="shared" si="20"/>
        <v/>
      </c>
    </row>
    <row r="83" spans="2:13" x14ac:dyDescent="0.25">
      <c r="B83" s="58"/>
      <c r="C83" s="65"/>
      <c r="D83" s="15"/>
      <c r="E83" s="15"/>
      <c r="F83" s="15"/>
      <c r="G83" s="422"/>
      <c r="H83" s="17" t="str">
        <f t="shared" ref="H83" si="21">IF(D83="","",F83*G83)</f>
        <v/>
      </c>
      <c r="I83" s="18"/>
      <c r="J83" s="61"/>
      <c r="K83" s="399"/>
      <c r="L83" s="420" t="str">
        <f t="shared" ref="L83" si="22">IF(J83="","",F83*K83)</f>
        <v/>
      </c>
      <c r="M83" s="401" t="str">
        <f t="shared" ref="M83" si="23">IF(J83="","",IF(SUM(H83)=0,"",L83/H83))</f>
        <v/>
      </c>
    </row>
    <row r="84" spans="2:13" x14ac:dyDescent="0.25">
      <c r="B84" s="58"/>
      <c r="C84" s="65"/>
      <c r="D84" s="15"/>
      <c r="E84" s="15"/>
      <c r="F84" s="15"/>
      <c r="G84" s="422"/>
      <c r="H84" s="17" t="str">
        <f t="shared" ref="H84:H145" si="24">IF(D84="","",F84*G84)</f>
        <v/>
      </c>
      <c r="I84" s="18"/>
      <c r="J84" s="61"/>
      <c r="K84" s="399"/>
      <c r="L84" s="420" t="str">
        <f t="shared" ref="L84:L145" si="25">IF(J84="","",F84*K84)</f>
        <v/>
      </c>
      <c r="M84" s="401" t="str">
        <f t="shared" ref="M84:M145" si="26">IF(J84="","",IF(SUM(H84)=0,"",L84/H84))</f>
        <v/>
      </c>
    </row>
    <row r="85" spans="2:13" x14ac:dyDescent="0.25">
      <c r="B85" s="58"/>
      <c r="C85" s="65"/>
      <c r="D85" s="15"/>
      <c r="E85" s="15"/>
      <c r="F85" s="15"/>
      <c r="G85" s="422"/>
      <c r="H85" s="17" t="str">
        <f t="shared" si="24"/>
        <v/>
      </c>
      <c r="I85" s="18"/>
      <c r="J85" s="61"/>
      <c r="K85" s="400"/>
      <c r="L85" s="420" t="str">
        <f t="shared" si="25"/>
        <v/>
      </c>
      <c r="M85" s="401" t="str">
        <f t="shared" si="26"/>
        <v/>
      </c>
    </row>
    <row r="86" spans="2:13" x14ac:dyDescent="0.25">
      <c r="B86" s="58"/>
      <c r="C86" s="65"/>
      <c r="D86" s="15"/>
      <c r="E86" s="15"/>
      <c r="F86" s="15"/>
      <c r="G86" s="422"/>
      <c r="H86" s="17" t="str">
        <f t="shared" si="24"/>
        <v/>
      </c>
      <c r="I86" s="18"/>
      <c r="J86" s="61"/>
      <c r="K86" s="399"/>
      <c r="L86" s="420" t="str">
        <f t="shared" si="25"/>
        <v/>
      </c>
      <c r="M86" s="401" t="str">
        <f t="shared" si="26"/>
        <v/>
      </c>
    </row>
    <row r="87" spans="2:13" x14ac:dyDescent="0.25">
      <c r="B87" s="58"/>
      <c r="C87" s="65"/>
      <c r="D87" s="15"/>
      <c r="E87" s="15"/>
      <c r="F87" s="15"/>
      <c r="G87" s="422"/>
      <c r="H87" s="17" t="str">
        <f t="shared" si="24"/>
        <v/>
      </c>
      <c r="I87" s="18"/>
      <c r="J87" s="61"/>
      <c r="K87" s="400"/>
      <c r="L87" s="420" t="str">
        <f t="shared" si="25"/>
        <v/>
      </c>
      <c r="M87" s="401" t="str">
        <f t="shared" si="26"/>
        <v/>
      </c>
    </row>
    <row r="88" spans="2:13" x14ac:dyDescent="0.25">
      <c r="B88" s="58"/>
      <c r="C88" s="65"/>
      <c r="D88" s="15"/>
      <c r="E88" s="15"/>
      <c r="F88" s="15"/>
      <c r="G88" s="422"/>
      <c r="H88" s="17" t="str">
        <f t="shared" si="24"/>
        <v/>
      </c>
      <c r="I88" s="18"/>
      <c r="J88" s="61"/>
      <c r="K88" s="399"/>
      <c r="L88" s="420" t="str">
        <f t="shared" si="25"/>
        <v/>
      </c>
      <c r="M88" s="401" t="str">
        <f t="shared" si="26"/>
        <v/>
      </c>
    </row>
    <row r="89" spans="2:13" x14ac:dyDescent="0.25">
      <c r="B89" s="58"/>
      <c r="C89" s="65"/>
      <c r="D89" s="15"/>
      <c r="E89" s="15"/>
      <c r="F89" s="15"/>
      <c r="G89" s="422"/>
      <c r="H89" s="17" t="str">
        <f t="shared" si="24"/>
        <v/>
      </c>
      <c r="I89" s="18"/>
      <c r="J89" s="61"/>
      <c r="K89" s="402"/>
      <c r="L89" s="420" t="str">
        <f t="shared" si="25"/>
        <v/>
      </c>
      <c r="M89" s="401" t="str">
        <f t="shared" si="26"/>
        <v/>
      </c>
    </row>
    <row r="90" spans="2:13" x14ac:dyDescent="0.25">
      <c r="B90" s="58"/>
      <c r="C90" s="65"/>
      <c r="D90" s="15"/>
      <c r="E90" s="15"/>
      <c r="F90" s="15"/>
      <c r="G90" s="422"/>
      <c r="H90" s="17" t="str">
        <f t="shared" si="24"/>
        <v/>
      </c>
      <c r="I90" s="18"/>
      <c r="J90" s="61"/>
      <c r="K90" s="402"/>
      <c r="L90" s="420" t="str">
        <f t="shared" si="25"/>
        <v/>
      </c>
      <c r="M90" s="401" t="str">
        <f t="shared" si="26"/>
        <v/>
      </c>
    </row>
    <row r="91" spans="2:13" x14ac:dyDescent="0.25">
      <c r="B91" s="58"/>
      <c r="C91" s="65"/>
      <c r="D91" s="15"/>
      <c r="E91" s="15"/>
      <c r="F91" s="15"/>
      <c r="G91" s="422"/>
      <c r="H91" s="17" t="str">
        <f t="shared" si="24"/>
        <v/>
      </c>
      <c r="I91" s="18"/>
      <c r="J91" s="61"/>
      <c r="K91" s="400"/>
      <c r="L91" s="420" t="str">
        <f t="shared" si="25"/>
        <v/>
      </c>
      <c r="M91" s="401" t="str">
        <f t="shared" si="26"/>
        <v/>
      </c>
    </row>
    <row r="92" spans="2:13" x14ac:dyDescent="0.25">
      <c r="B92" s="58"/>
      <c r="C92" s="65"/>
      <c r="D92" s="15"/>
      <c r="E92" s="15"/>
      <c r="F92" s="15"/>
      <c r="G92" s="422"/>
      <c r="H92" s="17" t="str">
        <f t="shared" si="24"/>
        <v/>
      </c>
      <c r="I92" s="18"/>
      <c r="J92" s="61"/>
      <c r="K92" s="402"/>
      <c r="L92" s="420" t="str">
        <f t="shared" si="25"/>
        <v/>
      </c>
      <c r="M92" s="401" t="str">
        <f t="shared" si="26"/>
        <v/>
      </c>
    </row>
    <row r="93" spans="2:13" x14ac:dyDescent="0.25">
      <c r="B93" s="58"/>
      <c r="C93" s="65"/>
      <c r="D93" s="15"/>
      <c r="E93" s="15"/>
      <c r="F93" s="15"/>
      <c r="G93" s="422"/>
      <c r="H93" s="17" t="str">
        <f t="shared" si="24"/>
        <v/>
      </c>
      <c r="I93" s="18"/>
      <c r="J93" s="61"/>
      <c r="K93" s="402"/>
      <c r="L93" s="420" t="str">
        <f t="shared" si="25"/>
        <v/>
      </c>
      <c r="M93" s="401" t="str">
        <f t="shared" si="26"/>
        <v/>
      </c>
    </row>
    <row r="94" spans="2:13" x14ac:dyDescent="0.25">
      <c r="B94" s="58"/>
      <c r="C94" s="65"/>
      <c r="D94" s="15"/>
      <c r="E94" s="15"/>
      <c r="F94" s="15"/>
      <c r="G94" s="422"/>
      <c r="H94" s="17" t="str">
        <f t="shared" si="24"/>
        <v/>
      </c>
      <c r="I94" s="18"/>
      <c r="J94" s="61"/>
      <c r="K94" s="402"/>
      <c r="L94" s="420" t="str">
        <f t="shared" si="25"/>
        <v/>
      </c>
      <c r="M94" s="401" t="str">
        <f t="shared" si="26"/>
        <v/>
      </c>
    </row>
    <row r="95" spans="2:13" x14ac:dyDescent="0.25">
      <c r="B95" s="58"/>
      <c r="C95" s="65"/>
      <c r="D95" s="15"/>
      <c r="E95" s="15"/>
      <c r="F95" s="15"/>
      <c r="G95" s="422"/>
      <c r="H95" s="17" t="str">
        <f t="shared" si="24"/>
        <v/>
      </c>
      <c r="I95" s="18"/>
      <c r="J95" s="61"/>
      <c r="K95" s="399"/>
      <c r="L95" s="420" t="str">
        <f t="shared" si="25"/>
        <v/>
      </c>
      <c r="M95" s="401" t="str">
        <f t="shared" si="26"/>
        <v/>
      </c>
    </row>
    <row r="96" spans="2:13" x14ac:dyDescent="0.25">
      <c r="B96" s="58"/>
      <c r="C96" s="65"/>
      <c r="D96" s="15"/>
      <c r="E96" s="15"/>
      <c r="F96" s="15"/>
      <c r="G96" s="422"/>
      <c r="H96" s="17" t="str">
        <f t="shared" si="24"/>
        <v/>
      </c>
      <c r="I96" s="18"/>
      <c r="J96" s="61"/>
      <c r="K96" s="399"/>
      <c r="L96" s="420" t="str">
        <f t="shared" si="25"/>
        <v/>
      </c>
      <c r="M96" s="401" t="str">
        <f t="shared" si="26"/>
        <v/>
      </c>
    </row>
    <row r="97" spans="2:13" x14ac:dyDescent="0.25">
      <c r="B97" s="58"/>
      <c r="C97" s="65"/>
      <c r="D97" s="15"/>
      <c r="E97" s="15"/>
      <c r="F97" s="15"/>
      <c r="G97" s="422"/>
      <c r="H97" s="17" t="str">
        <f t="shared" si="24"/>
        <v/>
      </c>
      <c r="I97" s="18"/>
      <c r="J97" s="61"/>
      <c r="K97" s="400"/>
      <c r="L97" s="420" t="str">
        <f t="shared" si="25"/>
        <v/>
      </c>
      <c r="M97" s="401" t="str">
        <f t="shared" si="26"/>
        <v/>
      </c>
    </row>
    <row r="98" spans="2:13" x14ac:dyDescent="0.25">
      <c r="B98" s="58"/>
      <c r="C98" s="65"/>
      <c r="D98" s="15"/>
      <c r="E98" s="15"/>
      <c r="F98" s="15"/>
      <c r="G98" s="422"/>
      <c r="H98" s="17" t="str">
        <f t="shared" si="24"/>
        <v/>
      </c>
      <c r="I98" s="18"/>
      <c r="J98" s="61"/>
      <c r="K98" s="399"/>
      <c r="L98" s="420" t="str">
        <f t="shared" si="25"/>
        <v/>
      </c>
      <c r="M98" s="401" t="str">
        <f t="shared" si="26"/>
        <v/>
      </c>
    </row>
    <row r="99" spans="2:13" x14ac:dyDescent="0.25">
      <c r="B99" s="58"/>
      <c r="C99" s="65"/>
      <c r="D99" s="15"/>
      <c r="E99" s="15"/>
      <c r="F99" s="15"/>
      <c r="G99" s="422"/>
      <c r="H99" s="17" t="str">
        <f t="shared" si="24"/>
        <v/>
      </c>
      <c r="I99" s="18"/>
      <c r="J99" s="61"/>
      <c r="K99" s="399"/>
      <c r="L99" s="420" t="str">
        <f t="shared" si="25"/>
        <v/>
      </c>
      <c r="M99" s="401" t="str">
        <f t="shared" si="26"/>
        <v/>
      </c>
    </row>
    <row r="100" spans="2:13" x14ac:dyDescent="0.25">
      <c r="B100" s="58"/>
      <c r="C100" s="65"/>
      <c r="D100" s="15"/>
      <c r="E100" s="15"/>
      <c r="F100" s="15"/>
      <c r="G100" s="422"/>
      <c r="H100" s="17" t="str">
        <f t="shared" si="24"/>
        <v/>
      </c>
      <c r="I100" s="18"/>
      <c r="J100" s="61"/>
      <c r="K100" s="399"/>
      <c r="L100" s="420" t="str">
        <f t="shared" si="25"/>
        <v/>
      </c>
      <c r="M100" s="401" t="str">
        <f t="shared" si="26"/>
        <v/>
      </c>
    </row>
    <row r="101" spans="2:13" x14ac:dyDescent="0.25">
      <c r="B101" s="58"/>
      <c r="C101" s="65"/>
      <c r="D101" s="15"/>
      <c r="E101" s="15"/>
      <c r="F101" s="15"/>
      <c r="G101" s="422"/>
      <c r="H101" s="17" t="str">
        <f t="shared" si="24"/>
        <v/>
      </c>
      <c r="I101" s="18"/>
      <c r="J101" s="61"/>
      <c r="K101" s="399"/>
      <c r="L101" s="420" t="str">
        <f t="shared" si="25"/>
        <v/>
      </c>
      <c r="M101" s="401" t="str">
        <f t="shared" si="26"/>
        <v/>
      </c>
    </row>
    <row r="102" spans="2:13" x14ac:dyDescent="0.25">
      <c r="B102" s="58"/>
      <c r="C102" s="804"/>
      <c r="D102" s="15"/>
      <c r="E102" s="15"/>
      <c r="F102" s="15"/>
      <c r="G102" s="422"/>
      <c r="H102" s="17" t="str">
        <f t="shared" si="24"/>
        <v/>
      </c>
      <c r="I102" s="18"/>
      <c r="J102" s="61"/>
      <c r="K102" s="399"/>
      <c r="L102" s="420" t="str">
        <f t="shared" si="25"/>
        <v/>
      </c>
      <c r="M102" s="401" t="str">
        <f t="shared" si="26"/>
        <v/>
      </c>
    </row>
    <row r="103" spans="2:13" x14ac:dyDescent="0.25">
      <c r="B103" s="58"/>
      <c r="C103" s="65"/>
      <c r="D103" s="15"/>
      <c r="E103" s="15"/>
      <c r="F103" s="15"/>
      <c r="G103" s="422"/>
      <c r="H103" s="17" t="str">
        <f t="shared" si="24"/>
        <v/>
      </c>
      <c r="I103" s="18"/>
      <c r="J103" s="61"/>
      <c r="K103" s="400"/>
      <c r="L103" s="420" t="str">
        <f t="shared" si="25"/>
        <v/>
      </c>
      <c r="M103" s="401" t="str">
        <f t="shared" si="26"/>
        <v/>
      </c>
    </row>
    <row r="104" spans="2:13" x14ac:dyDescent="0.25">
      <c r="B104" s="58"/>
      <c r="C104" s="386"/>
      <c r="D104" s="587"/>
      <c r="E104" s="587"/>
      <c r="F104" s="15"/>
      <c r="G104" s="422"/>
      <c r="H104" s="17" t="str">
        <f t="shared" si="24"/>
        <v/>
      </c>
      <c r="I104" s="18"/>
      <c r="J104" s="61"/>
      <c r="K104" s="605"/>
      <c r="L104" s="420" t="str">
        <f t="shared" si="25"/>
        <v/>
      </c>
      <c r="M104" s="401" t="str">
        <f t="shared" si="26"/>
        <v/>
      </c>
    </row>
    <row r="105" spans="2:13" x14ac:dyDescent="0.25">
      <c r="B105" s="58"/>
      <c r="C105" s="386"/>
      <c r="D105" s="587"/>
      <c r="E105" s="587"/>
      <c r="F105" s="15"/>
      <c r="G105" s="422"/>
      <c r="H105" s="17" t="str">
        <f t="shared" si="24"/>
        <v/>
      </c>
      <c r="I105" s="18"/>
      <c r="J105" s="61"/>
      <c r="K105" s="605"/>
      <c r="L105" s="420" t="str">
        <f t="shared" si="25"/>
        <v/>
      </c>
      <c r="M105" s="401" t="str">
        <f t="shared" si="26"/>
        <v/>
      </c>
    </row>
    <row r="106" spans="2:13" x14ac:dyDescent="0.25">
      <c r="B106" s="58"/>
      <c r="C106" s="386"/>
      <c r="D106" s="587"/>
      <c r="E106" s="587"/>
      <c r="F106" s="15"/>
      <c r="G106" s="422"/>
      <c r="H106" s="17" t="str">
        <f t="shared" si="24"/>
        <v/>
      </c>
      <c r="I106" s="18"/>
      <c r="J106" s="61"/>
      <c r="K106" s="605"/>
      <c r="L106" s="420" t="str">
        <f t="shared" si="25"/>
        <v/>
      </c>
      <c r="M106" s="401" t="str">
        <f t="shared" si="26"/>
        <v/>
      </c>
    </row>
    <row r="107" spans="2:13" x14ac:dyDescent="0.25">
      <c r="B107" s="58"/>
      <c r="C107" s="386"/>
      <c r="D107" s="587"/>
      <c r="E107" s="587"/>
      <c r="F107" s="15"/>
      <c r="G107" s="422"/>
      <c r="H107" s="17" t="str">
        <f t="shared" si="24"/>
        <v/>
      </c>
      <c r="I107" s="18"/>
      <c r="J107" s="61"/>
      <c r="K107" s="609"/>
      <c r="L107" s="420" t="str">
        <f t="shared" si="25"/>
        <v/>
      </c>
      <c r="M107" s="401" t="str">
        <f t="shared" si="26"/>
        <v/>
      </c>
    </row>
    <row r="108" spans="2:13" x14ac:dyDescent="0.25">
      <c r="B108" s="58"/>
      <c r="C108" s="804"/>
      <c r="D108" s="587"/>
      <c r="E108" s="587"/>
      <c r="F108" s="15"/>
      <c r="G108" s="422"/>
      <c r="H108" s="17" t="str">
        <f t="shared" si="24"/>
        <v/>
      </c>
      <c r="I108" s="18"/>
      <c r="J108" s="61"/>
      <c r="K108" s="610"/>
      <c r="L108" s="420" t="str">
        <f t="shared" si="25"/>
        <v/>
      </c>
      <c r="M108" s="401" t="str">
        <f t="shared" si="26"/>
        <v/>
      </c>
    </row>
    <row r="109" spans="2:13" x14ac:dyDescent="0.25">
      <c r="B109" s="58"/>
      <c r="C109" s="584"/>
      <c r="D109" s="587"/>
      <c r="E109" s="587"/>
      <c r="F109" s="15"/>
      <c r="G109" s="422"/>
      <c r="H109" s="17" t="str">
        <f t="shared" si="24"/>
        <v/>
      </c>
      <c r="I109" s="18"/>
      <c r="J109" s="61"/>
      <c r="K109" s="605"/>
      <c r="L109" s="420" t="str">
        <f t="shared" si="25"/>
        <v/>
      </c>
      <c r="M109" s="401" t="str">
        <f t="shared" si="26"/>
        <v/>
      </c>
    </row>
    <row r="110" spans="2:13" x14ac:dyDescent="0.25">
      <c r="B110" s="58"/>
      <c r="C110" s="386"/>
      <c r="D110" s="587"/>
      <c r="E110" s="587"/>
      <c r="F110" s="15"/>
      <c r="G110" s="422"/>
      <c r="H110" s="17" t="str">
        <f t="shared" si="24"/>
        <v/>
      </c>
      <c r="I110" s="18"/>
      <c r="J110" s="61"/>
      <c r="K110" s="605"/>
      <c r="L110" s="420" t="str">
        <f t="shared" si="25"/>
        <v/>
      </c>
      <c r="M110" s="401" t="str">
        <f t="shared" si="26"/>
        <v/>
      </c>
    </row>
    <row r="111" spans="2:13" x14ac:dyDescent="0.25">
      <c r="B111" s="58"/>
      <c r="C111" s="65"/>
      <c r="D111" s="15"/>
      <c r="E111" s="15"/>
      <c r="F111" s="15"/>
      <c r="G111" s="422"/>
      <c r="H111" s="17" t="str">
        <f t="shared" si="24"/>
        <v/>
      </c>
      <c r="I111" s="18"/>
      <c r="J111" s="61"/>
      <c r="K111" s="399"/>
      <c r="L111" s="420" t="str">
        <f t="shared" si="25"/>
        <v/>
      </c>
      <c r="M111" s="401" t="str">
        <f t="shared" si="26"/>
        <v/>
      </c>
    </row>
    <row r="112" spans="2:13" x14ac:dyDescent="0.25">
      <c r="B112" s="58"/>
      <c r="C112" s="65"/>
      <c r="D112" s="15"/>
      <c r="E112" s="15"/>
      <c r="F112" s="15"/>
      <c r="G112" s="422"/>
      <c r="H112" s="17" t="str">
        <f t="shared" si="24"/>
        <v/>
      </c>
      <c r="I112" s="18"/>
      <c r="J112" s="61"/>
      <c r="K112" s="399"/>
      <c r="L112" s="420" t="str">
        <f t="shared" si="25"/>
        <v/>
      </c>
      <c r="M112" s="401" t="str">
        <f t="shared" si="26"/>
        <v/>
      </c>
    </row>
    <row r="113" spans="2:13" x14ac:dyDescent="0.25">
      <c r="B113" s="58"/>
      <c r="C113" s="65"/>
      <c r="D113" s="15"/>
      <c r="E113" s="15"/>
      <c r="F113" s="15"/>
      <c r="G113" s="422"/>
      <c r="H113" s="17" t="str">
        <f t="shared" si="24"/>
        <v/>
      </c>
      <c r="I113" s="18"/>
      <c r="J113" s="61"/>
      <c r="K113" s="399"/>
      <c r="L113" s="420" t="str">
        <f t="shared" si="25"/>
        <v/>
      </c>
      <c r="M113" s="401" t="str">
        <f t="shared" si="26"/>
        <v/>
      </c>
    </row>
    <row r="114" spans="2:13" x14ac:dyDescent="0.25">
      <c r="B114" s="58"/>
      <c r="C114" s="65"/>
      <c r="D114" s="15"/>
      <c r="E114" s="15"/>
      <c r="F114" s="15"/>
      <c r="G114" s="422"/>
      <c r="H114" s="17" t="str">
        <f t="shared" si="24"/>
        <v/>
      </c>
      <c r="I114" s="18"/>
      <c r="J114" s="61"/>
      <c r="K114" s="399"/>
      <c r="L114" s="420" t="str">
        <f t="shared" si="25"/>
        <v/>
      </c>
      <c r="M114" s="401" t="str">
        <f t="shared" si="26"/>
        <v/>
      </c>
    </row>
    <row r="115" spans="2:13" x14ac:dyDescent="0.25">
      <c r="B115" s="58"/>
      <c r="C115" s="65"/>
      <c r="D115" s="15"/>
      <c r="E115" s="15"/>
      <c r="F115" s="15"/>
      <c r="G115" s="422"/>
      <c r="H115" s="17" t="str">
        <f t="shared" si="24"/>
        <v/>
      </c>
      <c r="I115" s="18"/>
      <c r="J115" s="61"/>
      <c r="K115" s="402"/>
      <c r="L115" s="420" t="str">
        <f t="shared" si="25"/>
        <v/>
      </c>
      <c r="M115" s="401" t="str">
        <f t="shared" si="26"/>
        <v/>
      </c>
    </row>
    <row r="116" spans="2:13" x14ac:dyDescent="0.25">
      <c r="B116" s="58"/>
      <c r="C116" s="65"/>
      <c r="D116" s="15"/>
      <c r="E116" s="15"/>
      <c r="F116" s="15"/>
      <c r="G116" s="422"/>
      <c r="H116" s="17" t="str">
        <f t="shared" si="24"/>
        <v/>
      </c>
      <c r="I116" s="18"/>
      <c r="J116" s="61"/>
      <c r="K116" s="399"/>
      <c r="L116" s="420" t="str">
        <f t="shared" si="25"/>
        <v/>
      </c>
      <c r="M116" s="401" t="str">
        <f t="shared" si="26"/>
        <v/>
      </c>
    </row>
    <row r="117" spans="2:13" x14ac:dyDescent="0.25">
      <c r="B117" s="58"/>
      <c r="C117" s="65"/>
      <c r="D117" s="15"/>
      <c r="E117" s="15"/>
      <c r="F117" s="15"/>
      <c r="G117" s="422"/>
      <c r="H117" s="17" t="str">
        <f t="shared" si="24"/>
        <v/>
      </c>
      <c r="I117" s="18"/>
      <c r="J117" s="61"/>
      <c r="K117" s="402"/>
      <c r="L117" s="420" t="str">
        <f t="shared" si="25"/>
        <v/>
      </c>
      <c r="M117" s="401" t="str">
        <f t="shared" si="26"/>
        <v/>
      </c>
    </row>
    <row r="118" spans="2:13" x14ac:dyDescent="0.25">
      <c r="B118" s="58"/>
      <c r="C118" s="65"/>
      <c r="D118" s="15"/>
      <c r="E118" s="15"/>
      <c r="F118" s="15"/>
      <c r="G118" s="422"/>
      <c r="H118" s="17" t="str">
        <f t="shared" si="24"/>
        <v/>
      </c>
      <c r="I118" s="18"/>
      <c r="J118" s="61"/>
      <c r="K118" s="402"/>
      <c r="L118" s="420" t="str">
        <f t="shared" si="25"/>
        <v/>
      </c>
      <c r="M118" s="401" t="str">
        <f t="shared" si="26"/>
        <v/>
      </c>
    </row>
    <row r="119" spans="2:13" x14ac:dyDescent="0.25">
      <c r="B119" s="58"/>
      <c r="C119" s="65"/>
      <c r="D119" s="15"/>
      <c r="E119" s="15"/>
      <c r="F119" s="15"/>
      <c r="G119" s="422"/>
      <c r="H119" s="17" t="str">
        <f t="shared" si="24"/>
        <v/>
      </c>
      <c r="I119" s="18"/>
      <c r="J119" s="61"/>
      <c r="K119" s="399"/>
      <c r="L119" s="420" t="str">
        <f t="shared" si="25"/>
        <v/>
      </c>
      <c r="M119" s="401" t="str">
        <f t="shared" si="26"/>
        <v/>
      </c>
    </row>
    <row r="120" spans="2:13" x14ac:dyDescent="0.25">
      <c r="B120" s="58"/>
      <c r="C120" s="65"/>
      <c r="D120" s="15"/>
      <c r="E120" s="15"/>
      <c r="F120" s="15"/>
      <c r="G120" s="422"/>
      <c r="H120" s="17" t="str">
        <f t="shared" si="24"/>
        <v/>
      </c>
      <c r="I120" s="18"/>
      <c r="J120" s="61"/>
      <c r="K120" s="399"/>
      <c r="L120" s="420" t="str">
        <f t="shared" si="25"/>
        <v/>
      </c>
      <c r="M120" s="401" t="str">
        <f t="shared" si="26"/>
        <v/>
      </c>
    </row>
    <row r="121" spans="2:13" x14ac:dyDescent="0.25">
      <c r="B121" s="58"/>
      <c r="C121" s="65"/>
      <c r="D121" s="15"/>
      <c r="E121" s="15"/>
      <c r="F121" s="15"/>
      <c r="G121" s="422"/>
      <c r="H121" s="17" t="str">
        <f t="shared" si="24"/>
        <v/>
      </c>
      <c r="I121" s="18"/>
      <c r="J121" s="61"/>
      <c r="K121" s="399"/>
      <c r="L121" s="420" t="str">
        <f t="shared" si="25"/>
        <v/>
      </c>
      <c r="M121" s="401" t="str">
        <f t="shared" si="26"/>
        <v/>
      </c>
    </row>
    <row r="122" spans="2:13" ht="13" x14ac:dyDescent="0.25">
      <c r="B122" s="146"/>
      <c r="C122" s="672"/>
      <c r="D122" s="15"/>
      <c r="E122" s="15"/>
      <c r="F122" s="15"/>
      <c r="G122" s="422"/>
      <c r="H122" s="17" t="str">
        <f t="shared" si="24"/>
        <v/>
      </c>
      <c r="I122" s="18"/>
      <c r="J122" s="61"/>
      <c r="K122" s="399"/>
      <c r="L122" s="420" t="str">
        <f t="shared" si="25"/>
        <v/>
      </c>
      <c r="M122" s="401" t="str">
        <f t="shared" si="26"/>
        <v/>
      </c>
    </row>
    <row r="123" spans="2:13" x14ac:dyDescent="0.25">
      <c r="B123" s="58"/>
      <c r="C123" s="65"/>
      <c r="D123" s="15"/>
      <c r="E123" s="15"/>
      <c r="F123" s="15"/>
      <c r="G123" s="422"/>
      <c r="H123" s="17" t="str">
        <f t="shared" si="24"/>
        <v/>
      </c>
      <c r="I123" s="18"/>
      <c r="J123" s="62"/>
      <c r="K123" s="62"/>
      <c r="L123" s="420" t="str">
        <f t="shared" si="25"/>
        <v/>
      </c>
      <c r="M123" s="401" t="str">
        <f t="shared" si="26"/>
        <v/>
      </c>
    </row>
    <row r="124" spans="2:13" x14ac:dyDescent="0.25">
      <c r="B124" s="58"/>
      <c r="C124" s="65"/>
      <c r="D124" s="15"/>
      <c r="E124" s="15"/>
      <c r="F124" s="15"/>
      <c r="G124" s="422"/>
      <c r="H124" s="17" t="str">
        <f t="shared" si="24"/>
        <v/>
      </c>
      <c r="I124" s="18"/>
      <c r="J124" s="61"/>
      <c r="K124" s="62"/>
      <c r="L124" s="420" t="str">
        <f t="shared" si="25"/>
        <v/>
      </c>
      <c r="M124" s="401" t="str">
        <f t="shared" si="26"/>
        <v/>
      </c>
    </row>
    <row r="125" spans="2:13" x14ac:dyDescent="0.25">
      <c r="B125" s="58"/>
      <c r="C125" s="65"/>
      <c r="D125" s="15"/>
      <c r="E125" s="15"/>
      <c r="F125" s="15"/>
      <c r="G125" s="422"/>
      <c r="H125" s="17" t="str">
        <f t="shared" si="24"/>
        <v/>
      </c>
      <c r="I125" s="18"/>
      <c r="J125" s="61"/>
      <c r="K125" s="62"/>
      <c r="L125" s="420" t="str">
        <f t="shared" si="25"/>
        <v/>
      </c>
      <c r="M125" s="401" t="str">
        <f t="shared" si="26"/>
        <v/>
      </c>
    </row>
    <row r="126" spans="2:13" x14ac:dyDescent="0.25">
      <c r="B126" s="58"/>
      <c r="C126" s="65"/>
      <c r="D126" s="15"/>
      <c r="E126" s="15"/>
      <c r="F126" s="15"/>
      <c r="G126" s="422"/>
      <c r="H126" s="17" t="str">
        <f t="shared" si="24"/>
        <v/>
      </c>
      <c r="I126" s="18"/>
      <c r="J126" s="61"/>
      <c r="K126" s="62"/>
      <c r="L126" s="420" t="str">
        <f t="shared" si="25"/>
        <v/>
      </c>
      <c r="M126" s="401" t="str">
        <f t="shared" si="26"/>
        <v/>
      </c>
    </row>
    <row r="127" spans="2:13" x14ac:dyDescent="0.25">
      <c r="B127" s="58"/>
      <c r="C127" s="65"/>
      <c r="D127" s="15"/>
      <c r="E127" s="15"/>
      <c r="F127" s="15"/>
      <c r="G127" s="422"/>
      <c r="H127" s="17" t="str">
        <f t="shared" si="24"/>
        <v/>
      </c>
      <c r="I127" s="18"/>
      <c r="J127" s="61"/>
      <c r="K127" s="62"/>
      <c r="L127" s="420" t="str">
        <f t="shared" si="25"/>
        <v/>
      </c>
      <c r="M127" s="401" t="str">
        <f t="shared" si="26"/>
        <v/>
      </c>
    </row>
    <row r="128" spans="2:13" x14ac:dyDescent="0.25">
      <c r="B128" s="58"/>
      <c r="C128" s="65"/>
      <c r="D128" s="15"/>
      <c r="E128" s="15"/>
      <c r="F128" s="15"/>
      <c r="G128" s="422"/>
      <c r="H128" s="17" t="str">
        <f t="shared" si="24"/>
        <v/>
      </c>
      <c r="I128" s="18"/>
      <c r="J128" s="62"/>
      <c r="K128" s="62"/>
      <c r="L128" s="420" t="str">
        <f t="shared" si="25"/>
        <v/>
      </c>
      <c r="M128" s="401" t="str">
        <f t="shared" si="26"/>
        <v/>
      </c>
    </row>
    <row r="129" spans="2:13" x14ac:dyDescent="0.25">
      <c r="B129" s="58"/>
      <c r="C129" s="65"/>
      <c r="D129" s="15"/>
      <c r="E129" s="15"/>
      <c r="F129" s="15"/>
      <c r="G129" s="422"/>
      <c r="H129" s="17" t="str">
        <f t="shared" si="24"/>
        <v/>
      </c>
      <c r="I129" s="18"/>
      <c r="J129" s="62"/>
      <c r="K129" s="62"/>
      <c r="L129" s="420" t="str">
        <f t="shared" si="25"/>
        <v/>
      </c>
      <c r="M129" s="401" t="str">
        <f t="shared" si="26"/>
        <v/>
      </c>
    </row>
    <row r="130" spans="2:13" x14ac:dyDescent="0.25">
      <c r="B130" s="58"/>
      <c r="C130" s="65"/>
      <c r="D130" s="15"/>
      <c r="E130" s="15"/>
      <c r="F130" s="15"/>
      <c r="G130" s="422"/>
      <c r="H130" s="17" t="str">
        <f t="shared" si="24"/>
        <v/>
      </c>
      <c r="I130" s="18"/>
      <c r="J130" s="62"/>
      <c r="K130" s="62"/>
      <c r="L130" s="420" t="str">
        <f t="shared" si="25"/>
        <v/>
      </c>
      <c r="M130" s="401" t="str">
        <f t="shared" si="26"/>
        <v/>
      </c>
    </row>
    <row r="131" spans="2:13" x14ac:dyDescent="0.25">
      <c r="B131" s="58"/>
      <c r="C131" s="65"/>
      <c r="D131" s="15"/>
      <c r="E131" s="15"/>
      <c r="F131" s="15"/>
      <c r="G131" s="422"/>
      <c r="H131" s="17" t="str">
        <f t="shared" si="24"/>
        <v/>
      </c>
      <c r="I131" s="18"/>
      <c r="J131" s="62"/>
      <c r="K131" s="62"/>
      <c r="L131" s="420" t="str">
        <f t="shared" si="25"/>
        <v/>
      </c>
      <c r="M131" s="401" t="str">
        <f t="shared" si="26"/>
        <v/>
      </c>
    </row>
    <row r="132" spans="2:13" x14ac:dyDescent="0.25">
      <c r="B132" s="58"/>
      <c r="C132" s="65"/>
      <c r="D132" s="15"/>
      <c r="E132" s="15"/>
      <c r="F132" s="15"/>
      <c r="G132" s="422"/>
      <c r="H132" s="17" t="str">
        <f t="shared" si="24"/>
        <v/>
      </c>
      <c r="I132" s="18"/>
      <c r="J132" s="62"/>
      <c r="K132" s="62"/>
      <c r="L132" s="420" t="str">
        <f t="shared" si="25"/>
        <v/>
      </c>
      <c r="M132" s="401" t="str">
        <f t="shared" si="26"/>
        <v/>
      </c>
    </row>
    <row r="133" spans="2:13" x14ac:dyDescent="0.25">
      <c r="B133" s="58"/>
      <c r="C133" s="65"/>
      <c r="D133" s="15"/>
      <c r="E133" s="15"/>
      <c r="F133" s="15"/>
      <c r="G133" s="422"/>
      <c r="H133" s="17" t="str">
        <f t="shared" si="24"/>
        <v/>
      </c>
      <c r="I133" s="18"/>
      <c r="J133" s="62"/>
      <c r="K133" s="62"/>
      <c r="L133" s="420" t="str">
        <f t="shared" si="25"/>
        <v/>
      </c>
      <c r="M133" s="401" t="str">
        <f t="shared" si="26"/>
        <v/>
      </c>
    </row>
    <row r="134" spans="2:13" x14ac:dyDescent="0.25">
      <c r="B134" s="58"/>
      <c r="C134" s="65"/>
      <c r="D134" s="15"/>
      <c r="E134" s="15"/>
      <c r="F134" s="15"/>
      <c r="G134" s="422"/>
      <c r="H134" s="17" t="str">
        <f t="shared" si="24"/>
        <v/>
      </c>
      <c r="I134" s="18"/>
      <c r="J134" s="62"/>
      <c r="K134" s="62"/>
      <c r="L134" s="420" t="str">
        <f t="shared" si="25"/>
        <v/>
      </c>
      <c r="M134" s="401" t="str">
        <f t="shared" si="26"/>
        <v/>
      </c>
    </row>
    <row r="135" spans="2:13" x14ac:dyDescent="0.25">
      <c r="B135" s="58"/>
      <c r="C135" s="65"/>
      <c r="D135" s="15"/>
      <c r="E135" s="15"/>
      <c r="F135" s="15"/>
      <c r="G135" s="422"/>
      <c r="H135" s="17" t="str">
        <f t="shared" si="24"/>
        <v/>
      </c>
      <c r="I135" s="18"/>
      <c r="J135" s="62"/>
      <c r="K135" s="62"/>
      <c r="L135" s="420" t="str">
        <f t="shared" si="25"/>
        <v/>
      </c>
      <c r="M135" s="401" t="str">
        <f t="shared" si="26"/>
        <v/>
      </c>
    </row>
    <row r="136" spans="2:13" x14ac:dyDescent="0.25">
      <c r="B136" s="58"/>
      <c r="C136" s="65"/>
      <c r="D136" s="15"/>
      <c r="E136" s="15"/>
      <c r="F136" s="15"/>
      <c r="G136" s="422"/>
      <c r="H136" s="17" t="str">
        <f t="shared" si="24"/>
        <v/>
      </c>
      <c r="I136" s="18"/>
      <c r="J136" s="62"/>
      <c r="K136" s="62"/>
      <c r="L136" s="420" t="str">
        <f t="shared" si="25"/>
        <v/>
      </c>
      <c r="M136" s="401" t="str">
        <f t="shared" si="26"/>
        <v/>
      </c>
    </row>
    <row r="137" spans="2:13" x14ac:dyDescent="0.25">
      <c r="B137" s="58"/>
      <c r="C137" s="65"/>
      <c r="D137" s="15"/>
      <c r="E137" s="15"/>
      <c r="F137" s="15"/>
      <c r="G137" s="422"/>
      <c r="H137" s="17" t="str">
        <f t="shared" si="24"/>
        <v/>
      </c>
      <c r="I137" s="18"/>
      <c r="J137" s="62"/>
      <c r="K137" s="62"/>
      <c r="L137" s="420" t="str">
        <f t="shared" si="25"/>
        <v/>
      </c>
      <c r="M137" s="401" t="str">
        <f t="shared" si="26"/>
        <v/>
      </c>
    </row>
    <row r="138" spans="2:13" x14ac:dyDescent="0.25">
      <c r="B138" s="58"/>
      <c r="C138" s="65"/>
      <c r="D138" s="15"/>
      <c r="E138" s="15"/>
      <c r="F138" s="15"/>
      <c r="G138" s="422"/>
      <c r="H138" s="17" t="str">
        <f t="shared" si="24"/>
        <v/>
      </c>
      <c r="I138" s="18"/>
      <c r="J138" s="62"/>
      <c r="K138" s="62"/>
      <c r="L138" s="420" t="str">
        <f t="shared" si="25"/>
        <v/>
      </c>
      <c r="M138" s="401" t="str">
        <f t="shared" si="26"/>
        <v/>
      </c>
    </row>
    <row r="139" spans="2:13" x14ac:dyDescent="0.25">
      <c r="B139" s="58"/>
      <c r="C139" s="65"/>
      <c r="D139" s="15"/>
      <c r="E139" s="15"/>
      <c r="F139" s="15"/>
      <c r="G139" s="422"/>
      <c r="H139" s="17" t="str">
        <f t="shared" si="24"/>
        <v/>
      </c>
      <c r="I139" s="18"/>
      <c r="J139" s="62"/>
      <c r="K139" s="62"/>
      <c r="L139" s="420" t="str">
        <f t="shared" si="25"/>
        <v/>
      </c>
      <c r="M139" s="401" t="str">
        <f t="shared" si="26"/>
        <v/>
      </c>
    </row>
    <row r="140" spans="2:13" x14ac:dyDescent="0.25">
      <c r="B140" s="58"/>
      <c r="C140" s="65"/>
      <c r="D140" s="15"/>
      <c r="E140" s="15"/>
      <c r="F140" s="15"/>
      <c r="G140" s="422"/>
      <c r="H140" s="17" t="str">
        <f t="shared" si="24"/>
        <v/>
      </c>
      <c r="I140" s="18"/>
      <c r="J140" s="62"/>
      <c r="K140" s="62"/>
      <c r="L140" s="420" t="str">
        <f t="shared" si="25"/>
        <v/>
      </c>
      <c r="M140" s="401" t="str">
        <f t="shared" si="26"/>
        <v/>
      </c>
    </row>
    <row r="141" spans="2:13" x14ac:dyDescent="0.25">
      <c r="B141" s="58"/>
      <c r="C141" s="65"/>
      <c r="D141" s="15"/>
      <c r="E141" s="15"/>
      <c r="F141" s="15"/>
      <c r="G141" s="422"/>
      <c r="H141" s="17" t="str">
        <f t="shared" si="24"/>
        <v/>
      </c>
      <c r="I141" s="18"/>
      <c r="J141" s="62"/>
      <c r="K141" s="62"/>
      <c r="L141" s="420" t="str">
        <f t="shared" si="25"/>
        <v/>
      </c>
      <c r="M141" s="401" t="str">
        <f t="shared" si="26"/>
        <v/>
      </c>
    </row>
    <row r="142" spans="2:13" x14ac:dyDescent="0.25">
      <c r="B142" s="58"/>
      <c r="C142" s="65"/>
      <c r="D142" s="15"/>
      <c r="E142" s="15"/>
      <c r="F142" s="15"/>
      <c r="G142" s="422"/>
      <c r="H142" s="17" t="str">
        <f t="shared" si="24"/>
        <v/>
      </c>
      <c r="I142" s="18"/>
      <c r="J142" s="62"/>
      <c r="K142" s="62"/>
      <c r="L142" s="420" t="str">
        <f t="shared" si="25"/>
        <v/>
      </c>
      <c r="M142" s="401" t="str">
        <f t="shared" si="26"/>
        <v/>
      </c>
    </row>
    <row r="143" spans="2:13" x14ac:dyDescent="0.25">
      <c r="B143" s="58"/>
      <c r="C143" s="65"/>
      <c r="D143" s="15"/>
      <c r="E143" s="15"/>
      <c r="F143" s="15"/>
      <c r="G143" s="422"/>
      <c r="H143" s="17" t="str">
        <f t="shared" si="24"/>
        <v/>
      </c>
      <c r="I143" s="18"/>
      <c r="J143" s="61"/>
      <c r="K143" s="62"/>
      <c r="L143" s="420" t="str">
        <f t="shared" si="25"/>
        <v/>
      </c>
      <c r="M143" s="401" t="str">
        <f t="shared" si="26"/>
        <v/>
      </c>
    </row>
    <row r="144" spans="2:13" x14ac:dyDescent="0.25">
      <c r="B144" s="58"/>
      <c r="C144" s="65"/>
      <c r="D144" s="15"/>
      <c r="E144" s="15"/>
      <c r="F144" s="15"/>
      <c r="G144" s="422"/>
      <c r="H144" s="17" t="str">
        <f t="shared" si="24"/>
        <v/>
      </c>
      <c r="I144" s="18"/>
      <c r="J144" s="61"/>
      <c r="K144" s="695"/>
      <c r="L144" s="420" t="str">
        <f t="shared" si="25"/>
        <v/>
      </c>
      <c r="M144" s="401" t="str">
        <f t="shared" si="26"/>
        <v/>
      </c>
    </row>
    <row r="145" spans="2:13" x14ac:dyDescent="0.25">
      <c r="B145" s="58"/>
      <c r="C145" s="65"/>
      <c r="D145" s="15"/>
      <c r="E145" s="15"/>
      <c r="F145" s="15"/>
      <c r="G145" s="422"/>
      <c r="H145" s="17" t="str">
        <f t="shared" si="24"/>
        <v/>
      </c>
      <c r="I145" s="18"/>
      <c r="J145" s="61"/>
      <c r="K145" s="696"/>
      <c r="L145" s="420" t="str">
        <f t="shared" si="25"/>
        <v/>
      </c>
      <c r="M145" s="401" t="str">
        <f t="shared" si="26"/>
        <v/>
      </c>
    </row>
    <row r="146" spans="2:13" s="28" customFormat="1" ht="24.75" customHeight="1" x14ac:dyDescent="0.25">
      <c r="B146" s="144" t="str">
        <f>$B$12</f>
        <v>C13.7</v>
      </c>
      <c r="C146" s="30" t="s">
        <v>791</v>
      </c>
      <c r="D146" s="31"/>
      <c r="E146" s="31"/>
      <c r="F146" s="32"/>
      <c r="G146" s="31"/>
      <c r="H146" s="33">
        <f>SUM(H80:H145)</f>
        <v>0</v>
      </c>
      <c r="I146" s="34"/>
      <c r="J146" s="408"/>
      <c r="K146" s="406"/>
      <c r="L146" s="418">
        <f>SUM(L80:L145)</f>
        <v>0</v>
      </c>
      <c r="M146" s="407" t="str">
        <f t="shared" ref="M146" si="27">IF(J146="","",IF(SUM(H146)=0,"",L146/H146))</f>
        <v/>
      </c>
    </row>
  </sheetData>
  <mergeCells count="13">
    <mergeCell ref="B75:G75"/>
    <mergeCell ref="H75:H78"/>
    <mergeCell ref="F3:H3"/>
    <mergeCell ref="B6:G6"/>
    <mergeCell ref="H6:H9"/>
    <mergeCell ref="B72:D72"/>
    <mergeCell ref="F72:H74"/>
    <mergeCell ref="B73:D73"/>
    <mergeCell ref="B74:D74"/>
    <mergeCell ref="B7:G7"/>
    <mergeCell ref="B8:G8"/>
    <mergeCell ref="B76:G76"/>
    <mergeCell ref="B77:G77"/>
  </mergeCells>
  <conditionalFormatting sqref="G11:H71">
    <cfRule type="expression" dxfId="55" priority="1">
      <formula>AND(_Show_Price=FALSE,$D11&lt;&gt;"PC Sum",$D11&lt;&gt;"P C Sum",$D11&lt;&gt;"Prov Sum",$D11&lt;&gt;"P Sum")</formula>
    </cfRule>
  </conditionalFormatting>
  <conditionalFormatting sqref="G80:H146">
    <cfRule type="expression" dxfId="54" priority="4">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33">
    <tabColor rgb="FFFFFF00"/>
  </sheetPr>
  <dimension ref="A1:N145"/>
  <sheetViews>
    <sheetView view="pageBreakPreview" zoomScale="90" zoomScaleNormal="125" zoomScaleSheetLayoutView="90" zoomScalePageLayoutView="125" workbookViewId="0">
      <pane ySplit="2" topLeftCell="A3" activePane="bottomLeft" state="frozen"/>
      <selection activeCell="C28" sqref="C28"/>
      <selection pane="bottomLeft" activeCell="G16" sqref="G1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MAX(H2:H206)</f>
        <v>0</v>
      </c>
      <c r="I1" s="247">
        <f>MAX(I2:I206)</f>
        <v>0</v>
      </c>
      <c r="J1" s="248"/>
      <c r="K1" s="249"/>
      <c r="L1" s="247">
        <f>MAX(L2:L206)</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C13.8</v>
      </c>
      <c r="I6" s="6"/>
    </row>
    <row r="7" spans="1:14" ht="33.7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4" customHeight="1" x14ac:dyDescent="0.25">
      <c r="B8" s="1152" t="s">
        <v>1774</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A11" s="5"/>
      <c r="B11" s="58"/>
      <c r="C11" s="65"/>
      <c r="D11" s="15"/>
      <c r="E11" s="15"/>
      <c r="F11" s="15"/>
      <c r="G11" s="411"/>
      <c r="H11" s="17" t="str">
        <f t="shared" ref="H11:H69" si="0">IF(D11="","",F11*G11)</f>
        <v/>
      </c>
      <c r="I11" s="18"/>
      <c r="J11" s="61"/>
      <c r="K11" s="399"/>
      <c r="L11" s="420" t="str">
        <f t="shared" ref="L11" si="1">IF(J11="","",F11*K11)</f>
        <v/>
      </c>
      <c r="M11" s="401" t="str">
        <f>IF(J11="","",IF(SUM(H11)=0,"",L11/H11))</f>
        <v/>
      </c>
    </row>
    <row r="12" spans="1:14" ht="13" x14ac:dyDescent="0.25">
      <c r="A12" s="5"/>
      <c r="B12" s="146" t="s">
        <v>359</v>
      </c>
      <c r="C12" s="672" t="s">
        <v>360</v>
      </c>
      <c r="D12" s="15"/>
      <c r="E12" s="15"/>
      <c r="F12" s="15"/>
      <c r="G12" s="411"/>
      <c r="H12" s="17" t="str">
        <f t="shared" si="0"/>
        <v/>
      </c>
      <c r="I12" s="18"/>
      <c r="J12" s="61"/>
      <c r="K12" s="399"/>
      <c r="L12" s="420" t="str">
        <f t="shared" ref="L12:L69" si="2">IF(J12="","",F12*K12)</f>
        <v/>
      </c>
      <c r="M12" s="401" t="str">
        <f t="shared" ref="M12:M69" si="3">IF(J12="","",IF(SUM(H12)=0,"",L12/H12))</f>
        <v/>
      </c>
    </row>
    <row r="13" spans="1:14" ht="13" x14ac:dyDescent="0.25">
      <c r="A13" s="5"/>
      <c r="B13" s="146"/>
      <c r="C13" s="65"/>
      <c r="D13" s="15"/>
      <c r="E13" s="15"/>
      <c r="F13" s="15"/>
      <c r="G13" s="411"/>
      <c r="H13" s="17" t="str">
        <f t="shared" si="0"/>
        <v/>
      </c>
      <c r="I13" s="18"/>
      <c r="J13" s="61"/>
      <c r="K13" s="399"/>
      <c r="L13" s="420" t="str">
        <f t="shared" si="2"/>
        <v/>
      </c>
      <c r="M13" s="401" t="str">
        <f t="shared" si="3"/>
        <v/>
      </c>
    </row>
    <row r="14" spans="1:14" ht="13" x14ac:dyDescent="0.25">
      <c r="A14" s="5"/>
      <c r="B14" s="146" t="s">
        <v>1890</v>
      </c>
      <c r="C14" s="672" t="s">
        <v>364</v>
      </c>
      <c r="D14" s="15"/>
      <c r="E14" s="15"/>
      <c r="F14" s="15"/>
      <c r="G14" s="411"/>
      <c r="H14" s="17" t="str">
        <f t="shared" si="0"/>
        <v/>
      </c>
      <c r="I14" s="18"/>
      <c r="J14" s="61"/>
      <c r="K14" s="399"/>
      <c r="L14" s="420" t="str">
        <f t="shared" si="2"/>
        <v/>
      </c>
      <c r="M14" s="401" t="str">
        <f t="shared" si="3"/>
        <v/>
      </c>
    </row>
    <row r="15" spans="1:14" x14ac:dyDescent="0.25">
      <c r="A15" s="5"/>
      <c r="B15" s="58"/>
      <c r="C15" s="65"/>
      <c r="D15" s="15"/>
      <c r="E15" s="15"/>
      <c r="F15" s="15"/>
      <c r="G15" s="411"/>
      <c r="H15" s="17" t="str">
        <f t="shared" si="0"/>
        <v/>
      </c>
      <c r="I15" s="18"/>
      <c r="J15" s="61"/>
      <c r="K15" s="399"/>
      <c r="L15" s="420" t="str">
        <f t="shared" si="2"/>
        <v/>
      </c>
      <c r="M15" s="401" t="str">
        <f t="shared" si="3"/>
        <v/>
      </c>
    </row>
    <row r="16" spans="1:14" x14ac:dyDescent="0.25">
      <c r="A16" s="5"/>
      <c r="B16" s="58" t="s">
        <v>370</v>
      </c>
      <c r="C16" s="65" t="s">
        <v>1957</v>
      </c>
      <c r="D16" s="15" t="s">
        <v>34</v>
      </c>
      <c r="E16" s="15" t="s">
        <v>996</v>
      </c>
      <c r="F16" s="15">
        <v>1</v>
      </c>
      <c r="G16" s="411"/>
      <c r="H16" s="17">
        <f t="shared" si="0"/>
        <v>0</v>
      </c>
      <c r="I16" s="18"/>
      <c r="J16" s="61" t="s">
        <v>1721</v>
      </c>
      <c r="K16" s="399">
        <f>IF(D16="","",ROUND(12%*G16,1))</f>
        <v>0</v>
      </c>
      <c r="L16" s="420">
        <f t="shared" si="2"/>
        <v>0</v>
      </c>
      <c r="M16" s="401" t="str">
        <f t="shared" si="3"/>
        <v/>
      </c>
    </row>
    <row r="17" spans="1:13" x14ac:dyDescent="0.25">
      <c r="A17" s="5"/>
      <c r="B17" s="58"/>
      <c r="C17" s="65"/>
      <c r="D17" s="15"/>
      <c r="E17" s="15"/>
      <c r="F17" s="24"/>
      <c r="G17" s="411"/>
      <c r="H17" s="17" t="str">
        <f t="shared" si="0"/>
        <v/>
      </c>
      <c r="I17" s="57"/>
      <c r="J17" s="61"/>
      <c r="K17" s="399"/>
      <c r="L17" s="420" t="str">
        <f t="shared" si="2"/>
        <v/>
      </c>
      <c r="M17" s="401" t="str">
        <f t="shared" si="3"/>
        <v/>
      </c>
    </row>
    <row r="18" spans="1:13" ht="13" x14ac:dyDescent="0.25">
      <c r="A18" s="5"/>
      <c r="B18" s="146" t="s">
        <v>371</v>
      </c>
      <c r="C18" s="672" t="s">
        <v>365</v>
      </c>
      <c r="D18" s="15"/>
      <c r="E18" s="15"/>
      <c r="F18" s="24"/>
      <c r="G18" s="411"/>
      <c r="H18" s="17" t="str">
        <f t="shared" si="0"/>
        <v/>
      </c>
      <c r="I18" s="57"/>
      <c r="J18" s="61"/>
      <c r="K18" s="400"/>
      <c r="L18" s="420" t="str">
        <f t="shared" si="2"/>
        <v/>
      </c>
      <c r="M18" s="401" t="str">
        <f t="shared" si="3"/>
        <v/>
      </c>
    </row>
    <row r="19" spans="1:13" x14ac:dyDescent="0.25">
      <c r="A19" s="5"/>
      <c r="B19" s="58"/>
      <c r="C19" s="65"/>
      <c r="D19" s="15"/>
      <c r="E19" s="15"/>
      <c r="F19" s="24"/>
      <c r="G19" s="411"/>
      <c r="H19" s="17" t="str">
        <f t="shared" si="0"/>
        <v/>
      </c>
      <c r="I19" s="57"/>
      <c r="J19" s="61"/>
      <c r="K19" s="399"/>
      <c r="L19" s="420" t="str">
        <f t="shared" si="2"/>
        <v/>
      </c>
      <c r="M19" s="401" t="str">
        <f t="shared" si="3"/>
        <v/>
      </c>
    </row>
    <row r="20" spans="1:13" x14ac:dyDescent="0.25">
      <c r="A20" s="5"/>
      <c r="B20" s="58" t="s">
        <v>373</v>
      </c>
      <c r="C20" s="65" t="s">
        <v>367</v>
      </c>
      <c r="D20" s="61"/>
      <c r="E20" s="61"/>
      <c r="F20" s="15"/>
      <c r="G20" s="411"/>
      <c r="H20" s="17" t="str">
        <f t="shared" si="0"/>
        <v/>
      </c>
      <c r="I20" s="18"/>
      <c r="J20" s="62"/>
      <c r="K20" s="62"/>
      <c r="L20" s="420" t="str">
        <f t="shared" si="2"/>
        <v/>
      </c>
      <c r="M20" s="401" t="str">
        <f t="shared" si="3"/>
        <v/>
      </c>
    </row>
    <row r="21" spans="1:13" x14ac:dyDescent="0.25">
      <c r="A21" s="5"/>
      <c r="B21" s="58"/>
      <c r="C21" s="65"/>
      <c r="D21" s="15"/>
      <c r="E21" s="15"/>
      <c r="F21" s="61"/>
      <c r="G21" s="411"/>
      <c r="H21" s="17" t="str">
        <f t="shared" si="0"/>
        <v/>
      </c>
      <c r="I21" s="63"/>
      <c r="J21" s="62"/>
      <c r="K21" s="62"/>
      <c r="L21" s="420" t="str">
        <f t="shared" si="2"/>
        <v/>
      </c>
      <c r="M21" s="401" t="str">
        <f t="shared" si="3"/>
        <v/>
      </c>
    </row>
    <row r="22" spans="1:13" x14ac:dyDescent="0.25">
      <c r="A22" s="5"/>
      <c r="B22" s="58" t="s">
        <v>39</v>
      </c>
      <c r="C22" s="65" t="s">
        <v>1727</v>
      </c>
      <c r="D22" s="61" t="s">
        <v>6</v>
      </c>
      <c r="E22" s="61" t="s">
        <v>996</v>
      </c>
      <c r="F22" s="15">
        <v>92</v>
      </c>
      <c r="G22" s="411"/>
      <c r="H22" s="17">
        <f t="shared" si="0"/>
        <v>0</v>
      </c>
      <c r="I22" s="18"/>
      <c r="J22" s="61" t="s">
        <v>1721</v>
      </c>
      <c r="K22" s="399">
        <f>IF(D22="","",ROUND(12%*G22,1))</f>
        <v>0</v>
      </c>
      <c r="L22" s="420">
        <f t="shared" si="2"/>
        <v>0</v>
      </c>
      <c r="M22" s="401" t="str">
        <f t="shared" si="3"/>
        <v/>
      </c>
    </row>
    <row r="23" spans="1:13" x14ac:dyDescent="0.25">
      <c r="A23" s="5"/>
      <c r="B23" s="58"/>
      <c r="C23" s="65"/>
      <c r="D23" s="15"/>
      <c r="E23" s="15"/>
      <c r="F23" s="24"/>
      <c r="G23" s="411"/>
      <c r="H23" s="17" t="str">
        <f t="shared" si="0"/>
        <v/>
      </c>
      <c r="I23" s="57"/>
      <c r="J23" s="61"/>
      <c r="K23" s="402"/>
      <c r="L23" s="420" t="str">
        <f t="shared" si="2"/>
        <v/>
      </c>
      <c r="M23" s="401" t="str">
        <f t="shared" si="3"/>
        <v/>
      </c>
    </row>
    <row r="24" spans="1:13" ht="13" x14ac:dyDescent="0.25">
      <c r="A24" s="5"/>
      <c r="B24" s="146" t="s">
        <v>1897</v>
      </c>
      <c r="C24" s="672" t="s">
        <v>1728</v>
      </c>
      <c r="D24" s="15"/>
      <c r="E24" s="15"/>
      <c r="F24" s="15"/>
      <c r="G24" s="411"/>
      <c r="H24" s="17" t="str">
        <f t="shared" si="0"/>
        <v/>
      </c>
      <c r="I24" s="18"/>
      <c r="J24" s="62"/>
      <c r="K24" s="62"/>
      <c r="L24" s="420" t="str">
        <f t="shared" si="2"/>
        <v/>
      </c>
      <c r="M24" s="401" t="str">
        <f t="shared" si="3"/>
        <v/>
      </c>
    </row>
    <row r="25" spans="1:13" x14ac:dyDescent="0.25">
      <c r="A25" s="5"/>
      <c r="B25" s="58"/>
      <c r="C25" s="65"/>
      <c r="D25" s="15"/>
      <c r="E25" s="15"/>
      <c r="F25" s="15"/>
      <c r="G25" s="411"/>
      <c r="H25" s="17" t="str">
        <f t="shared" si="0"/>
        <v/>
      </c>
      <c r="I25" s="18"/>
      <c r="J25" s="62"/>
      <c r="K25" s="62"/>
      <c r="L25" s="420" t="str">
        <f t="shared" si="2"/>
        <v/>
      </c>
      <c r="M25" s="401" t="str">
        <f t="shared" si="3"/>
        <v/>
      </c>
    </row>
    <row r="26" spans="1:13" ht="14.5" x14ac:dyDescent="0.25">
      <c r="A26" s="5"/>
      <c r="B26" s="58" t="s">
        <v>39</v>
      </c>
      <c r="C26" s="65" t="s">
        <v>1764</v>
      </c>
      <c r="D26" s="15" t="s">
        <v>61</v>
      </c>
      <c r="E26" s="15" t="s">
        <v>996</v>
      </c>
      <c r="F26" s="15">
        <v>250</v>
      </c>
      <c r="G26" s="411"/>
      <c r="H26" s="17">
        <f t="shared" si="0"/>
        <v>0</v>
      </c>
      <c r="I26" s="18"/>
      <c r="J26" s="61" t="s">
        <v>1721</v>
      </c>
      <c r="K26" s="399">
        <f>IF(D26="","",ROUND(12%*G26,1))</f>
        <v>0</v>
      </c>
      <c r="L26" s="420">
        <f t="shared" si="2"/>
        <v>0</v>
      </c>
      <c r="M26" s="401" t="str">
        <f t="shared" si="3"/>
        <v/>
      </c>
    </row>
    <row r="27" spans="1:13" x14ac:dyDescent="0.25">
      <c r="A27" s="5"/>
      <c r="B27" s="58"/>
      <c r="C27" s="65"/>
      <c r="D27" s="15"/>
      <c r="E27" s="15"/>
      <c r="F27" s="15"/>
      <c r="G27" s="411"/>
      <c r="H27" s="17" t="str">
        <f t="shared" si="0"/>
        <v/>
      </c>
      <c r="I27" s="18"/>
      <c r="J27" s="62"/>
      <c r="K27" s="62"/>
      <c r="L27" s="420" t="str">
        <f t="shared" si="2"/>
        <v/>
      </c>
      <c r="M27" s="401" t="str">
        <f t="shared" si="3"/>
        <v/>
      </c>
    </row>
    <row r="28" spans="1:13" ht="25" x14ac:dyDescent="0.25">
      <c r="A28" s="5"/>
      <c r="B28" s="58" t="s">
        <v>41</v>
      </c>
      <c r="C28" s="65" t="s">
        <v>1765</v>
      </c>
      <c r="D28" s="15" t="s">
        <v>61</v>
      </c>
      <c r="E28" s="15" t="s">
        <v>996</v>
      </c>
      <c r="F28" s="15">
        <v>6</v>
      </c>
      <c r="G28" s="411"/>
      <c r="H28" s="17">
        <f t="shared" si="0"/>
        <v>0</v>
      </c>
      <c r="I28" s="18"/>
      <c r="J28" s="61" t="s">
        <v>1721</v>
      </c>
      <c r="K28" s="399">
        <f>IF(D28="","",ROUND(12%*G28,1))</f>
        <v>0</v>
      </c>
      <c r="L28" s="420">
        <f t="shared" si="2"/>
        <v>0</v>
      </c>
      <c r="M28" s="401" t="str">
        <f t="shared" si="3"/>
        <v/>
      </c>
    </row>
    <row r="29" spans="1:13" x14ac:dyDescent="0.25">
      <c r="A29" s="5"/>
      <c r="B29" s="58"/>
      <c r="C29" s="65"/>
      <c r="D29" s="15"/>
      <c r="E29" s="15"/>
      <c r="F29" s="15"/>
      <c r="G29" s="411"/>
      <c r="H29" s="17" t="str">
        <f t="shared" si="0"/>
        <v/>
      </c>
      <c r="I29" s="18"/>
      <c r="J29" s="62"/>
      <c r="K29" s="62"/>
      <c r="L29" s="420" t="str">
        <f t="shared" si="2"/>
        <v/>
      </c>
      <c r="M29" s="401" t="str">
        <f t="shared" si="3"/>
        <v/>
      </c>
    </row>
    <row r="30" spans="1:13" ht="14.5" x14ac:dyDescent="0.25">
      <c r="A30" s="5"/>
      <c r="B30" s="58" t="s">
        <v>52</v>
      </c>
      <c r="C30" s="65" t="s">
        <v>1766</v>
      </c>
      <c r="D30" s="15" t="s">
        <v>61</v>
      </c>
      <c r="E30" s="15" t="s">
        <v>996</v>
      </c>
      <c r="F30" s="15">
        <v>140</v>
      </c>
      <c r="G30" s="411"/>
      <c r="H30" s="17">
        <f t="shared" si="0"/>
        <v>0</v>
      </c>
      <c r="I30" s="18"/>
      <c r="J30" s="61" t="s">
        <v>1721</v>
      </c>
      <c r="K30" s="399">
        <f>IF(D30="","",ROUND(12%*G30,1))</f>
        <v>0</v>
      </c>
      <c r="L30" s="420">
        <f t="shared" si="2"/>
        <v>0</v>
      </c>
      <c r="M30" s="401" t="str">
        <f t="shared" si="3"/>
        <v/>
      </c>
    </row>
    <row r="31" spans="1:13" x14ac:dyDescent="0.25">
      <c r="A31" s="5"/>
      <c r="B31" s="58"/>
      <c r="C31" s="65"/>
      <c r="D31" s="15"/>
      <c r="E31" s="15"/>
      <c r="F31" s="24"/>
      <c r="G31" s="411"/>
      <c r="H31" s="17" t="str">
        <f t="shared" si="0"/>
        <v/>
      </c>
      <c r="I31" s="63"/>
      <c r="J31" s="61"/>
      <c r="K31" s="399"/>
      <c r="L31" s="420" t="str">
        <f t="shared" si="2"/>
        <v/>
      </c>
      <c r="M31" s="401" t="str">
        <f t="shared" si="3"/>
        <v/>
      </c>
    </row>
    <row r="32" spans="1:13" ht="13" x14ac:dyDescent="0.25">
      <c r="A32" s="5"/>
      <c r="B32" s="146" t="s">
        <v>374</v>
      </c>
      <c r="C32" s="672" t="s">
        <v>1847</v>
      </c>
      <c r="D32" s="15"/>
      <c r="E32" s="15"/>
      <c r="F32" s="15"/>
      <c r="G32" s="411"/>
      <c r="H32" s="17" t="str">
        <f t="shared" si="0"/>
        <v/>
      </c>
      <c r="I32" s="18"/>
      <c r="J32" s="62"/>
      <c r="K32" s="62"/>
      <c r="L32" s="420" t="str">
        <f t="shared" si="2"/>
        <v/>
      </c>
      <c r="M32" s="401" t="str">
        <f t="shared" si="3"/>
        <v/>
      </c>
    </row>
    <row r="33" spans="1:13" x14ac:dyDescent="0.25">
      <c r="A33" s="5"/>
      <c r="B33" s="58"/>
      <c r="C33" s="65"/>
      <c r="D33" s="15"/>
      <c r="E33" s="15"/>
      <c r="F33" s="15"/>
      <c r="G33" s="411"/>
      <c r="H33" s="17" t="str">
        <f t="shared" si="0"/>
        <v/>
      </c>
      <c r="I33" s="18"/>
      <c r="J33" s="62"/>
      <c r="K33" s="62"/>
      <c r="L33" s="420" t="str">
        <f t="shared" si="2"/>
        <v/>
      </c>
      <c r="M33" s="401" t="str">
        <f t="shared" si="3"/>
        <v/>
      </c>
    </row>
    <row r="34" spans="1:13" ht="37.5" x14ac:dyDescent="0.25">
      <c r="A34" s="5"/>
      <c r="B34" s="58" t="s">
        <v>39</v>
      </c>
      <c r="C34" s="65" t="s">
        <v>1730</v>
      </c>
      <c r="D34" s="15" t="s">
        <v>6</v>
      </c>
      <c r="E34" s="15" t="s">
        <v>996</v>
      </c>
      <c r="F34" s="15">
        <v>161</v>
      </c>
      <c r="G34" s="411"/>
      <c r="H34" s="17">
        <f t="shared" si="0"/>
        <v>0</v>
      </c>
      <c r="I34" s="18"/>
      <c r="J34" s="61" t="s">
        <v>1721</v>
      </c>
      <c r="K34" s="399">
        <f>IF(D34="","",ROUND(12%*G34,1))</f>
        <v>0</v>
      </c>
      <c r="L34" s="420">
        <f t="shared" si="2"/>
        <v>0</v>
      </c>
      <c r="M34" s="401" t="str">
        <f t="shared" si="3"/>
        <v/>
      </c>
    </row>
    <row r="35" spans="1:13" x14ac:dyDescent="0.25">
      <c r="A35" s="5"/>
      <c r="B35" s="58"/>
      <c r="C35" s="65"/>
      <c r="D35" s="15"/>
      <c r="E35" s="15"/>
      <c r="F35" s="24"/>
      <c r="G35" s="411"/>
      <c r="H35" s="17" t="str">
        <f t="shared" si="0"/>
        <v/>
      </c>
      <c r="I35" s="63"/>
      <c r="J35" s="61"/>
      <c r="K35" s="399"/>
      <c r="L35" s="420" t="str">
        <f t="shared" si="2"/>
        <v/>
      </c>
      <c r="M35" s="401" t="str">
        <f t="shared" si="3"/>
        <v/>
      </c>
    </row>
    <row r="36" spans="1:13" ht="13" x14ac:dyDescent="0.25">
      <c r="A36" s="5"/>
      <c r="B36" s="146" t="s">
        <v>1898</v>
      </c>
      <c r="C36" s="672" t="s">
        <v>368</v>
      </c>
      <c r="D36" s="15"/>
      <c r="E36" s="15"/>
      <c r="F36" s="15"/>
      <c r="G36" s="411"/>
      <c r="H36" s="17" t="str">
        <f t="shared" si="0"/>
        <v/>
      </c>
      <c r="I36" s="18"/>
      <c r="J36" s="61"/>
      <c r="K36" s="399"/>
      <c r="L36" s="420" t="str">
        <f t="shared" si="2"/>
        <v/>
      </c>
      <c r="M36" s="401" t="str">
        <f t="shared" si="3"/>
        <v/>
      </c>
    </row>
    <row r="37" spans="1:13" x14ac:dyDescent="0.25">
      <c r="A37" s="5"/>
      <c r="B37" s="58"/>
      <c r="C37" s="65"/>
      <c r="D37" s="15"/>
      <c r="E37" s="15"/>
      <c r="F37" s="15"/>
      <c r="G37" s="411"/>
      <c r="H37" s="17" t="str">
        <f t="shared" si="0"/>
        <v/>
      </c>
      <c r="I37" s="18"/>
      <c r="J37" s="61"/>
      <c r="K37" s="399"/>
      <c r="L37" s="420" t="str">
        <f t="shared" si="2"/>
        <v/>
      </c>
      <c r="M37" s="401" t="str">
        <f t="shared" si="3"/>
        <v/>
      </c>
    </row>
    <row r="38" spans="1:13" s="36" customFormat="1" ht="50" x14ac:dyDescent="0.25">
      <c r="A38" s="63"/>
      <c r="B38" s="58" t="s">
        <v>375</v>
      </c>
      <c r="C38" s="65" t="s">
        <v>1732</v>
      </c>
      <c r="D38" s="15" t="s">
        <v>6</v>
      </c>
      <c r="E38" s="15" t="s">
        <v>996</v>
      </c>
      <c r="F38" s="15">
        <v>54</v>
      </c>
      <c r="G38" s="411"/>
      <c r="H38" s="17">
        <f t="shared" si="0"/>
        <v>0</v>
      </c>
      <c r="I38" s="18"/>
      <c r="J38" s="61" t="s">
        <v>1721</v>
      </c>
      <c r="K38" s="399">
        <f>IF(D38="","",ROUND(12%*G38,1))</f>
        <v>0</v>
      </c>
      <c r="L38" s="420">
        <f t="shared" si="2"/>
        <v>0</v>
      </c>
      <c r="M38" s="401" t="str">
        <f t="shared" si="3"/>
        <v/>
      </c>
    </row>
    <row r="39" spans="1:13" x14ac:dyDescent="0.25">
      <c r="A39" s="5"/>
      <c r="B39" s="58"/>
      <c r="C39" s="65"/>
      <c r="D39" s="15"/>
      <c r="E39" s="15"/>
      <c r="F39" s="24"/>
      <c r="G39" s="411"/>
      <c r="H39" s="17" t="str">
        <f t="shared" si="0"/>
        <v/>
      </c>
      <c r="I39" s="57"/>
      <c r="J39" s="61"/>
      <c r="K39" s="399"/>
      <c r="L39" s="420" t="str">
        <f t="shared" si="2"/>
        <v/>
      </c>
      <c r="M39" s="401" t="str">
        <f t="shared" si="3"/>
        <v/>
      </c>
    </row>
    <row r="40" spans="1:13" x14ac:dyDescent="0.25">
      <c r="A40" s="5"/>
      <c r="B40" s="58"/>
      <c r="C40" s="65"/>
      <c r="D40" s="15"/>
      <c r="E40" s="15"/>
      <c r="F40" s="15"/>
      <c r="G40" s="411"/>
      <c r="H40" s="17" t="str">
        <f t="shared" si="0"/>
        <v/>
      </c>
      <c r="I40" s="18"/>
      <c r="J40" s="61"/>
      <c r="K40" s="399"/>
      <c r="L40" s="420" t="str">
        <f t="shared" si="2"/>
        <v/>
      </c>
      <c r="M40" s="401" t="str">
        <f t="shared" si="3"/>
        <v/>
      </c>
    </row>
    <row r="41" spans="1:13" x14ac:dyDescent="0.25">
      <c r="A41" s="5"/>
      <c r="B41" s="58"/>
      <c r="C41" s="65"/>
      <c r="D41" s="15"/>
      <c r="E41" s="15"/>
      <c r="F41" s="15"/>
      <c r="G41" s="411"/>
      <c r="H41" s="17" t="str">
        <f t="shared" si="0"/>
        <v/>
      </c>
      <c r="I41" s="18"/>
      <c r="J41" s="61"/>
      <c r="K41" s="399"/>
      <c r="L41" s="420" t="str">
        <f t="shared" si="2"/>
        <v/>
      </c>
      <c r="M41" s="401" t="str">
        <f t="shared" si="3"/>
        <v/>
      </c>
    </row>
    <row r="42" spans="1:13" x14ac:dyDescent="0.25">
      <c r="A42" s="5"/>
      <c r="B42" s="58"/>
      <c r="C42" s="65"/>
      <c r="D42" s="15"/>
      <c r="E42" s="15"/>
      <c r="F42" s="15"/>
      <c r="G42" s="411"/>
      <c r="H42" s="17" t="str">
        <f t="shared" si="0"/>
        <v/>
      </c>
      <c r="I42" s="18"/>
      <c r="J42" s="61"/>
      <c r="K42" s="399"/>
      <c r="L42" s="420" t="str">
        <f t="shared" si="2"/>
        <v/>
      </c>
      <c r="M42" s="401" t="str">
        <f t="shared" si="3"/>
        <v/>
      </c>
    </row>
    <row r="43" spans="1:13" x14ac:dyDescent="0.25">
      <c r="A43" s="5"/>
      <c r="B43" s="58"/>
      <c r="C43" s="65"/>
      <c r="D43" s="15"/>
      <c r="E43" s="15"/>
      <c r="F43" s="24"/>
      <c r="G43" s="411"/>
      <c r="H43" s="17" t="str">
        <f t="shared" si="0"/>
        <v/>
      </c>
      <c r="I43" s="18"/>
      <c r="J43" s="61"/>
      <c r="K43" s="399"/>
      <c r="L43" s="420" t="str">
        <f t="shared" si="2"/>
        <v/>
      </c>
      <c r="M43" s="401" t="str">
        <f t="shared" si="3"/>
        <v/>
      </c>
    </row>
    <row r="44" spans="1:13" x14ac:dyDescent="0.25">
      <c r="A44" s="5"/>
      <c r="B44" s="58"/>
      <c r="C44" s="65"/>
      <c r="D44" s="15"/>
      <c r="E44" s="15"/>
      <c r="F44" s="24"/>
      <c r="G44" s="411"/>
      <c r="H44" s="17" t="str">
        <f t="shared" si="0"/>
        <v/>
      </c>
      <c r="I44" s="18"/>
      <c r="J44" s="61"/>
      <c r="K44" s="399"/>
      <c r="L44" s="420" t="str">
        <f t="shared" si="2"/>
        <v/>
      </c>
      <c r="M44" s="401" t="str">
        <f t="shared" si="3"/>
        <v/>
      </c>
    </row>
    <row r="45" spans="1:13" x14ac:dyDescent="0.25">
      <c r="A45" s="5"/>
      <c r="B45" s="58"/>
      <c r="C45" s="65"/>
      <c r="D45" s="15"/>
      <c r="E45" s="15"/>
      <c r="F45" s="15"/>
      <c r="G45" s="411"/>
      <c r="H45" s="17" t="str">
        <f t="shared" si="0"/>
        <v/>
      </c>
      <c r="I45" s="18"/>
      <c r="J45" s="61"/>
      <c r="K45" s="399"/>
      <c r="L45" s="420" t="str">
        <f t="shared" si="2"/>
        <v/>
      </c>
      <c r="M45" s="401" t="str">
        <f t="shared" si="3"/>
        <v/>
      </c>
    </row>
    <row r="46" spans="1:13" x14ac:dyDescent="0.25">
      <c r="A46" s="5"/>
      <c r="B46" s="58"/>
      <c r="C46" s="65"/>
      <c r="D46" s="15"/>
      <c r="E46" s="15"/>
      <c r="F46" s="15"/>
      <c r="G46" s="411"/>
      <c r="H46" s="17" t="str">
        <f t="shared" si="0"/>
        <v/>
      </c>
      <c r="I46" s="18"/>
      <c r="J46" s="61"/>
      <c r="K46" s="402"/>
      <c r="L46" s="420" t="str">
        <f t="shared" si="2"/>
        <v/>
      </c>
      <c r="M46" s="401" t="str">
        <f t="shared" si="3"/>
        <v/>
      </c>
    </row>
    <row r="47" spans="1:13" x14ac:dyDescent="0.25">
      <c r="A47" s="5"/>
      <c r="B47" s="58"/>
      <c r="C47" s="65"/>
      <c r="D47" s="15"/>
      <c r="E47" s="15"/>
      <c r="F47" s="15"/>
      <c r="G47" s="411"/>
      <c r="H47" s="17" t="str">
        <f t="shared" si="0"/>
        <v/>
      </c>
      <c r="I47" s="18"/>
      <c r="J47" s="61"/>
      <c r="K47" s="399"/>
      <c r="L47" s="420" t="str">
        <f t="shared" si="2"/>
        <v/>
      </c>
      <c r="M47" s="401" t="str">
        <f t="shared" si="3"/>
        <v/>
      </c>
    </row>
    <row r="48" spans="1:13" x14ac:dyDescent="0.25">
      <c r="A48" s="5"/>
      <c r="B48" s="58"/>
      <c r="C48" s="65"/>
      <c r="D48" s="15"/>
      <c r="E48" s="15"/>
      <c r="F48" s="15"/>
      <c r="G48" s="411"/>
      <c r="H48" s="17" t="str">
        <f t="shared" si="0"/>
        <v/>
      </c>
      <c r="I48" s="18"/>
      <c r="J48" s="61"/>
      <c r="K48" s="399"/>
      <c r="L48" s="420" t="str">
        <f t="shared" si="2"/>
        <v/>
      </c>
      <c r="M48" s="401" t="str">
        <f t="shared" si="3"/>
        <v/>
      </c>
    </row>
    <row r="49" spans="1:13" x14ac:dyDescent="0.25">
      <c r="A49" s="5"/>
      <c r="B49" s="58"/>
      <c r="C49" s="65"/>
      <c r="D49" s="15"/>
      <c r="E49" s="15"/>
      <c r="F49" s="15"/>
      <c r="G49" s="411"/>
      <c r="H49" s="17" t="str">
        <f t="shared" si="0"/>
        <v/>
      </c>
      <c r="I49" s="18"/>
      <c r="J49" s="61"/>
      <c r="K49" s="402"/>
      <c r="L49" s="420" t="str">
        <f t="shared" si="2"/>
        <v/>
      </c>
      <c r="M49" s="401" t="str">
        <f t="shared" si="3"/>
        <v/>
      </c>
    </row>
    <row r="50" spans="1:13" x14ac:dyDescent="0.25">
      <c r="A50" s="5"/>
      <c r="B50" s="58"/>
      <c r="C50" s="65"/>
      <c r="D50" s="15"/>
      <c r="E50" s="15"/>
      <c r="F50" s="15"/>
      <c r="G50" s="411"/>
      <c r="H50" s="17" t="str">
        <f t="shared" si="0"/>
        <v/>
      </c>
      <c r="I50" s="18"/>
      <c r="J50" s="61"/>
      <c r="K50" s="399"/>
      <c r="L50" s="420" t="str">
        <f t="shared" si="2"/>
        <v/>
      </c>
      <c r="M50" s="401" t="str">
        <f t="shared" si="3"/>
        <v/>
      </c>
    </row>
    <row r="51" spans="1:13" x14ac:dyDescent="0.25">
      <c r="A51" s="5"/>
      <c r="B51" s="58"/>
      <c r="C51" s="65"/>
      <c r="D51" s="15"/>
      <c r="E51" s="15"/>
      <c r="F51" s="15"/>
      <c r="G51" s="411"/>
      <c r="H51" s="17" t="str">
        <f t="shared" si="0"/>
        <v/>
      </c>
      <c r="I51" s="18"/>
      <c r="J51" s="61"/>
      <c r="K51" s="399"/>
      <c r="L51" s="420" t="str">
        <f t="shared" si="2"/>
        <v/>
      </c>
      <c r="M51" s="401" t="str">
        <f t="shared" si="3"/>
        <v/>
      </c>
    </row>
    <row r="52" spans="1:13" x14ac:dyDescent="0.25">
      <c r="A52" s="5"/>
      <c r="B52" s="58"/>
      <c r="C52" s="65"/>
      <c r="D52" s="15"/>
      <c r="E52" s="15"/>
      <c r="F52" s="15"/>
      <c r="G52" s="411"/>
      <c r="H52" s="17" t="str">
        <f t="shared" si="0"/>
        <v/>
      </c>
      <c r="I52" s="18"/>
      <c r="J52" s="61"/>
      <c r="K52" s="399"/>
      <c r="L52" s="420" t="str">
        <f t="shared" si="2"/>
        <v/>
      </c>
      <c r="M52" s="401" t="str">
        <f t="shared" si="3"/>
        <v/>
      </c>
    </row>
    <row r="53" spans="1:13" x14ac:dyDescent="0.25">
      <c r="A53" s="5"/>
      <c r="B53" s="58"/>
      <c r="C53" s="65"/>
      <c r="D53" s="15"/>
      <c r="E53" s="15"/>
      <c r="F53" s="15"/>
      <c r="G53" s="411"/>
      <c r="H53" s="17" t="str">
        <f t="shared" si="0"/>
        <v/>
      </c>
      <c r="I53" s="18"/>
      <c r="J53" s="61"/>
      <c r="K53" s="399"/>
      <c r="L53" s="420" t="str">
        <f t="shared" si="2"/>
        <v/>
      </c>
      <c r="M53" s="401" t="str">
        <f t="shared" si="3"/>
        <v/>
      </c>
    </row>
    <row r="54" spans="1:13" x14ac:dyDescent="0.25">
      <c r="A54" s="5"/>
      <c r="B54" s="58"/>
      <c r="C54" s="65"/>
      <c r="D54" s="15"/>
      <c r="E54" s="15"/>
      <c r="F54" s="15"/>
      <c r="G54" s="411"/>
      <c r="H54" s="17" t="str">
        <f t="shared" si="0"/>
        <v/>
      </c>
      <c r="I54" s="18"/>
      <c r="J54" s="61"/>
      <c r="K54" s="62"/>
      <c r="L54" s="420" t="str">
        <f t="shared" si="2"/>
        <v/>
      </c>
      <c r="M54" s="401" t="str">
        <f t="shared" si="3"/>
        <v/>
      </c>
    </row>
    <row r="55" spans="1:13" x14ac:dyDescent="0.25">
      <c r="A55" s="5"/>
      <c r="B55" s="58"/>
      <c r="C55" s="65"/>
      <c r="D55" s="15"/>
      <c r="E55" s="15"/>
      <c r="F55" s="15"/>
      <c r="G55" s="411"/>
      <c r="H55" s="17" t="str">
        <f t="shared" si="0"/>
        <v/>
      </c>
      <c r="I55" s="18"/>
      <c r="J55" s="61"/>
      <c r="K55" s="62"/>
      <c r="L55" s="420" t="str">
        <f t="shared" si="2"/>
        <v/>
      </c>
      <c r="M55" s="401" t="str">
        <f t="shared" si="3"/>
        <v/>
      </c>
    </row>
    <row r="56" spans="1:13" x14ac:dyDescent="0.25">
      <c r="A56" s="5"/>
      <c r="B56" s="58"/>
      <c r="C56" s="65"/>
      <c r="D56" s="15"/>
      <c r="E56" s="15"/>
      <c r="F56" s="15"/>
      <c r="G56" s="411"/>
      <c r="H56" s="17" t="str">
        <f t="shared" si="0"/>
        <v/>
      </c>
      <c r="I56" s="18"/>
      <c r="J56" s="62"/>
      <c r="K56" s="62"/>
      <c r="L56" s="420" t="str">
        <f t="shared" si="2"/>
        <v/>
      </c>
      <c r="M56" s="401" t="str">
        <f t="shared" si="3"/>
        <v/>
      </c>
    </row>
    <row r="57" spans="1:13" x14ac:dyDescent="0.25">
      <c r="A57" s="5"/>
      <c r="B57" s="58"/>
      <c r="C57" s="65"/>
      <c r="D57" s="15"/>
      <c r="E57" s="15"/>
      <c r="F57" s="15"/>
      <c r="G57" s="411"/>
      <c r="H57" s="17" t="str">
        <f t="shared" si="0"/>
        <v/>
      </c>
      <c r="I57" s="18"/>
      <c r="J57" s="62"/>
      <c r="K57" s="399"/>
      <c r="L57" s="420" t="str">
        <f t="shared" si="2"/>
        <v/>
      </c>
      <c r="M57" s="401" t="str">
        <f t="shared" si="3"/>
        <v/>
      </c>
    </row>
    <row r="58" spans="1:13" x14ac:dyDescent="0.25">
      <c r="A58" s="5"/>
      <c r="B58" s="58"/>
      <c r="C58" s="787"/>
      <c r="D58" s="394"/>
      <c r="E58" s="394"/>
      <c r="F58" s="15"/>
      <c r="G58" s="411"/>
      <c r="H58" s="17" t="str">
        <f t="shared" si="0"/>
        <v/>
      </c>
      <c r="I58" s="18"/>
      <c r="J58" s="62"/>
      <c r="K58" s="399"/>
      <c r="L58" s="420" t="str">
        <f t="shared" si="2"/>
        <v/>
      </c>
      <c r="M58" s="401" t="str">
        <f t="shared" si="3"/>
        <v/>
      </c>
    </row>
    <row r="59" spans="1:13" x14ac:dyDescent="0.25">
      <c r="A59" s="5"/>
      <c r="B59" s="58"/>
      <c r="C59" s="787"/>
      <c r="D59" s="394"/>
      <c r="E59" s="394"/>
      <c r="F59" s="15"/>
      <c r="G59" s="411"/>
      <c r="H59" s="17" t="str">
        <f t="shared" ref="H59:H68" si="4">IF(D59="","",F59*G59)</f>
        <v/>
      </c>
      <c r="I59" s="18"/>
      <c r="J59" s="62"/>
      <c r="K59" s="399"/>
      <c r="L59" s="420" t="str">
        <f t="shared" ref="L59:L68" si="5">IF(J59="","",F59*K59)</f>
        <v/>
      </c>
      <c r="M59" s="401" t="str">
        <f t="shared" ref="M59:M68" si="6">IF(J59="","",IF(SUM(H59)=0,"",L59/H59))</f>
        <v/>
      </c>
    </row>
    <row r="60" spans="1:13" x14ac:dyDescent="0.25">
      <c r="A60" s="5"/>
      <c r="B60" s="58"/>
      <c r="C60" s="787"/>
      <c r="D60" s="394"/>
      <c r="E60" s="394"/>
      <c r="F60" s="15"/>
      <c r="G60" s="411"/>
      <c r="H60" s="17" t="str">
        <f t="shared" si="4"/>
        <v/>
      </c>
      <c r="I60" s="18"/>
      <c r="J60" s="62"/>
      <c r="K60" s="399"/>
      <c r="L60" s="420" t="str">
        <f t="shared" si="5"/>
        <v/>
      </c>
      <c r="M60" s="401" t="str">
        <f t="shared" si="6"/>
        <v/>
      </c>
    </row>
    <row r="61" spans="1:13" x14ac:dyDescent="0.25">
      <c r="A61" s="5"/>
      <c r="B61" s="58"/>
      <c r="C61" s="787"/>
      <c r="D61" s="394"/>
      <c r="E61" s="394"/>
      <c r="F61" s="15"/>
      <c r="G61" s="411"/>
      <c r="H61" s="17" t="str">
        <f t="shared" si="4"/>
        <v/>
      </c>
      <c r="I61" s="18"/>
      <c r="J61" s="62"/>
      <c r="K61" s="399"/>
      <c r="L61" s="420" t="str">
        <f t="shared" si="5"/>
        <v/>
      </c>
      <c r="M61" s="401" t="str">
        <f t="shared" si="6"/>
        <v/>
      </c>
    </row>
    <row r="62" spans="1:13" x14ac:dyDescent="0.25">
      <c r="A62" s="5"/>
      <c r="B62" s="58"/>
      <c r="C62" s="787"/>
      <c r="D62" s="394"/>
      <c r="E62" s="394"/>
      <c r="F62" s="15"/>
      <c r="G62" s="411"/>
      <c r="H62" s="17" t="str">
        <f t="shared" si="4"/>
        <v/>
      </c>
      <c r="I62" s="18"/>
      <c r="J62" s="62"/>
      <c r="K62" s="399"/>
      <c r="L62" s="420" t="str">
        <f t="shared" si="5"/>
        <v/>
      </c>
      <c r="M62" s="401" t="str">
        <f t="shared" si="6"/>
        <v/>
      </c>
    </row>
    <row r="63" spans="1:13" x14ac:dyDescent="0.25">
      <c r="A63" s="5"/>
      <c r="B63" s="58"/>
      <c r="C63" s="65"/>
      <c r="D63" s="15"/>
      <c r="E63" s="15"/>
      <c r="F63" s="15"/>
      <c r="G63" s="411"/>
      <c r="H63" s="17" t="str">
        <f t="shared" si="4"/>
        <v/>
      </c>
      <c r="I63" s="18"/>
      <c r="J63" s="62"/>
      <c r="K63" s="399"/>
      <c r="L63" s="420" t="str">
        <f t="shared" si="5"/>
        <v/>
      </c>
      <c r="M63" s="401" t="str">
        <f t="shared" si="6"/>
        <v/>
      </c>
    </row>
    <row r="64" spans="1:13" x14ac:dyDescent="0.25">
      <c r="A64" s="5"/>
      <c r="B64" s="58"/>
      <c r="C64" s="65"/>
      <c r="D64" s="15"/>
      <c r="E64" s="15"/>
      <c r="F64" s="15"/>
      <c r="G64" s="411"/>
      <c r="H64" s="17" t="str">
        <f t="shared" si="4"/>
        <v/>
      </c>
      <c r="I64" s="18"/>
      <c r="J64" s="62"/>
      <c r="K64" s="399"/>
      <c r="L64" s="420" t="str">
        <f t="shared" si="5"/>
        <v/>
      </c>
      <c r="M64" s="401" t="str">
        <f t="shared" si="6"/>
        <v/>
      </c>
    </row>
    <row r="65" spans="1:13" x14ac:dyDescent="0.25">
      <c r="A65" s="5"/>
      <c r="B65" s="58"/>
      <c r="C65" s="787"/>
      <c r="D65" s="15"/>
      <c r="E65" s="15"/>
      <c r="F65" s="15"/>
      <c r="G65" s="411"/>
      <c r="H65" s="17" t="str">
        <f t="shared" si="4"/>
        <v/>
      </c>
      <c r="I65" s="18"/>
      <c r="J65" s="62"/>
      <c r="K65" s="399"/>
      <c r="L65" s="420" t="str">
        <f t="shared" si="5"/>
        <v/>
      </c>
      <c r="M65" s="401" t="str">
        <f t="shared" si="6"/>
        <v/>
      </c>
    </row>
    <row r="66" spans="1:13" x14ac:dyDescent="0.25">
      <c r="A66" s="5"/>
      <c r="B66" s="58"/>
      <c r="C66" s="65"/>
      <c r="D66" s="15"/>
      <c r="E66" s="15"/>
      <c r="F66" s="15"/>
      <c r="G66" s="411"/>
      <c r="H66" s="17" t="str">
        <f t="shared" si="4"/>
        <v/>
      </c>
      <c r="I66" s="18"/>
      <c r="J66" s="62"/>
      <c r="K66" s="399"/>
      <c r="L66" s="420" t="str">
        <f t="shared" si="5"/>
        <v/>
      </c>
      <c r="M66" s="401" t="str">
        <f t="shared" si="6"/>
        <v/>
      </c>
    </row>
    <row r="67" spans="1:13" x14ac:dyDescent="0.25">
      <c r="A67" s="5"/>
      <c r="B67" s="58"/>
      <c r="C67" s="65"/>
      <c r="D67" s="15"/>
      <c r="E67" s="15"/>
      <c r="F67" s="15"/>
      <c r="G67" s="411"/>
      <c r="H67" s="17" t="str">
        <f t="shared" si="4"/>
        <v/>
      </c>
      <c r="I67" s="18"/>
      <c r="J67" s="62"/>
      <c r="K67" s="399"/>
      <c r="L67" s="420" t="str">
        <f t="shared" si="5"/>
        <v/>
      </c>
      <c r="M67" s="401" t="str">
        <f t="shared" si="6"/>
        <v/>
      </c>
    </row>
    <row r="68" spans="1:13" x14ac:dyDescent="0.25">
      <c r="A68" s="5"/>
      <c r="B68" s="58"/>
      <c r="C68" s="65"/>
      <c r="D68" s="15"/>
      <c r="E68" s="15"/>
      <c r="F68" s="15"/>
      <c r="G68" s="411"/>
      <c r="H68" s="17" t="str">
        <f t="shared" si="4"/>
        <v/>
      </c>
      <c r="I68" s="18"/>
      <c r="J68" s="62"/>
      <c r="K68" s="399"/>
      <c r="L68" s="420" t="str">
        <f t="shared" si="5"/>
        <v/>
      </c>
      <c r="M68" s="401" t="str">
        <f t="shared" si="6"/>
        <v/>
      </c>
    </row>
    <row r="69" spans="1:13" x14ac:dyDescent="0.25">
      <c r="A69" s="5"/>
      <c r="B69" s="58"/>
      <c r="C69" s="65"/>
      <c r="D69" s="15"/>
      <c r="E69" s="15"/>
      <c r="F69" s="15"/>
      <c r="G69" s="411"/>
      <c r="H69" s="17" t="str">
        <f t="shared" si="0"/>
        <v/>
      </c>
      <c r="I69" s="18"/>
      <c r="J69" s="61"/>
      <c r="K69" s="696"/>
      <c r="L69" s="420" t="str">
        <f t="shared" si="2"/>
        <v/>
      </c>
      <c r="M69" s="401" t="str">
        <f t="shared" si="3"/>
        <v/>
      </c>
    </row>
    <row r="70" spans="1:13" s="28" customFormat="1" ht="19.5" customHeight="1" x14ac:dyDescent="0.25">
      <c r="B70" s="135" t="str">
        <f>$B$12</f>
        <v>C13.8</v>
      </c>
      <c r="C70" s="30" t="s">
        <v>12</v>
      </c>
      <c r="D70" s="31"/>
      <c r="E70" s="31"/>
      <c r="F70" s="32"/>
      <c r="G70" s="31"/>
      <c r="H70" s="33">
        <f>SUM(H11:H69)</f>
        <v>0</v>
      </c>
      <c r="I70" s="34"/>
      <c r="J70" s="408"/>
      <c r="K70" s="406"/>
      <c r="L70" s="418">
        <f>SUM(L11:L69)</f>
        <v>0</v>
      </c>
      <c r="M70" s="407" t="str">
        <f t="shared" ref="M70" si="7">IF(J70="","",IF(SUM(H70)=0,"",L70/H70))</f>
        <v/>
      </c>
    </row>
    <row r="71" spans="1:13" ht="13" x14ac:dyDescent="0.25">
      <c r="B71" s="1108" t="str">
        <f>Client1</f>
        <v>Province of KwaZulu-Natal</v>
      </c>
      <c r="C71" s="1108"/>
      <c r="D71" s="1108"/>
      <c r="E71" s="87"/>
      <c r="F71" s="1109" t="str">
        <f>"Contract No. "&amp;ContractNo</f>
        <v>Contract No. ZNB 00399/00000/HOD/INF/21/T</v>
      </c>
      <c r="G71" s="1109"/>
      <c r="H71" s="1109"/>
    </row>
    <row r="72" spans="1:13" ht="13" x14ac:dyDescent="0.25">
      <c r="B72" s="1108" t="str">
        <f>Client2</f>
        <v>Department of Transport</v>
      </c>
      <c r="C72" s="1108"/>
      <c r="D72" s="1108"/>
      <c r="E72" s="87"/>
      <c r="F72" s="1109"/>
      <c r="G72" s="1109"/>
      <c r="H72" s="1109"/>
    </row>
    <row r="73" spans="1:13" x14ac:dyDescent="0.25">
      <c r="B73" s="1111"/>
      <c r="C73" s="1111"/>
      <c r="D73" s="1111"/>
      <c r="E73" s="78"/>
      <c r="F73" s="1110"/>
      <c r="G73" s="1110"/>
      <c r="H73" s="1110"/>
    </row>
    <row r="74" spans="1:13" ht="13" x14ac:dyDescent="0.25">
      <c r="B74" s="1112" t="s">
        <v>1773</v>
      </c>
      <c r="C74" s="1113"/>
      <c r="D74" s="1113"/>
      <c r="E74" s="1113"/>
      <c r="F74" s="1113"/>
      <c r="G74" s="1113"/>
      <c r="H74" s="1125" t="str">
        <f>$H$6</f>
        <v>CHAPTER C13.8</v>
      </c>
      <c r="I74" s="6"/>
    </row>
    <row r="75" spans="1:13" ht="31.5" customHeight="1" x14ac:dyDescent="0.25">
      <c r="B75" s="1117" t="str">
        <f>ContractDescription</f>
        <v>THE CONSTRUCTION OF EARTHWORKS, LAYERWORKS, SURFACING, CULVERTS AND CWAKA RIVER BRIDGE FROM KM 11.600 TO KM 14.000 ON MAIN ROAD P494 IN THE KING CETSHWAYO DISTRICT UNDER EMPANGENI REGION</v>
      </c>
      <c r="C75" s="1148"/>
      <c r="D75" s="1148"/>
      <c r="E75" s="1148"/>
      <c r="F75" s="1148"/>
      <c r="G75" s="1148"/>
      <c r="H75" s="1126"/>
      <c r="I75" s="8"/>
    </row>
    <row r="76" spans="1:13" ht="21" customHeight="1" x14ac:dyDescent="0.25">
      <c r="B76" s="1149" t="s">
        <v>1774</v>
      </c>
      <c r="C76" s="1150"/>
      <c r="D76" s="1150"/>
      <c r="E76" s="1150"/>
      <c r="F76" s="1150"/>
      <c r="G76" s="1150"/>
      <c r="H76" s="1126"/>
      <c r="I76" s="8"/>
    </row>
    <row r="77" spans="1:13" ht="13" x14ac:dyDescent="0.25">
      <c r="B77" s="611"/>
      <c r="C77" s="612"/>
      <c r="D77" s="612"/>
      <c r="E77" s="612"/>
      <c r="F77" s="612"/>
      <c r="G77" s="612"/>
      <c r="H77" s="1127"/>
      <c r="I77" s="8"/>
    </row>
    <row r="78" spans="1:13" s="9" customFormat="1" ht="25" customHeight="1" x14ac:dyDescent="0.25">
      <c r="B78" s="74" t="s">
        <v>0</v>
      </c>
      <c r="C78" s="11" t="s">
        <v>1</v>
      </c>
      <c r="D78" s="11" t="s">
        <v>2</v>
      </c>
      <c r="E78" s="11"/>
      <c r="F78" s="11" t="s">
        <v>3</v>
      </c>
      <c r="G78" s="11" t="s">
        <v>4</v>
      </c>
      <c r="H78" s="11" t="s">
        <v>5</v>
      </c>
      <c r="I78" s="12"/>
      <c r="J78" s="408" t="s">
        <v>996</v>
      </c>
      <c r="K78" s="253" t="s">
        <v>997</v>
      </c>
      <c r="L78" s="253" t="s">
        <v>998</v>
      </c>
      <c r="M78" s="253" t="s">
        <v>999</v>
      </c>
    </row>
    <row r="79" spans="1:13" s="28" customFormat="1" ht="19.5" customHeight="1" x14ac:dyDescent="0.25">
      <c r="B79" s="80"/>
      <c r="C79" s="30" t="s">
        <v>27</v>
      </c>
      <c r="D79" s="31"/>
      <c r="E79" s="31"/>
      <c r="F79" s="32"/>
      <c r="G79" s="31"/>
      <c r="H79" s="33">
        <f>H70</f>
        <v>0</v>
      </c>
      <c r="I79" s="34"/>
      <c r="J79" s="416"/>
      <c r="K79" s="409"/>
      <c r="L79" s="419">
        <f>L70</f>
        <v>0</v>
      </c>
      <c r="M79" s="410"/>
    </row>
    <row r="80" spans="1:13" x14ac:dyDescent="0.25">
      <c r="A80" s="5"/>
      <c r="B80" s="46"/>
      <c r="C80" s="14"/>
      <c r="D80" s="15"/>
      <c r="E80" s="15"/>
      <c r="F80" s="15"/>
      <c r="G80" s="64"/>
      <c r="H80" s="17" t="str">
        <f t="shared" ref="H80" si="8">IF(D80="","",F80*G80)</f>
        <v/>
      </c>
      <c r="I80" s="18"/>
      <c r="J80" s="61"/>
      <c r="K80" s="399"/>
      <c r="L80" s="420" t="str">
        <f t="shared" ref="L80" si="9">IF(J80="","",F80*K80)</f>
        <v/>
      </c>
      <c r="M80" s="401" t="str">
        <f t="shared" ref="M80" si="10">IF(J80="","",IF(SUM(H80)=0,"",L80/H80))</f>
        <v/>
      </c>
    </row>
    <row r="81" spans="1:13" x14ac:dyDescent="0.25">
      <c r="A81" s="5"/>
      <c r="B81" s="46"/>
      <c r="C81" s="14"/>
      <c r="D81" s="15"/>
      <c r="E81" s="15"/>
      <c r="F81" s="15"/>
      <c r="G81" s="64"/>
      <c r="H81" s="17" t="str">
        <f t="shared" ref="H81" si="11">IF(D81="","",F81*G81)</f>
        <v/>
      </c>
      <c r="I81" s="18"/>
      <c r="J81" s="61"/>
      <c r="K81" s="399"/>
      <c r="L81" s="420" t="str">
        <f t="shared" ref="L81" si="12">IF(J81="","",F81*K81)</f>
        <v/>
      </c>
      <c r="M81" s="401" t="str">
        <f t="shared" ref="M81" si="13">IF(J81="","",IF(SUM(H81)=0,"",L81/H81))</f>
        <v/>
      </c>
    </row>
    <row r="82" spans="1:13" x14ac:dyDescent="0.25">
      <c r="A82" s="5"/>
      <c r="B82" s="46"/>
      <c r="C82" s="14"/>
      <c r="D82" s="15"/>
      <c r="E82" s="15"/>
      <c r="F82" s="15"/>
      <c r="G82" s="64"/>
      <c r="H82" s="17" t="str">
        <f t="shared" ref="H82:H144" si="14">IF(D82="","",F82*G82)</f>
        <v/>
      </c>
      <c r="I82" s="18"/>
      <c r="J82" s="61"/>
      <c r="K82" s="399"/>
      <c r="L82" s="420" t="str">
        <f t="shared" ref="L82:L144" si="15">IF(J82="","",F82*K82)</f>
        <v/>
      </c>
      <c r="M82" s="401" t="str">
        <f t="shared" ref="M82:M144" si="16">IF(J82="","",IF(SUM(H82)=0,"",L82/H82))</f>
        <v/>
      </c>
    </row>
    <row r="83" spans="1:13" x14ac:dyDescent="0.25">
      <c r="A83" s="5"/>
      <c r="B83" s="46"/>
      <c r="C83" s="238"/>
      <c r="D83" s="15"/>
      <c r="E83" s="15"/>
      <c r="F83" s="15"/>
      <c r="G83" s="64"/>
      <c r="H83" s="17" t="str">
        <f t="shared" si="14"/>
        <v/>
      </c>
      <c r="I83" s="18"/>
      <c r="J83" s="61"/>
      <c r="K83" s="399"/>
      <c r="L83" s="420" t="str">
        <f t="shared" si="15"/>
        <v/>
      </c>
      <c r="M83" s="401" t="str">
        <f t="shared" si="16"/>
        <v/>
      </c>
    </row>
    <row r="84" spans="1:13" x14ac:dyDescent="0.25">
      <c r="A84" s="5"/>
      <c r="B84" s="46"/>
      <c r="C84" s="14"/>
      <c r="D84" s="15"/>
      <c r="E84" s="15"/>
      <c r="F84" s="15"/>
      <c r="G84" s="64"/>
      <c r="H84" s="17" t="str">
        <f t="shared" si="14"/>
        <v/>
      </c>
      <c r="I84" s="18"/>
      <c r="J84" s="61"/>
      <c r="K84" s="400"/>
      <c r="L84" s="420" t="str">
        <f t="shared" si="15"/>
        <v/>
      </c>
      <c r="M84" s="401" t="str">
        <f t="shared" si="16"/>
        <v/>
      </c>
    </row>
    <row r="85" spans="1:13" x14ac:dyDescent="0.25">
      <c r="A85" s="5"/>
      <c r="B85" s="46"/>
      <c r="C85" s="14"/>
      <c r="D85" s="15"/>
      <c r="E85" s="15"/>
      <c r="F85" s="15"/>
      <c r="G85" s="64"/>
      <c r="H85" s="17" t="str">
        <f t="shared" si="14"/>
        <v/>
      </c>
      <c r="I85" s="18"/>
      <c r="J85" s="61"/>
      <c r="K85" s="399"/>
      <c r="L85" s="420" t="str">
        <f t="shared" si="15"/>
        <v/>
      </c>
      <c r="M85" s="401" t="str">
        <f t="shared" si="16"/>
        <v/>
      </c>
    </row>
    <row r="86" spans="1:13" x14ac:dyDescent="0.25">
      <c r="A86" s="5"/>
      <c r="B86" s="46"/>
      <c r="C86" s="14"/>
      <c r="D86" s="15"/>
      <c r="E86" s="15"/>
      <c r="F86" s="15"/>
      <c r="G86" s="64"/>
      <c r="H86" s="17" t="str">
        <f t="shared" si="14"/>
        <v/>
      </c>
      <c r="I86" s="18"/>
      <c r="J86" s="61"/>
      <c r="K86" s="400"/>
      <c r="L86" s="420" t="str">
        <f t="shared" si="15"/>
        <v/>
      </c>
      <c r="M86" s="401" t="str">
        <f t="shared" si="16"/>
        <v/>
      </c>
    </row>
    <row r="87" spans="1:13" x14ac:dyDescent="0.25">
      <c r="A87" s="5"/>
      <c r="B87" s="46"/>
      <c r="C87" s="14"/>
      <c r="D87" s="15"/>
      <c r="E87" s="15"/>
      <c r="F87" s="15"/>
      <c r="G87" s="64"/>
      <c r="H87" s="17" t="str">
        <f t="shared" si="14"/>
        <v/>
      </c>
      <c r="I87" s="18"/>
      <c r="J87" s="61"/>
      <c r="K87" s="399"/>
      <c r="L87" s="420" t="str">
        <f t="shared" si="15"/>
        <v/>
      </c>
      <c r="M87" s="401" t="str">
        <f t="shared" si="16"/>
        <v/>
      </c>
    </row>
    <row r="88" spans="1:13" x14ac:dyDescent="0.25">
      <c r="A88" s="5"/>
      <c r="B88" s="46"/>
      <c r="C88" s="14"/>
      <c r="D88" s="15"/>
      <c r="E88" s="15"/>
      <c r="F88" s="15"/>
      <c r="G88" s="64"/>
      <c r="H88" s="17" t="str">
        <f t="shared" si="14"/>
        <v/>
      </c>
      <c r="I88" s="18"/>
      <c r="J88" s="61"/>
      <c r="K88" s="402"/>
      <c r="L88" s="420" t="str">
        <f t="shared" si="15"/>
        <v/>
      </c>
      <c r="M88" s="401" t="str">
        <f t="shared" si="16"/>
        <v/>
      </c>
    </row>
    <row r="89" spans="1:13" x14ac:dyDescent="0.25">
      <c r="A89" s="5"/>
      <c r="B89" s="46"/>
      <c r="C89" s="14"/>
      <c r="D89" s="15"/>
      <c r="E89" s="15"/>
      <c r="F89" s="15"/>
      <c r="G89" s="64"/>
      <c r="H89" s="17" t="str">
        <f t="shared" si="14"/>
        <v/>
      </c>
      <c r="I89" s="18"/>
      <c r="J89" s="61"/>
      <c r="K89" s="402"/>
      <c r="L89" s="420" t="str">
        <f t="shared" si="15"/>
        <v/>
      </c>
      <c r="M89" s="401" t="str">
        <f t="shared" si="16"/>
        <v/>
      </c>
    </row>
    <row r="90" spans="1:13" x14ac:dyDescent="0.25">
      <c r="A90" s="5"/>
      <c r="B90" s="46"/>
      <c r="C90" s="14"/>
      <c r="D90" s="15"/>
      <c r="E90" s="15"/>
      <c r="F90" s="15"/>
      <c r="G90" s="64"/>
      <c r="H90" s="17" t="str">
        <f t="shared" si="14"/>
        <v/>
      </c>
      <c r="I90" s="18"/>
      <c r="J90" s="61"/>
      <c r="K90" s="400"/>
      <c r="L90" s="420" t="str">
        <f t="shared" si="15"/>
        <v/>
      </c>
      <c r="M90" s="401" t="str">
        <f t="shared" si="16"/>
        <v/>
      </c>
    </row>
    <row r="91" spans="1:13" x14ac:dyDescent="0.25">
      <c r="A91" s="5"/>
      <c r="B91" s="46"/>
      <c r="C91" s="566"/>
      <c r="D91" s="15"/>
      <c r="E91" s="15"/>
      <c r="F91" s="15"/>
      <c r="G91" s="64"/>
      <c r="H91" s="17" t="str">
        <f t="shared" si="14"/>
        <v/>
      </c>
      <c r="I91" s="18"/>
      <c r="J91" s="61"/>
      <c r="K91" s="605"/>
      <c r="L91" s="420" t="str">
        <f t="shared" si="15"/>
        <v/>
      </c>
      <c r="M91" s="401" t="str">
        <f t="shared" si="16"/>
        <v/>
      </c>
    </row>
    <row r="92" spans="1:13" x14ac:dyDescent="0.25">
      <c r="A92" s="5"/>
      <c r="B92" s="46"/>
      <c r="C92" s="14"/>
      <c r="D92" s="15"/>
      <c r="E92" s="15"/>
      <c r="F92" s="15"/>
      <c r="G92" s="64"/>
      <c r="H92" s="17" t="str">
        <f t="shared" si="14"/>
        <v/>
      </c>
      <c r="I92" s="18"/>
      <c r="J92" s="61"/>
      <c r="K92" s="402"/>
      <c r="L92" s="420" t="str">
        <f t="shared" si="15"/>
        <v/>
      </c>
      <c r="M92" s="401" t="str">
        <f t="shared" si="16"/>
        <v/>
      </c>
    </row>
    <row r="93" spans="1:13" x14ac:dyDescent="0.25">
      <c r="A93" s="5"/>
      <c r="B93" s="46"/>
      <c r="C93" s="566"/>
      <c r="D93" s="15"/>
      <c r="E93" s="15"/>
      <c r="F93" s="15"/>
      <c r="G93" s="64"/>
      <c r="H93" s="17" t="str">
        <f t="shared" si="14"/>
        <v/>
      </c>
      <c r="I93" s="18"/>
      <c r="J93" s="61"/>
      <c r="K93" s="399"/>
      <c r="L93" s="420" t="str">
        <f t="shared" si="15"/>
        <v/>
      </c>
      <c r="M93" s="401" t="str">
        <f t="shared" si="16"/>
        <v/>
      </c>
    </row>
    <row r="94" spans="1:13" x14ac:dyDescent="0.25">
      <c r="A94" s="5"/>
      <c r="B94" s="46"/>
      <c r="C94" s="14"/>
      <c r="D94" s="15"/>
      <c r="E94" s="15"/>
      <c r="F94" s="15"/>
      <c r="G94" s="64"/>
      <c r="H94" s="17" t="str">
        <f t="shared" si="14"/>
        <v/>
      </c>
      <c r="I94" s="18"/>
      <c r="J94" s="61"/>
      <c r="K94" s="399"/>
      <c r="L94" s="420" t="str">
        <f t="shared" si="15"/>
        <v/>
      </c>
      <c r="M94" s="401" t="str">
        <f t="shared" si="16"/>
        <v/>
      </c>
    </row>
    <row r="95" spans="1:13" x14ac:dyDescent="0.25">
      <c r="A95" s="5"/>
      <c r="B95" s="46"/>
      <c r="C95" s="14"/>
      <c r="D95" s="15"/>
      <c r="E95" s="15"/>
      <c r="F95" s="15"/>
      <c r="G95" s="64"/>
      <c r="H95" s="17" t="str">
        <f t="shared" si="14"/>
        <v/>
      </c>
      <c r="I95" s="18"/>
      <c r="J95" s="61"/>
      <c r="K95" s="399"/>
      <c r="L95" s="420" t="str">
        <f t="shared" si="15"/>
        <v/>
      </c>
      <c r="M95" s="401" t="str">
        <f t="shared" si="16"/>
        <v/>
      </c>
    </row>
    <row r="96" spans="1:13" x14ac:dyDescent="0.25">
      <c r="A96" s="5"/>
      <c r="B96" s="46"/>
      <c r="C96" s="14"/>
      <c r="D96" s="15"/>
      <c r="E96" s="15"/>
      <c r="F96" s="15"/>
      <c r="G96" s="64"/>
      <c r="H96" s="17" t="str">
        <f t="shared" si="14"/>
        <v/>
      </c>
      <c r="I96" s="18"/>
      <c r="J96" s="61"/>
      <c r="K96" s="400"/>
      <c r="L96" s="420" t="str">
        <f t="shared" si="15"/>
        <v/>
      </c>
      <c r="M96" s="401" t="str">
        <f t="shared" si="16"/>
        <v/>
      </c>
    </row>
    <row r="97" spans="1:13" x14ac:dyDescent="0.25">
      <c r="A97" s="5"/>
      <c r="B97" s="46"/>
      <c r="C97" s="14"/>
      <c r="D97" s="15"/>
      <c r="E97" s="15"/>
      <c r="F97" s="15"/>
      <c r="G97" s="64"/>
      <c r="H97" s="17" t="str">
        <f t="shared" si="14"/>
        <v/>
      </c>
      <c r="I97" s="18"/>
      <c r="J97" s="61"/>
      <c r="K97" s="399"/>
      <c r="L97" s="420" t="str">
        <f t="shared" si="15"/>
        <v/>
      </c>
      <c r="M97" s="401" t="str">
        <f t="shared" si="16"/>
        <v/>
      </c>
    </row>
    <row r="98" spans="1:13" x14ac:dyDescent="0.25">
      <c r="A98" s="5"/>
      <c r="B98" s="46"/>
      <c r="C98" s="14"/>
      <c r="D98" s="15"/>
      <c r="E98" s="15"/>
      <c r="F98" s="15"/>
      <c r="G98" s="64"/>
      <c r="H98" s="17" t="str">
        <f t="shared" si="14"/>
        <v/>
      </c>
      <c r="I98" s="18"/>
      <c r="J98" s="61"/>
      <c r="K98" s="399"/>
      <c r="L98" s="420" t="str">
        <f t="shared" si="15"/>
        <v/>
      </c>
      <c r="M98" s="401" t="str">
        <f t="shared" si="16"/>
        <v/>
      </c>
    </row>
    <row r="99" spans="1:13" x14ac:dyDescent="0.25">
      <c r="A99" s="5"/>
      <c r="B99" s="46"/>
      <c r="C99" s="14"/>
      <c r="D99" s="15"/>
      <c r="E99" s="15"/>
      <c r="F99" s="15"/>
      <c r="G99" s="64"/>
      <c r="H99" s="17" t="str">
        <f t="shared" si="14"/>
        <v/>
      </c>
      <c r="I99" s="18"/>
      <c r="J99" s="61"/>
      <c r="K99" s="399"/>
      <c r="L99" s="420" t="str">
        <f t="shared" si="15"/>
        <v/>
      </c>
      <c r="M99" s="401" t="str">
        <f t="shared" si="16"/>
        <v/>
      </c>
    </row>
    <row r="100" spans="1:13" x14ac:dyDescent="0.25">
      <c r="A100" s="5"/>
      <c r="B100" s="46"/>
      <c r="C100" s="14"/>
      <c r="D100" s="15"/>
      <c r="E100" s="15"/>
      <c r="F100" s="15"/>
      <c r="G100" s="64"/>
      <c r="H100" s="17" t="str">
        <f t="shared" si="14"/>
        <v/>
      </c>
      <c r="I100" s="18"/>
      <c r="J100" s="61"/>
      <c r="K100" s="399"/>
      <c r="L100" s="420" t="str">
        <f t="shared" si="15"/>
        <v/>
      </c>
      <c r="M100" s="401" t="str">
        <f t="shared" si="16"/>
        <v/>
      </c>
    </row>
    <row r="101" spans="1:13" x14ac:dyDescent="0.25">
      <c r="A101" s="5"/>
      <c r="B101" s="46"/>
      <c r="C101" s="14"/>
      <c r="D101" s="15"/>
      <c r="E101" s="15"/>
      <c r="F101" s="15"/>
      <c r="G101" s="64"/>
      <c r="H101" s="17" t="str">
        <f t="shared" si="14"/>
        <v/>
      </c>
      <c r="I101" s="18"/>
      <c r="J101" s="61"/>
      <c r="K101" s="399"/>
      <c r="L101" s="420" t="str">
        <f t="shared" si="15"/>
        <v/>
      </c>
      <c r="M101" s="401" t="str">
        <f t="shared" si="16"/>
        <v/>
      </c>
    </row>
    <row r="102" spans="1:13" x14ac:dyDescent="0.25">
      <c r="A102" s="5"/>
      <c r="B102" s="46"/>
      <c r="C102" s="14"/>
      <c r="D102" s="15"/>
      <c r="E102" s="15"/>
      <c r="F102" s="15"/>
      <c r="G102" s="64"/>
      <c r="H102" s="17" t="str">
        <f t="shared" si="14"/>
        <v/>
      </c>
      <c r="I102" s="18"/>
      <c r="J102" s="61"/>
      <c r="K102" s="400"/>
      <c r="L102" s="420" t="str">
        <f t="shared" si="15"/>
        <v/>
      </c>
      <c r="M102" s="401" t="str">
        <f t="shared" si="16"/>
        <v/>
      </c>
    </row>
    <row r="103" spans="1:13" x14ac:dyDescent="0.25">
      <c r="A103" s="5"/>
      <c r="B103" s="46"/>
      <c r="C103" s="14"/>
      <c r="D103" s="15"/>
      <c r="E103" s="15"/>
      <c r="F103" s="15"/>
      <c r="G103" s="64"/>
      <c r="H103" s="17" t="str">
        <f t="shared" si="14"/>
        <v/>
      </c>
      <c r="I103" s="18"/>
      <c r="J103" s="61"/>
      <c r="K103" s="399"/>
      <c r="L103" s="420" t="str">
        <f t="shared" si="15"/>
        <v/>
      </c>
      <c r="M103" s="401" t="str">
        <f t="shared" si="16"/>
        <v/>
      </c>
    </row>
    <row r="104" spans="1:13" x14ac:dyDescent="0.25">
      <c r="A104" s="5"/>
      <c r="B104" s="46"/>
      <c r="C104" s="14"/>
      <c r="D104" s="15"/>
      <c r="E104" s="15"/>
      <c r="F104" s="15"/>
      <c r="G104" s="64"/>
      <c r="H104" s="17" t="str">
        <f t="shared" si="14"/>
        <v/>
      </c>
      <c r="I104" s="18"/>
      <c r="J104" s="61"/>
      <c r="K104" s="399"/>
      <c r="L104" s="420" t="str">
        <f t="shared" si="15"/>
        <v/>
      </c>
      <c r="M104" s="401" t="str">
        <f t="shared" si="16"/>
        <v/>
      </c>
    </row>
    <row r="105" spans="1:13" x14ac:dyDescent="0.25">
      <c r="A105" s="5"/>
      <c r="B105" s="46"/>
      <c r="C105" s="14"/>
      <c r="D105" s="15"/>
      <c r="E105" s="15"/>
      <c r="F105" s="15"/>
      <c r="G105" s="64"/>
      <c r="H105" s="17" t="str">
        <f t="shared" si="14"/>
        <v/>
      </c>
      <c r="I105" s="18"/>
      <c r="J105" s="61"/>
      <c r="K105" s="399"/>
      <c r="L105" s="420" t="str">
        <f t="shared" si="15"/>
        <v/>
      </c>
      <c r="M105" s="401" t="str">
        <f t="shared" si="16"/>
        <v/>
      </c>
    </row>
    <row r="106" spans="1:13" x14ac:dyDescent="0.25">
      <c r="A106" s="5"/>
      <c r="B106" s="46"/>
      <c r="C106" s="14"/>
      <c r="D106" s="15"/>
      <c r="E106" s="15"/>
      <c r="F106" s="15"/>
      <c r="G106" s="64"/>
      <c r="H106" s="17" t="str">
        <f t="shared" si="14"/>
        <v/>
      </c>
      <c r="I106" s="18"/>
      <c r="J106" s="61"/>
      <c r="K106" s="399"/>
      <c r="L106" s="420" t="str">
        <f t="shared" si="15"/>
        <v/>
      </c>
      <c r="M106" s="401" t="str">
        <f t="shared" si="16"/>
        <v/>
      </c>
    </row>
    <row r="107" spans="1:13" x14ac:dyDescent="0.25">
      <c r="A107" s="5"/>
      <c r="B107" s="46"/>
      <c r="C107" s="14"/>
      <c r="D107" s="15"/>
      <c r="E107" s="15"/>
      <c r="F107" s="15"/>
      <c r="G107" s="64"/>
      <c r="H107" s="17" t="str">
        <f t="shared" si="14"/>
        <v/>
      </c>
      <c r="I107" s="18"/>
      <c r="J107" s="61"/>
      <c r="K107" s="399"/>
      <c r="L107" s="420" t="str">
        <f t="shared" si="15"/>
        <v/>
      </c>
      <c r="M107" s="401" t="str">
        <f t="shared" si="16"/>
        <v/>
      </c>
    </row>
    <row r="108" spans="1:13" x14ac:dyDescent="0.25">
      <c r="A108" s="5"/>
      <c r="B108" s="46"/>
      <c r="C108" s="14"/>
      <c r="D108" s="15"/>
      <c r="E108" s="15"/>
      <c r="F108" s="15"/>
      <c r="G108" s="64"/>
      <c r="H108" s="17" t="str">
        <f t="shared" si="14"/>
        <v/>
      </c>
      <c r="I108" s="18"/>
      <c r="J108" s="61"/>
      <c r="K108" s="399"/>
      <c r="L108" s="420" t="str">
        <f t="shared" si="15"/>
        <v/>
      </c>
      <c r="M108" s="401" t="str">
        <f t="shared" si="16"/>
        <v/>
      </c>
    </row>
    <row r="109" spans="1:13" x14ac:dyDescent="0.25">
      <c r="A109" s="5"/>
      <c r="B109" s="46"/>
      <c r="C109" s="14"/>
      <c r="D109" s="15"/>
      <c r="E109" s="15"/>
      <c r="F109" s="15"/>
      <c r="G109" s="64"/>
      <c r="H109" s="17" t="str">
        <f t="shared" si="14"/>
        <v/>
      </c>
      <c r="I109" s="18"/>
      <c r="J109" s="61"/>
      <c r="K109" s="399"/>
      <c r="L109" s="420" t="str">
        <f t="shared" si="15"/>
        <v/>
      </c>
      <c r="M109" s="401" t="str">
        <f t="shared" si="16"/>
        <v/>
      </c>
    </row>
    <row r="110" spans="1:13" x14ac:dyDescent="0.25">
      <c r="A110" s="5"/>
      <c r="B110" s="46"/>
      <c r="C110" s="14"/>
      <c r="D110" s="15"/>
      <c r="E110" s="15"/>
      <c r="F110" s="15"/>
      <c r="G110" s="64"/>
      <c r="H110" s="17" t="str">
        <f t="shared" si="14"/>
        <v/>
      </c>
      <c r="I110" s="18"/>
      <c r="J110" s="61"/>
      <c r="K110" s="399"/>
      <c r="L110" s="420" t="str">
        <f t="shared" si="15"/>
        <v/>
      </c>
      <c r="M110" s="401" t="str">
        <f t="shared" si="16"/>
        <v/>
      </c>
    </row>
    <row r="111" spans="1:13" x14ac:dyDescent="0.25">
      <c r="A111" s="5"/>
      <c r="B111" s="46"/>
      <c r="C111" s="14"/>
      <c r="D111" s="15"/>
      <c r="E111" s="15"/>
      <c r="F111" s="15"/>
      <c r="G111" s="64"/>
      <c r="H111" s="17" t="str">
        <f t="shared" si="14"/>
        <v/>
      </c>
      <c r="I111" s="18"/>
      <c r="J111" s="61"/>
      <c r="K111" s="399"/>
      <c r="L111" s="420" t="str">
        <f t="shared" si="15"/>
        <v/>
      </c>
      <c r="M111" s="401" t="str">
        <f t="shared" si="16"/>
        <v/>
      </c>
    </row>
    <row r="112" spans="1:13" x14ac:dyDescent="0.25">
      <c r="A112" s="5"/>
      <c r="B112" s="46"/>
      <c r="C112" s="14"/>
      <c r="D112" s="15"/>
      <c r="E112" s="15"/>
      <c r="F112" s="15"/>
      <c r="G112" s="64"/>
      <c r="H112" s="17" t="str">
        <f t="shared" si="14"/>
        <v/>
      </c>
      <c r="I112" s="18"/>
      <c r="J112" s="61"/>
      <c r="K112" s="399"/>
      <c r="L112" s="420" t="str">
        <f t="shared" si="15"/>
        <v/>
      </c>
      <c r="M112" s="401" t="str">
        <f t="shared" si="16"/>
        <v/>
      </c>
    </row>
    <row r="113" spans="1:13" x14ac:dyDescent="0.25">
      <c r="A113" s="5"/>
      <c r="B113" s="46"/>
      <c r="C113" s="14"/>
      <c r="D113" s="15"/>
      <c r="E113" s="15"/>
      <c r="F113" s="15"/>
      <c r="G113" s="64"/>
      <c r="H113" s="17" t="str">
        <f t="shared" si="14"/>
        <v/>
      </c>
      <c r="I113" s="18"/>
      <c r="J113" s="61"/>
      <c r="K113" s="399"/>
      <c r="L113" s="420" t="str">
        <f t="shared" si="15"/>
        <v/>
      </c>
      <c r="M113" s="401" t="str">
        <f t="shared" si="16"/>
        <v/>
      </c>
    </row>
    <row r="114" spans="1:13" x14ac:dyDescent="0.25">
      <c r="A114" s="5"/>
      <c r="B114" s="46"/>
      <c r="C114" s="14"/>
      <c r="D114" s="15"/>
      <c r="E114" s="15"/>
      <c r="F114" s="15"/>
      <c r="G114" s="64"/>
      <c r="H114" s="17" t="str">
        <f t="shared" si="14"/>
        <v/>
      </c>
      <c r="I114" s="18"/>
      <c r="J114" s="61"/>
      <c r="K114" s="402"/>
      <c r="L114" s="420" t="str">
        <f t="shared" si="15"/>
        <v/>
      </c>
      <c r="M114" s="401" t="str">
        <f t="shared" si="16"/>
        <v/>
      </c>
    </row>
    <row r="115" spans="1:13" x14ac:dyDescent="0.25">
      <c r="A115" s="5"/>
      <c r="B115" s="46"/>
      <c r="C115" s="14"/>
      <c r="D115" s="15"/>
      <c r="E115" s="15"/>
      <c r="F115" s="15"/>
      <c r="G115" s="64"/>
      <c r="H115" s="17" t="str">
        <f t="shared" si="14"/>
        <v/>
      </c>
      <c r="I115" s="18"/>
      <c r="J115" s="61"/>
      <c r="K115" s="399"/>
      <c r="L115" s="420" t="str">
        <f t="shared" si="15"/>
        <v/>
      </c>
      <c r="M115" s="401" t="str">
        <f t="shared" si="16"/>
        <v/>
      </c>
    </row>
    <row r="116" spans="1:13" x14ac:dyDescent="0.25">
      <c r="A116" s="5"/>
      <c r="B116" s="46"/>
      <c r="C116" s="14"/>
      <c r="D116" s="15"/>
      <c r="E116" s="15"/>
      <c r="F116" s="15"/>
      <c r="G116" s="64"/>
      <c r="H116" s="17" t="str">
        <f t="shared" si="14"/>
        <v/>
      </c>
      <c r="I116" s="18"/>
      <c r="J116" s="61"/>
      <c r="K116" s="402"/>
      <c r="L116" s="420" t="str">
        <f t="shared" si="15"/>
        <v/>
      </c>
      <c r="M116" s="401" t="str">
        <f t="shared" si="16"/>
        <v/>
      </c>
    </row>
    <row r="117" spans="1:13" x14ac:dyDescent="0.25">
      <c r="A117" s="5"/>
      <c r="B117" s="46"/>
      <c r="C117" s="14"/>
      <c r="D117" s="15"/>
      <c r="E117" s="15"/>
      <c r="F117" s="15"/>
      <c r="G117" s="64"/>
      <c r="H117" s="17" t="str">
        <f t="shared" si="14"/>
        <v/>
      </c>
      <c r="I117" s="18"/>
      <c r="J117" s="61"/>
      <c r="K117" s="402"/>
      <c r="L117" s="420" t="str">
        <f t="shared" si="15"/>
        <v/>
      </c>
      <c r="M117" s="401" t="str">
        <f t="shared" si="16"/>
        <v/>
      </c>
    </row>
    <row r="118" spans="1:13" x14ac:dyDescent="0.25">
      <c r="A118" s="5"/>
      <c r="B118" s="46"/>
      <c r="C118" s="14"/>
      <c r="D118" s="15"/>
      <c r="E118" s="15"/>
      <c r="F118" s="15"/>
      <c r="G118" s="64"/>
      <c r="H118" s="17" t="str">
        <f t="shared" si="14"/>
        <v/>
      </c>
      <c r="I118" s="18"/>
      <c r="J118" s="61"/>
      <c r="K118" s="399"/>
      <c r="L118" s="420" t="str">
        <f t="shared" si="15"/>
        <v/>
      </c>
      <c r="M118" s="401" t="str">
        <f t="shared" si="16"/>
        <v/>
      </c>
    </row>
    <row r="119" spans="1:13" ht="13" x14ac:dyDescent="0.25">
      <c r="A119" s="5"/>
      <c r="B119" s="73"/>
      <c r="C119" s="19"/>
      <c r="D119" s="15"/>
      <c r="E119" s="15"/>
      <c r="F119" s="15"/>
      <c r="G119" s="64"/>
      <c r="H119" s="17" t="str">
        <f t="shared" si="14"/>
        <v/>
      </c>
      <c r="I119" s="18"/>
      <c r="J119" s="61"/>
      <c r="K119" s="399"/>
      <c r="L119" s="420" t="str">
        <f t="shared" si="15"/>
        <v/>
      </c>
      <c r="M119" s="401" t="str">
        <f t="shared" si="16"/>
        <v/>
      </c>
    </row>
    <row r="120" spans="1:13" x14ac:dyDescent="0.25">
      <c r="A120" s="5"/>
      <c r="B120" s="46"/>
      <c r="C120" s="14"/>
      <c r="D120" s="15"/>
      <c r="E120" s="15"/>
      <c r="F120" s="15"/>
      <c r="G120" s="64"/>
      <c r="H120" s="17" t="str">
        <f t="shared" si="14"/>
        <v/>
      </c>
      <c r="I120" s="18"/>
      <c r="J120" s="61"/>
      <c r="K120" s="399"/>
      <c r="L120" s="420" t="str">
        <f t="shared" si="15"/>
        <v/>
      </c>
      <c r="M120" s="401" t="str">
        <f t="shared" si="16"/>
        <v/>
      </c>
    </row>
    <row r="121" spans="1:13" x14ac:dyDescent="0.25">
      <c r="A121" s="5"/>
      <c r="B121" s="46"/>
      <c r="C121" s="14"/>
      <c r="D121" s="15"/>
      <c r="E121" s="15"/>
      <c r="F121" s="15"/>
      <c r="G121" s="64"/>
      <c r="H121" s="17" t="str">
        <f t="shared" si="14"/>
        <v/>
      </c>
      <c r="I121" s="18"/>
      <c r="J121" s="61"/>
      <c r="K121" s="399"/>
      <c r="L121" s="420" t="str">
        <f t="shared" si="15"/>
        <v/>
      </c>
      <c r="M121" s="401" t="str">
        <f t="shared" si="16"/>
        <v/>
      </c>
    </row>
    <row r="122" spans="1:13" x14ac:dyDescent="0.25">
      <c r="A122" s="5"/>
      <c r="B122" s="46"/>
      <c r="C122" s="14"/>
      <c r="D122" s="15"/>
      <c r="E122" s="15"/>
      <c r="F122" s="15"/>
      <c r="G122" s="64"/>
      <c r="H122" s="17" t="str">
        <f t="shared" si="14"/>
        <v/>
      </c>
      <c r="I122" s="18"/>
      <c r="J122" s="62"/>
      <c r="K122" s="62"/>
      <c r="L122" s="420" t="str">
        <f t="shared" si="15"/>
        <v/>
      </c>
      <c r="M122" s="401" t="str">
        <f t="shared" si="16"/>
        <v/>
      </c>
    </row>
    <row r="123" spans="1:13" x14ac:dyDescent="0.25">
      <c r="A123" s="5"/>
      <c r="B123" s="46"/>
      <c r="C123" s="14"/>
      <c r="D123" s="15"/>
      <c r="E123" s="15"/>
      <c r="F123" s="15"/>
      <c r="G123" s="64"/>
      <c r="H123" s="17" t="str">
        <f t="shared" si="14"/>
        <v/>
      </c>
      <c r="I123" s="18"/>
      <c r="J123" s="61"/>
      <c r="K123" s="62"/>
      <c r="L123" s="420" t="str">
        <f t="shared" si="15"/>
        <v/>
      </c>
      <c r="M123" s="401" t="str">
        <f t="shared" si="16"/>
        <v/>
      </c>
    </row>
    <row r="124" spans="1:13" x14ac:dyDescent="0.25">
      <c r="A124" s="5"/>
      <c r="B124" s="46"/>
      <c r="C124" s="14"/>
      <c r="D124" s="15"/>
      <c r="E124" s="15"/>
      <c r="F124" s="15"/>
      <c r="G124" s="64"/>
      <c r="H124" s="17" t="str">
        <f t="shared" si="14"/>
        <v/>
      </c>
      <c r="I124" s="18"/>
      <c r="J124" s="61"/>
      <c r="K124" s="62"/>
      <c r="L124" s="420" t="str">
        <f t="shared" si="15"/>
        <v/>
      </c>
      <c r="M124" s="401" t="str">
        <f t="shared" si="16"/>
        <v/>
      </c>
    </row>
    <row r="125" spans="1:13" x14ac:dyDescent="0.25">
      <c r="A125" s="5"/>
      <c r="B125" s="46"/>
      <c r="C125" s="14"/>
      <c r="D125" s="15"/>
      <c r="E125" s="15"/>
      <c r="F125" s="15"/>
      <c r="G125" s="64"/>
      <c r="H125" s="17" t="str">
        <f t="shared" si="14"/>
        <v/>
      </c>
      <c r="I125" s="18"/>
      <c r="J125" s="61"/>
      <c r="K125" s="62"/>
      <c r="L125" s="420" t="str">
        <f t="shared" si="15"/>
        <v/>
      </c>
      <c r="M125" s="401" t="str">
        <f t="shared" si="16"/>
        <v/>
      </c>
    </row>
    <row r="126" spans="1:13" x14ac:dyDescent="0.25">
      <c r="A126" s="5"/>
      <c r="B126" s="46"/>
      <c r="C126" s="14"/>
      <c r="D126" s="15"/>
      <c r="E126" s="15"/>
      <c r="F126" s="15"/>
      <c r="G126" s="64"/>
      <c r="H126" s="17" t="str">
        <f t="shared" si="14"/>
        <v/>
      </c>
      <c r="I126" s="18"/>
      <c r="J126" s="61"/>
      <c r="K126" s="62"/>
      <c r="L126" s="420" t="str">
        <f t="shared" si="15"/>
        <v/>
      </c>
      <c r="M126" s="401" t="str">
        <f t="shared" si="16"/>
        <v/>
      </c>
    </row>
    <row r="127" spans="1:13" x14ac:dyDescent="0.25">
      <c r="A127" s="5"/>
      <c r="B127" s="46"/>
      <c r="C127" s="14"/>
      <c r="D127" s="15"/>
      <c r="E127" s="15"/>
      <c r="F127" s="15"/>
      <c r="G127" s="64"/>
      <c r="H127" s="17" t="str">
        <f t="shared" si="14"/>
        <v/>
      </c>
      <c r="I127" s="18"/>
      <c r="J127" s="62"/>
      <c r="K127" s="62"/>
      <c r="L127" s="420" t="str">
        <f t="shared" si="15"/>
        <v/>
      </c>
      <c r="M127" s="401" t="str">
        <f t="shared" si="16"/>
        <v/>
      </c>
    </row>
    <row r="128" spans="1:13" x14ac:dyDescent="0.25">
      <c r="A128" s="5"/>
      <c r="B128" s="46"/>
      <c r="C128" s="14"/>
      <c r="D128" s="15"/>
      <c r="E128" s="15"/>
      <c r="F128" s="15"/>
      <c r="G128" s="64"/>
      <c r="H128" s="17" t="str">
        <f t="shared" si="14"/>
        <v/>
      </c>
      <c r="I128" s="18"/>
      <c r="J128" s="62"/>
      <c r="K128" s="62"/>
      <c r="L128" s="420" t="str">
        <f t="shared" si="15"/>
        <v/>
      </c>
      <c r="M128" s="401" t="str">
        <f t="shared" si="16"/>
        <v/>
      </c>
    </row>
    <row r="129" spans="1:13" x14ac:dyDescent="0.25">
      <c r="A129" s="5"/>
      <c r="B129" s="46"/>
      <c r="C129" s="14"/>
      <c r="D129" s="15"/>
      <c r="E129" s="15"/>
      <c r="F129" s="15"/>
      <c r="G129" s="64"/>
      <c r="H129" s="17" t="str">
        <f t="shared" si="14"/>
        <v/>
      </c>
      <c r="I129" s="18"/>
      <c r="J129" s="62"/>
      <c r="K129" s="62"/>
      <c r="L129" s="420" t="str">
        <f t="shared" si="15"/>
        <v/>
      </c>
      <c r="M129" s="401" t="str">
        <f t="shared" si="16"/>
        <v/>
      </c>
    </row>
    <row r="130" spans="1:13" x14ac:dyDescent="0.25">
      <c r="A130" s="5"/>
      <c r="B130" s="46"/>
      <c r="C130" s="14"/>
      <c r="D130" s="15"/>
      <c r="E130" s="15"/>
      <c r="F130" s="15"/>
      <c r="G130" s="64"/>
      <c r="H130" s="17" t="str">
        <f t="shared" si="14"/>
        <v/>
      </c>
      <c r="I130" s="18"/>
      <c r="J130" s="62"/>
      <c r="K130" s="62"/>
      <c r="L130" s="420" t="str">
        <f t="shared" si="15"/>
        <v/>
      </c>
      <c r="M130" s="401" t="str">
        <f t="shared" si="16"/>
        <v/>
      </c>
    </row>
    <row r="131" spans="1:13" x14ac:dyDescent="0.25">
      <c r="A131" s="5"/>
      <c r="B131" s="46"/>
      <c r="C131" s="14"/>
      <c r="D131" s="15"/>
      <c r="E131" s="15"/>
      <c r="F131" s="15"/>
      <c r="G131" s="64"/>
      <c r="H131" s="17" t="str">
        <f t="shared" si="14"/>
        <v/>
      </c>
      <c r="I131" s="18"/>
      <c r="J131" s="62"/>
      <c r="K131" s="62"/>
      <c r="L131" s="420" t="str">
        <f t="shared" si="15"/>
        <v/>
      </c>
      <c r="M131" s="401" t="str">
        <f t="shared" si="16"/>
        <v/>
      </c>
    </row>
    <row r="132" spans="1:13" x14ac:dyDescent="0.25">
      <c r="A132" s="5"/>
      <c r="B132" s="46"/>
      <c r="C132" s="14"/>
      <c r="D132" s="15"/>
      <c r="E132" s="15"/>
      <c r="F132" s="15"/>
      <c r="G132" s="64"/>
      <c r="H132" s="17" t="str">
        <f t="shared" si="14"/>
        <v/>
      </c>
      <c r="I132" s="18"/>
      <c r="J132" s="62"/>
      <c r="K132" s="62"/>
      <c r="L132" s="420" t="str">
        <f t="shared" si="15"/>
        <v/>
      </c>
      <c r="M132" s="401" t="str">
        <f t="shared" si="16"/>
        <v/>
      </c>
    </row>
    <row r="133" spans="1:13" x14ac:dyDescent="0.25">
      <c r="A133" s="5"/>
      <c r="B133" s="46"/>
      <c r="C133" s="14"/>
      <c r="D133" s="15"/>
      <c r="E133" s="15"/>
      <c r="F133" s="15"/>
      <c r="G133" s="64"/>
      <c r="H133" s="17" t="str">
        <f t="shared" si="14"/>
        <v/>
      </c>
      <c r="I133" s="18"/>
      <c r="J133" s="62"/>
      <c r="K133" s="62"/>
      <c r="L133" s="420" t="str">
        <f t="shared" si="15"/>
        <v/>
      </c>
      <c r="M133" s="401" t="str">
        <f t="shared" si="16"/>
        <v/>
      </c>
    </row>
    <row r="134" spans="1:13" x14ac:dyDescent="0.25">
      <c r="A134" s="5"/>
      <c r="B134" s="46"/>
      <c r="C134" s="14"/>
      <c r="D134" s="15"/>
      <c r="E134" s="15"/>
      <c r="F134" s="15"/>
      <c r="G134" s="64"/>
      <c r="H134" s="17" t="str">
        <f t="shared" si="14"/>
        <v/>
      </c>
      <c r="I134" s="18"/>
      <c r="J134" s="62"/>
      <c r="K134" s="62"/>
      <c r="L134" s="420" t="str">
        <f t="shared" si="15"/>
        <v/>
      </c>
      <c r="M134" s="401" t="str">
        <f t="shared" si="16"/>
        <v/>
      </c>
    </row>
    <row r="135" spans="1:13" x14ac:dyDescent="0.25">
      <c r="A135" s="5"/>
      <c r="B135" s="46"/>
      <c r="C135" s="14"/>
      <c r="D135" s="15"/>
      <c r="E135" s="15"/>
      <c r="F135" s="15"/>
      <c r="G135" s="64"/>
      <c r="H135" s="17" t="str">
        <f t="shared" si="14"/>
        <v/>
      </c>
      <c r="I135" s="18"/>
      <c r="J135" s="61"/>
      <c r="K135" s="62"/>
      <c r="L135" s="420" t="str">
        <f t="shared" si="15"/>
        <v/>
      </c>
      <c r="M135" s="401" t="str">
        <f t="shared" si="16"/>
        <v/>
      </c>
    </row>
    <row r="136" spans="1:13" x14ac:dyDescent="0.25">
      <c r="A136" s="5"/>
      <c r="B136" s="46"/>
      <c r="C136" s="14"/>
      <c r="D136" s="15"/>
      <c r="E136" s="15"/>
      <c r="F136" s="15"/>
      <c r="G136" s="64"/>
      <c r="H136" s="17" t="str">
        <f t="shared" si="14"/>
        <v/>
      </c>
      <c r="I136" s="18"/>
      <c r="J136" s="62"/>
      <c r="K136" s="62"/>
      <c r="L136" s="420" t="str">
        <f t="shared" si="15"/>
        <v/>
      </c>
      <c r="M136" s="401" t="str">
        <f t="shared" si="16"/>
        <v/>
      </c>
    </row>
    <row r="137" spans="1:13" x14ac:dyDescent="0.25">
      <c r="A137" s="5"/>
      <c r="B137" s="46"/>
      <c r="C137" s="14"/>
      <c r="D137" s="15"/>
      <c r="E137" s="15"/>
      <c r="F137" s="15"/>
      <c r="G137" s="64"/>
      <c r="H137" s="17" t="str">
        <f t="shared" si="14"/>
        <v/>
      </c>
      <c r="I137" s="18"/>
      <c r="J137" s="62"/>
      <c r="K137" s="62"/>
      <c r="L137" s="420" t="str">
        <f t="shared" si="15"/>
        <v/>
      </c>
      <c r="M137" s="401" t="str">
        <f t="shared" si="16"/>
        <v/>
      </c>
    </row>
    <row r="138" spans="1:13" x14ac:dyDescent="0.25">
      <c r="A138" s="5"/>
      <c r="B138" s="46"/>
      <c r="C138" s="14"/>
      <c r="D138" s="15"/>
      <c r="E138" s="15"/>
      <c r="F138" s="15"/>
      <c r="G138" s="64"/>
      <c r="H138" s="17" t="str">
        <f t="shared" si="14"/>
        <v/>
      </c>
      <c r="I138" s="18"/>
      <c r="J138" s="62"/>
      <c r="K138" s="62"/>
      <c r="L138" s="420" t="str">
        <f t="shared" si="15"/>
        <v/>
      </c>
      <c r="M138" s="401" t="str">
        <f t="shared" si="16"/>
        <v/>
      </c>
    </row>
    <row r="139" spans="1:13" x14ac:dyDescent="0.25">
      <c r="A139" s="5"/>
      <c r="B139" s="46"/>
      <c r="C139" s="14"/>
      <c r="D139" s="15"/>
      <c r="E139" s="15"/>
      <c r="F139" s="15"/>
      <c r="G139" s="64"/>
      <c r="H139" s="17" t="str">
        <f t="shared" si="14"/>
        <v/>
      </c>
      <c r="I139" s="18"/>
      <c r="J139" s="62"/>
      <c r="K139" s="62"/>
      <c r="L139" s="420" t="str">
        <f t="shared" si="15"/>
        <v/>
      </c>
      <c r="M139" s="401" t="str">
        <f t="shared" si="16"/>
        <v/>
      </c>
    </row>
    <row r="140" spans="1:13" x14ac:dyDescent="0.25">
      <c r="A140" s="5"/>
      <c r="B140" s="46"/>
      <c r="C140" s="14"/>
      <c r="D140" s="15"/>
      <c r="E140" s="15"/>
      <c r="F140" s="15"/>
      <c r="G140" s="64"/>
      <c r="H140" s="17" t="str">
        <f t="shared" si="14"/>
        <v/>
      </c>
      <c r="I140" s="18"/>
      <c r="J140" s="62"/>
      <c r="K140" s="62"/>
      <c r="L140" s="420" t="str">
        <f t="shared" si="15"/>
        <v/>
      </c>
      <c r="M140" s="401" t="str">
        <f t="shared" si="16"/>
        <v/>
      </c>
    </row>
    <row r="141" spans="1:13" x14ac:dyDescent="0.25">
      <c r="A141" s="5"/>
      <c r="B141" s="46"/>
      <c r="C141" s="14"/>
      <c r="D141" s="15"/>
      <c r="E141" s="15"/>
      <c r="F141" s="15"/>
      <c r="G141" s="64"/>
      <c r="H141" s="17" t="str">
        <f t="shared" si="14"/>
        <v/>
      </c>
      <c r="I141" s="18"/>
      <c r="J141" s="62"/>
      <c r="K141" s="62"/>
      <c r="L141" s="420" t="str">
        <f t="shared" si="15"/>
        <v/>
      </c>
      <c r="M141" s="401" t="str">
        <f t="shared" si="16"/>
        <v/>
      </c>
    </row>
    <row r="142" spans="1:13" x14ac:dyDescent="0.25">
      <c r="A142" s="5"/>
      <c r="B142" s="46"/>
      <c r="C142" s="14"/>
      <c r="D142" s="15"/>
      <c r="E142" s="15"/>
      <c r="F142" s="15"/>
      <c r="G142" s="64"/>
      <c r="H142" s="17" t="str">
        <f t="shared" si="14"/>
        <v/>
      </c>
      <c r="I142" s="18"/>
      <c r="J142" s="62"/>
      <c r="K142" s="62"/>
      <c r="L142" s="420" t="str">
        <f t="shared" si="15"/>
        <v/>
      </c>
      <c r="M142" s="401" t="str">
        <f t="shared" si="16"/>
        <v/>
      </c>
    </row>
    <row r="143" spans="1:13" x14ac:dyDescent="0.25">
      <c r="A143" s="5"/>
      <c r="B143" s="46"/>
      <c r="C143" s="14"/>
      <c r="D143" s="15"/>
      <c r="E143" s="15"/>
      <c r="F143" s="15"/>
      <c r="G143" s="64"/>
      <c r="H143" s="17" t="str">
        <f t="shared" si="14"/>
        <v/>
      </c>
      <c r="I143" s="18"/>
      <c r="J143" s="61"/>
      <c r="K143" s="62"/>
      <c r="L143" s="420" t="str">
        <f t="shared" si="15"/>
        <v/>
      </c>
      <c r="M143" s="401" t="str">
        <f t="shared" si="16"/>
        <v/>
      </c>
    </row>
    <row r="144" spans="1:13" x14ac:dyDescent="0.25">
      <c r="A144" s="5"/>
      <c r="B144" s="46"/>
      <c r="C144" s="14"/>
      <c r="D144" s="15"/>
      <c r="E144" s="15"/>
      <c r="F144" s="15"/>
      <c r="G144" s="64"/>
      <c r="H144" s="17" t="str">
        <f t="shared" si="14"/>
        <v/>
      </c>
      <c r="I144" s="18"/>
      <c r="J144" s="61"/>
      <c r="K144" s="696"/>
      <c r="L144" s="420" t="str">
        <f t="shared" si="15"/>
        <v/>
      </c>
      <c r="M144" s="401" t="str">
        <f t="shared" si="16"/>
        <v/>
      </c>
    </row>
    <row r="145" spans="2:13" s="28" customFormat="1" ht="24.75" customHeight="1" x14ac:dyDescent="0.25">
      <c r="B145" s="144" t="str">
        <f>$B$12</f>
        <v>C13.8</v>
      </c>
      <c r="C145" s="30" t="s">
        <v>791</v>
      </c>
      <c r="D145" s="31"/>
      <c r="E145" s="31"/>
      <c r="F145" s="32"/>
      <c r="G145" s="31"/>
      <c r="H145" s="33">
        <f>SUM(H79:H144)</f>
        <v>0</v>
      </c>
      <c r="I145" s="34"/>
      <c r="J145" s="408"/>
      <c r="K145" s="406"/>
      <c r="L145" s="418">
        <f>SUM(L79:L144)</f>
        <v>0</v>
      </c>
      <c r="M145" s="407" t="str">
        <f t="shared" ref="M145" si="17">IF(J145="","",IF(SUM(H145)=0,"",L145/H145))</f>
        <v/>
      </c>
    </row>
  </sheetData>
  <mergeCells count="13">
    <mergeCell ref="B74:G74"/>
    <mergeCell ref="H74:H77"/>
    <mergeCell ref="F3:H3"/>
    <mergeCell ref="B6:G6"/>
    <mergeCell ref="H6:H9"/>
    <mergeCell ref="B71:D71"/>
    <mergeCell ref="F71:H73"/>
    <mergeCell ref="B72:D72"/>
    <mergeCell ref="B73:D73"/>
    <mergeCell ref="B7:G7"/>
    <mergeCell ref="B8:G8"/>
    <mergeCell ref="B75:G75"/>
    <mergeCell ref="B76:G76"/>
  </mergeCells>
  <conditionalFormatting sqref="G11:H70">
    <cfRule type="expression" dxfId="53" priority="1">
      <formula>AND(_Show_Price=FALSE,$D11&lt;&gt;"PC Sum",$D11&lt;&gt;"P C Sum",$D11&lt;&gt;"Prov Sum",$D11&lt;&gt;"P Sum")</formula>
    </cfRule>
  </conditionalFormatting>
  <conditionalFormatting sqref="G79:H145">
    <cfRule type="expression" dxfId="52" priority="4">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36">
    <tabColor rgb="FFFFFF00"/>
  </sheetPr>
  <dimension ref="A1:N200"/>
  <sheetViews>
    <sheetView view="pageBreakPreview" topLeftCell="B1" zoomScale="90" zoomScaleNormal="125" zoomScaleSheetLayoutView="90" zoomScalePageLayoutView="125" workbookViewId="0">
      <pane ySplit="2" topLeftCell="A5"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MAX(H2:H213)</f>
        <v>0</v>
      </c>
      <c r="I1" s="247">
        <f>MAX(I2:I213)</f>
        <v>0</v>
      </c>
      <c r="J1" s="248"/>
      <c r="K1" s="249"/>
      <c r="L1" s="247">
        <f>MAX(L2:L213)</f>
        <v>19817.5</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C13.1</v>
      </c>
      <c r="I6" s="6"/>
    </row>
    <row r="7" spans="1:14" ht="30"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48"/>
      <c r="H7" s="1122"/>
      <c r="I7" s="8"/>
    </row>
    <row r="8" spans="1:14" ht="12.75" customHeight="1" x14ac:dyDescent="0.25">
      <c r="B8" s="1149" t="s">
        <v>1772</v>
      </c>
      <c r="C8" s="1150"/>
      <c r="D8" s="1150"/>
      <c r="E8" s="1150"/>
      <c r="F8" s="1150"/>
      <c r="G8" s="1150"/>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65" si="0">IF(D11="","",F11*G11)</f>
        <v/>
      </c>
      <c r="I11" s="18"/>
      <c r="J11" s="61"/>
      <c r="K11" s="399"/>
      <c r="L11" s="420" t="str">
        <f t="shared" ref="L11" si="1">IF(J11="","",F11*K11)</f>
        <v/>
      </c>
      <c r="M11" s="401" t="str">
        <f t="shared" ref="M11" si="2">IF(J11="","",IF(SUM(H11)=0,"",L11/H11))</f>
        <v/>
      </c>
    </row>
    <row r="12" spans="1:14" ht="13" x14ac:dyDescent="0.25">
      <c r="B12" s="146" t="s">
        <v>277</v>
      </c>
      <c r="C12" s="672" t="s">
        <v>278</v>
      </c>
      <c r="D12" s="15"/>
      <c r="E12" s="15"/>
      <c r="F12" s="15"/>
      <c r="G12" s="411"/>
      <c r="H12" s="17" t="str">
        <f t="shared" si="0"/>
        <v/>
      </c>
      <c r="I12" s="18"/>
      <c r="J12" s="61"/>
      <c r="K12" s="399"/>
      <c r="L12" s="420" t="str">
        <f t="shared" ref="L12:L32" si="3">IF(J12="","",F12*K12)</f>
        <v/>
      </c>
      <c r="M12" s="401" t="str">
        <f t="shared" ref="M12:M31" si="4">IF(J12="","",IF(SUM(H12)=0,"",L12/H12))</f>
        <v/>
      </c>
    </row>
    <row r="13" spans="1:14" x14ac:dyDescent="0.25">
      <c r="B13" s="58"/>
      <c r="C13" s="65"/>
      <c r="D13" s="15"/>
      <c r="E13" s="15"/>
      <c r="F13" s="15"/>
      <c r="G13" s="411"/>
      <c r="H13" s="17" t="str">
        <f t="shared" si="0"/>
        <v/>
      </c>
      <c r="I13" s="18"/>
      <c r="J13" s="61"/>
      <c r="K13" s="399"/>
      <c r="L13" s="420" t="str">
        <f t="shared" si="3"/>
        <v/>
      </c>
      <c r="M13" s="401" t="str">
        <f t="shared" si="4"/>
        <v/>
      </c>
    </row>
    <row r="14" spans="1:14" ht="13" x14ac:dyDescent="0.25">
      <c r="B14" s="146" t="s">
        <v>286</v>
      </c>
      <c r="C14" s="672" t="s">
        <v>279</v>
      </c>
      <c r="D14" s="15"/>
      <c r="E14" s="15"/>
      <c r="F14" s="24"/>
      <c r="G14" s="411"/>
      <c r="H14" s="17" t="str">
        <f t="shared" si="0"/>
        <v/>
      </c>
      <c r="I14" s="63"/>
      <c r="J14" s="61"/>
      <c r="K14" s="402"/>
      <c r="L14" s="420" t="str">
        <f t="shared" si="3"/>
        <v/>
      </c>
      <c r="M14" s="401" t="str">
        <f t="shared" si="4"/>
        <v/>
      </c>
    </row>
    <row r="15" spans="1:14" x14ac:dyDescent="0.25">
      <c r="B15" s="58"/>
      <c r="C15" s="784"/>
      <c r="D15" s="15"/>
      <c r="E15" s="15"/>
      <c r="F15" s="24"/>
      <c r="G15" s="411"/>
      <c r="H15" s="17" t="str">
        <f t="shared" si="0"/>
        <v/>
      </c>
      <c r="I15" s="63"/>
      <c r="J15" s="61"/>
      <c r="K15" s="402"/>
      <c r="L15" s="420" t="str">
        <f t="shared" si="3"/>
        <v/>
      </c>
      <c r="M15" s="401" t="str">
        <f t="shared" si="4"/>
        <v/>
      </c>
    </row>
    <row r="16" spans="1:14" ht="25" x14ac:dyDescent="0.25">
      <c r="B16" s="58" t="s">
        <v>287</v>
      </c>
      <c r="C16" s="65" t="s">
        <v>280</v>
      </c>
      <c r="D16" s="15"/>
      <c r="E16" s="15"/>
      <c r="F16" s="24"/>
      <c r="G16" s="411"/>
      <c r="H16" s="17" t="str">
        <f t="shared" si="0"/>
        <v/>
      </c>
      <c r="I16" s="63"/>
      <c r="J16" s="61"/>
      <c r="K16" s="402"/>
      <c r="L16" s="420" t="str">
        <f t="shared" si="3"/>
        <v/>
      </c>
      <c r="M16" s="401" t="str">
        <f t="shared" si="4"/>
        <v/>
      </c>
    </row>
    <row r="17" spans="2:13" x14ac:dyDescent="0.25">
      <c r="B17" s="58"/>
      <c r="C17" s="65"/>
      <c r="D17" s="15"/>
      <c r="E17" s="15"/>
      <c r="F17" s="24"/>
      <c r="G17" s="411"/>
      <c r="H17" s="17" t="str">
        <f t="shared" si="0"/>
        <v/>
      </c>
      <c r="I17" s="63"/>
      <c r="J17" s="61"/>
      <c r="K17" s="402"/>
      <c r="L17" s="420" t="str">
        <f t="shared" si="3"/>
        <v/>
      </c>
      <c r="M17" s="401" t="str">
        <f t="shared" si="4"/>
        <v/>
      </c>
    </row>
    <row r="18" spans="2:13" ht="14.5" x14ac:dyDescent="0.25">
      <c r="B18" s="58" t="s">
        <v>39</v>
      </c>
      <c r="C18" s="65" t="s">
        <v>281</v>
      </c>
      <c r="D18" s="15" t="s">
        <v>23</v>
      </c>
      <c r="E18" s="15"/>
      <c r="F18" s="24">
        <v>100</v>
      </c>
      <c r="G18" s="411"/>
      <c r="H18" s="17">
        <f t="shared" si="0"/>
        <v>0</v>
      </c>
      <c r="I18" s="63"/>
      <c r="J18" s="61" t="s">
        <v>1721</v>
      </c>
      <c r="K18" s="399">
        <f>IF(D18="","",ROUND(Labour_perc_structures*G18,1))</f>
        <v>0</v>
      </c>
      <c r="L18" s="420">
        <f t="shared" si="3"/>
        <v>0</v>
      </c>
      <c r="M18" s="401" t="str">
        <f t="shared" si="4"/>
        <v/>
      </c>
    </row>
    <row r="19" spans="2:13" x14ac:dyDescent="0.25">
      <c r="B19" s="58"/>
      <c r="C19" s="65"/>
      <c r="D19" s="15"/>
      <c r="E19" s="15"/>
      <c r="F19" s="24"/>
      <c r="G19" s="411"/>
      <c r="H19" s="17" t="str">
        <f t="shared" si="0"/>
        <v/>
      </c>
      <c r="I19" s="63"/>
      <c r="J19" s="61"/>
      <c r="K19" s="399"/>
      <c r="L19" s="420" t="str">
        <f t="shared" si="3"/>
        <v/>
      </c>
      <c r="M19" s="401" t="str">
        <f t="shared" si="4"/>
        <v/>
      </c>
    </row>
    <row r="20" spans="2:13" ht="14.5" x14ac:dyDescent="0.25">
      <c r="B20" s="58" t="s">
        <v>41</v>
      </c>
      <c r="C20" s="65" t="s">
        <v>282</v>
      </c>
      <c r="D20" s="15" t="s">
        <v>23</v>
      </c>
      <c r="E20" s="15"/>
      <c r="F20" s="24">
        <v>75</v>
      </c>
      <c r="G20" s="411"/>
      <c r="H20" s="17">
        <f t="shared" si="0"/>
        <v>0</v>
      </c>
      <c r="I20" s="57"/>
      <c r="J20" s="61" t="s">
        <v>1721</v>
      </c>
      <c r="K20" s="399">
        <f>IF(D20="","",ROUND(Labour_perc_structures*G20,1))</f>
        <v>0</v>
      </c>
      <c r="L20" s="420">
        <f t="shared" si="3"/>
        <v>0</v>
      </c>
      <c r="M20" s="401" t="str">
        <f t="shared" si="4"/>
        <v/>
      </c>
    </row>
    <row r="21" spans="2:13" x14ac:dyDescent="0.25">
      <c r="B21" s="58"/>
      <c r="C21" s="65"/>
      <c r="D21" s="15"/>
      <c r="E21" s="15"/>
      <c r="F21" s="24"/>
      <c r="G21" s="411"/>
      <c r="H21" s="17" t="str">
        <f t="shared" si="0"/>
        <v/>
      </c>
      <c r="I21" s="18"/>
      <c r="J21" s="61"/>
      <c r="K21" s="402"/>
      <c r="L21" s="420" t="str">
        <f t="shared" si="3"/>
        <v/>
      </c>
      <c r="M21" s="401" t="str">
        <f t="shared" si="4"/>
        <v/>
      </c>
    </row>
    <row r="22" spans="2:13" ht="14.5" x14ac:dyDescent="0.25">
      <c r="B22" s="58" t="s">
        <v>52</v>
      </c>
      <c r="C22" s="65" t="s">
        <v>1961</v>
      </c>
      <c r="D22" s="15" t="s">
        <v>23</v>
      </c>
      <c r="E22" s="15"/>
      <c r="F22" s="24">
        <v>50</v>
      </c>
      <c r="G22" s="411"/>
      <c r="H22" s="17">
        <f t="shared" si="0"/>
        <v>0</v>
      </c>
      <c r="I22" s="18"/>
      <c r="J22" s="61" t="s">
        <v>1721</v>
      </c>
      <c r="K22" s="399">
        <f>IF(D22="","",ROUND(Labour_perc_structures*G22,1))</f>
        <v>0</v>
      </c>
      <c r="L22" s="420">
        <f t="shared" si="3"/>
        <v>0</v>
      </c>
      <c r="M22" s="401" t="str">
        <f t="shared" si="4"/>
        <v/>
      </c>
    </row>
    <row r="23" spans="2:13" x14ac:dyDescent="0.25">
      <c r="B23" s="58"/>
      <c r="C23" s="65"/>
      <c r="D23" s="15"/>
      <c r="E23" s="15"/>
      <c r="F23" s="24"/>
      <c r="G23" s="411"/>
      <c r="H23" s="17" t="str">
        <f t="shared" si="0"/>
        <v/>
      </c>
      <c r="I23" s="18"/>
      <c r="J23" s="61"/>
      <c r="K23" s="402"/>
      <c r="L23" s="420" t="str">
        <f t="shared" ref="L23" si="5">IF(J23="","",F23*K23)</f>
        <v/>
      </c>
      <c r="M23" s="401" t="str">
        <f t="shared" ref="M23" si="6">IF(J23="","",IF(SUM(H23)=0,"",L23/H23))</f>
        <v/>
      </c>
    </row>
    <row r="24" spans="2:13" ht="25" x14ac:dyDescent="0.25">
      <c r="B24" s="58" t="s">
        <v>288</v>
      </c>
      <c r="C24" s="65" t="s">
        <v>283</v>
      </c>
      <c r="D24" s="15" t="s">
        <v>23</v>
      </c>
      <c r="E24" s="15"/>
      <c r="F24" s="24">
        <v>50</v>
      </c>
      <c r="G24" s="411"/>
      <c r="H24" s="17">
        <f t="shared" si="0"/>
        <v>0</v>
      </c>
      <c r="I24" s="57"/>
      <c r="J24" s="61" t="s">
        <v>1721</v>
      </c>
      <c r="K24" s="399">
        <f>IF(D24="","",ROUND(Labour_perc_structures*G24,1))</f>
        <v>0</v>
      </c>
      <c r="L24" s="420">
        <f t="shared" si="3"/>
        <v>0</v>
      </c>
      <c r="M24" s="401" t="str">
        <f t="shared" si="4"/>
        <v/>
      </c>
    </row>
    <row r="25" spans="2:13" x14ac:dyDescent="0.25">
      <c r="B25" s="58"/>
      <c r="C25" s="65"/>
      <c r="D25" s="15"/>
      <c r="E25" s="15"/>
      <c r="F25" s="24"/>
      <c r="G25" s="411"/>
      <c r="H25" s="17" t="str">
        <f t="shared" si="0"/>
        <v/>
      </c>
      <c r="I25" s="18"/>
      <c r="J25" s="61"/>
      <c r="K25" s="399" t="str">
        <f t="shared" ref="K25" si="7">IF(D25="","",ROUND(Labour_perc_structures*H25,1))</f>
        <v/>
      </c>
      <c r="L25" s="420" t="str">
        <f t="shared" si="3"/>
        <v/>
      </c>
      <c r="M25" s="401" t="str">
        <f t="shared" si="4"/>
        <v/>
      </c>
    </row>
    <row r="26" spans="2:13" ht="25" x14ac:dyDescent="0.25">
      <c r="B26" s="58" t="s">
        <v>289</v>
      </c>
      <c r="C26" s="65" t="s">
        <v>284</v>
      </c>
      <c r="D26" s="15" t="s">
        <v>23</v>
      </c>
      <c r="E26" s="15"/>
      <c r="F26" s="24">
        <v>35</v>
      </c>
      <c r="G26" s="411"/>
      <c r="H26" s="17">
        <f t="shared" si="0"/>
        <v>0</v>
      </c>
      <c r="I26" s="18"/>
      <c r="J26" s="61" t="s">
        <v>1721</v>
      </c>
      <c r="K26" s="399">
        <f>IF(D26="","",ROUND(Labour_perc_structures*G26,1))</f>
        <v>0</v>
      </c>
      <c r="L26" s="420">
        <f t="shared" si="3"/>
        <v>0</v>
      </c>
      <c r="M26" s="401" t="str">
        <f t="shared" si="4"/>
        <v/>
      </c>
    </row>
    <row r="27" spans="2:13" x14ac:dyDescent="0.25">
      <c r="B27" s="58"/>
      <c r="C27" s="65"/>
      <c r="D27" s="15"/>
      <c r="E27" s="15"/>
      <c r="F27" s="24"/>
      <c r="G27" s="411"/>
      <c r="H27" s="17" t="str">
        <f t="shared" si="0"/>
        <v/>
      </c>
      <c r="I27" s="18"/>
      <c r="J27" s="61"/>
      <c r="K27" s="577" t="str">
        <f>IF(D27="","",ROUND(90%*H27,1))</f>
        <v/>
      </c>
      <c r="L27" s="420" t="str">
        <f t="shared" si="3"/>
        <v/>
      </c>
      <c r="M27" s="401" t="str">
        <f t="shared" si="4"/>
        <v/>
      </c>
    </row>
    <row r="28" spans="2:13" ht="14.5" x14ac:dyDescent="0.25">
      <c r="B28" s="58" t="s">
        <v>290</v>
      </c>
      <c r="C28" s="65" t="s">
        <v>285</v>
      </c>
      <c r="D28" s="15" t="s">
        <v>23</v>
      </c>
      <c r="E28" s="15" t="s">
        <v>996</v>
      </c>
      <c r="F28" s="24">
        <v>20</v>
      </c>
      <c r="G28" s="411"/>
      <c r="H28" s="17">
        <f t="shared" si="0"/>
        <v>0</v>
      </c>
      <c r="I28" s="18"/>
      <c r="J28" s="61" t="s">
        <v>1721</v>
      </c>
      <c r="K28" s="399">
        <f>G28*90/100</f>
        <v>0</v>
      </c>
      <c r="L28" s="420">
        <f t="shared" si="3"/>
        <v>0</v>
      </c>
      <c r="M28" s="401" t="str">
        <f t="shared" si="4"/>
        <v/>
      </c>
    </row>
    <row r="29" spans="2:13" x14ac:dyDescent="0.25">
      <c r="B29" s="58"/>
      <c r="C29" s="65"/>
      <c r="D29" s="15"/>
      <c r="E29" s="15"/>
      <c r="F29" s="24"/>
      <c r="G29" s="411"/>
      <c r="H29" s="17" t="str">
        <f t="shared" si="0"/>
        <v/>
      </c>
      <c r="I29" s="63"/>
      <c r="J29" s="61"/>
      <c r="K29" s="399"/>
      <c r="L29" s="420" t="str">
        <f t="shared" si="3"/>
        <v/>
      </c>
      <c r="M29" s="401" t="str">
        <f t="shared" si="4"/>
        <v/>
      </c>
    </row>
    <row r="30" spans="2:13" ht="13" x14ac:dyDescent="0.25">
      <c r="B30" s="146" t="s">
        <v>292</v>
      </c>
      <c r="C30" s="672" t="s">
        <v>291</v>
      </c>
      <c r="D30" s="15"/>
      <c r="E30" s="15"/>
      <c r="F30" s="15"/>
      <c r="G30" s="411"/>
      <c r="H30" s="17" t="str">
        <f t="shared" si="0"/>
        <v/>
      </c>
      <c r="I30" s="18"/>
      <c r="J30" s="62"/>
      <c r="K30" s="62"/>
      <c r="L30" s="420" t="str">
        <f t="shared" si="3"/>
        <v/>
      </c>
      <c r="M30" s="401" t="str">
        <f t="shared" si="4"/>
        <v/>
      </c>
    </row>
    <row r="31" spans="2:13" x14ac:dyDescent="0.25">
      <c r="B31" s="58"/>
      <c r="C31" s="65"/>
      <c r="D31" s="15"/>
      <c r="E31" s="15"/>
      <c r="F31" s="15"/>
      <c r="G31" s="411"/>
      <c r="H31" s="17" t="str">
        <f t="shared" si="0"/>
        <v/>
      </c>
      <c r="I31" s="18"/>
      <c r="J31" s="62"/>
      <c r="K31" s="62"/>
      <c r="L31" s="420" t="str">
        <f t="shared" si="3"/>
        <v/>
      </c>
      <c r="M31" s="401" t="str">
        <f t="shared" si="4"/>
        <v/>
      </c>
    </row>
    <row r="32" spans="2:13" s="36" customFormat="1" x14ac:dyDescent="0.25">
      <c r="B32" s="58" t="s">
        <v>293</v>
      </c>
      <c r="C32" s="65" t="s">
        <v>295</v>
      </c>
      <c r="D32" s="15" t="s">
        <v>11</v>
      </c>
      <c r="E32" s="15"/>
      <c r="F32" s="15">
        <v>1</v>
      </c>
      <c r="G32" s="411"/>
      <c r="H32" s="17">
        <f t="shared" si="0"/>
        <v>0</v>
      </c>
      <c r="I32" s="18"/>
      <c r="J32" s="62" t="s">
        <v>1721</v>
      </c>
      <c r="K32" s="399">
        <f>IF(D32="","",ROUND(Labour_perc_structures*G32,1))</f>
        <v>0</v>
      </c>
      <c r="L32" s="420">
        <f t="shared" si="3"/>
        <v>0</v>
      </c>
      <c r="M32" s="401" t="str">
        <f t="shared" ref="M32" si="8">IF(J32="","",IF(SUM(H32)=0,"",L32/H32))</f>
        <v/>
      </c>
    </row>
    <row r="33" spans="2:13" s="36" customFormat="1" x14ac:dyDescent="0.25">
      <c r="B33" s="58"/>
      <c r="C33" s="65"/>
      <c r="D33" s="15"/>
      <c r="E33" s="15"/>
      <c r="F33" s="24"/>
      <c r="G33" s="411"/>
      <c r="H33" s="17" t="str">
        <f t="shared" si="0"/>
        <v/>
      </c>
      <c r="I33" s="18"/>
      <c r="J33" s="61"/>
      <c r="K33" s="399"/>
      <c r="L33" s="420" t="str">
        <f t="shared" ref="L33:L65" si="9">IF(J33="","",F33*K33)</f>
        <v/>
      </c>
      <c r="M33" s="401" t="str">
        <f t="shared" ref="M33:M65" si="10">IF(J33="","",IF(SUM(H33)=0,"",L33/H33))</f>
        <v/>
      </c>
    </row>
    <row r="34" spans="2:13" x14ac:dyDescent="0.25">
      <c r="B34" s="58" t="s">
        <v>294</v>
      </c>
      <c r="C34" s="65" t="s">
        <v>296</v>
      </c>
      <c r="D34" s="15" t="s">
        <v>11</v>
      </c>
      <c r="E34" s="15"/>
      <c r="F34" s="15">
        <v>1</v>
      </c>
      <c r="G34" s="411"/>
      <c r="H34" s="17">
        <f t="shared" si="0"/>
        <v>0</v>
      </c>
      <c r="I34" s="18"/>
      <c r="J34" s="62" t="s">
        <v>1721</v>
      </c>
      <c r="K34" s="62">
        <f>IF(D34="","",ROUND(Labour_perc_structures*G34,1))</f>
        <v>0</v>
      </c>
      <c r="L34" s="420">
        <f t="shared" ref="L34" si="11">IF(J34="","",F34*K34)</f>
        <v>0</v>
      </c>
      <c r="M34" s="401" t="str">
        <f t="shared" ref="M34" si="12">IF(J34="","",IF(SUM(H34)=0,"",L34/H34))</f>
        <v/>
      </c>
    </row>
    <row r="35" spans="2:13" ht="12" customHeight="1" x14ac:dyDescent="0.25">
      <c r="B35" s="58"/>
      <c r="C35" s="65"/>
      <c r="D35" s="15"/>
      <c r="E35" s="15"/>
      <c r="F35" s="15"/>
      <c r="G35" s="411"/>
      <c r="H35" s="17" t="str">
        <f>IF(D35="","",F35*G35)</f>
        <v/>
      </c>
      <c r="I35" s="18"/>
      <c r="J35" s="62"/>
      <c r="K35" s="62"/>
      <c r="L35" s="420" t="str">
        <f>IF(J35="","",F35*K35)</f>
        <v/>
      </c>
      <c r="M35" s="401" t="str">
        <f>IF(J35="","",IF(SUM(H35)=0,"",L35/H35))</f>
        <v/>
      </c>
    </row>
    <row r="36" spans="2:13" s="36" customFormat="1" ht="13" x14ac:dyDescent="0.25">
      <c r="B36" s="146" t="s">
        <v>299</v>
      </c>
      <c r="C36" s="672" t="s">
        <v>297</v>
      </c>
      <c r="D36" s="61"/>
      <c r="E36" s="61"/>
      <c r="F36" s="61"/>
      <c r="G36" s="411"/>
      <c r="H36" s="17" t="str">
        <f t="shared" si="0"/>
        <v/>
      </c>
      <c r="I36" s="63"/>
      <c r="J36" s="62"/>
      <c r="K36" s="62"/>
      <c r="L36" s="420" t="str">
        <f t="shared" si="9"/>
        <v/>
      </c>
      <c r="M36" s="401" t="str">
        <f t="shared" si="10"/>
        <v/>
      </c>
    </row>
    <row r="37" spans="2:13" s="36" customFormat="1" x14ac:dyDescent="0.25">
      <c r="B37" s="58"/>
      <c r="C37" s="65"/>
      <c r="D37" s="15"/>
      <c r="E37" s="15"/>
      <c r="F37" s="15"/>
      <c r="G37" s="411"/>
      <c r="H37" s="17" t="str">
        <f t="shared" si="0"/>
        <v/>
      </c>
      <c r="I37" s="18"/>
      <c r="J37" s="62"/>
      <c r="K37" s="62"/>
      <c r="L37" s="420" t="str">
        <f t="shared" si="9"/>
        <v/>
      </c>
      <c r="M37" s="401" t="str">
        <f t="shared" si="10"/>
        <v/>
      </c>
    </row>
    <row r="38" spans="2:13" ht="14.5" x14ac:dyDescent="0.25">
      <c r="B38" s="58" t="s">
        <v>300</v>
      </c>
      <c r="C38" s="65" t="s">
        <v>298</v>
      </c>
      <c r="D38" s="15" t="s">
        <v>23</v>
      </c>
      <c r="E38" s="15"/>
      <c r="F38" s="15">
        <v>100</v>
      </c>
      <c r="G38" s="411"/>
      <c r="H38" s="17">
        <f t="shared" si="0"/>
        <v>0</v>
      </c>
      <c r="I38" s="18"/>
      <c r="J38" s="62" t="s">
        <v>1721</v>
      </c>
      <c r="K38" s="399">
        <f>IF(D38="","",ROUND(Labour_perc_structures*G38,1))</f>
        <v>0</v>
      </c>
      <c r="L38" s="420">
        <f t="shared" si="9"/>
        <v>0</v>
      </c>
      <c r="M38" s="401" t="str">
        <f t="shared" si="10"/>
        <v/>
      </c>
    </row>
    <row r="39" spans="2:13" x14ac:dyDescent="0.25">
      <c r="B39" s="58"/>
      <c r="C39" s="65"/>
      <c r="D39" s="15"/>
      <c r="E39" s="15"/>
      <c r="F39" s="15"/>
      <c r="G39" s="411"/>
      <c r="H39" s="17" t="str">
        <f t="shared" si="0"/>
        <v/>
      </c>
      <c r="I39" s="18"/>
      <c r="J39" s="62"/>
      <c r="K39" s="399" t="str">
        <f t="shared" ref="K39" si="13">IF(D39="","",ROUND(Labour_perc_structures*H39,1))</f>
        <v/>
      </c>
      <c r="L39" s="420" t="str">
        <f t="shared" si="9"/>
        <v/>
      </c>
      <c r="M39" s="401" t="str">
        <f t="shared" si="10"/>
        <v/>
      </c>
    </row>
    <row r="40" spans="2:13" ht="25" x14ac:dyDescent="0.25">
      <c r="B40" s="58" t="s">
        <v>301</v>
      </c>
      <c r="C40" s="65" t="s">
        <v>2145</v>
      </c>
      <c r="D40" s="15" t="s">
        <v>23</v>
      </c>
      <c r="E40" s="15"/>
      <c r="F40" s="15">
        <v>50</v>
      </c>
      <c r="G40" s="411"/>
      <c r="H40" s="17">
        <f t="shared" si="0"/>
        <v>0</v>
      </c>
      <c r="I40" s="18"/>
      <c r="J40" s="62" t="s">
        <v>1721</v>
      </c>
      <c r="K40" s="399">
        <f>IF(D40="","",ROUND(Labour_perc_structures*G40,1))</f>
        <v>0</v>
      </c>
      <c r="L40" s="420">
        <f t="shared" si="9"/>
        <v>0</v>
      </c>
      <c r="M40" s="401" t="str">
        <f t="shared" si="10"/>
        <v/>
      </c>
    </row>
    <row r="41" spans="2:13" x14ac:dyDescent="0.25">
      <c r="B41" s="58"/>
      <c r="C41" s="65"/>
      <c r="D41" s="15"/>
      <c r="E41" s="15"/>
      <c r="F41" s="24"/>
      <c r="G41" s="411"/>
      <c r="H41" s="17" t="str">
        <f t="shared" si="0"/>
        <v/>
      </c>
      <c r="I41" s="18"/>
      <c r="J41" s="61"/>
      <c r="K41" s="577"/>
      <c r="L41" s="420" t="str">
        <f t="shared" si="9"/>
        <v/>
      </c>
      <c r="M41" s="401" t="str">
        <f t="shared" si="10"/>
        <v/>
      </c>
    </row>
    <row r="42" spans="2:13" ht="14.5" x14ac:dyDescent="0.25">
      <c r="B42" s="146" t="s">
        <v>1886</v>
      </c>
      <c r="C42" s="672" t="s">
        <v>302</v>
      </c>
      <c r="D42" s="15" t="s">
        <v>23</v>
      </c>
      <c r="E42" s="15"/>
      <c r="F42" s="15">
        <v>20</v>
      </c>
      <c r="G42" s="411"/>
      <c r="H42" s="17">
        <f t="shared" si="0"/>
        <v>0</v>
      </c>
      <c r="I42" s="18"/>
      <c r="J42" s="61" t="s">
        <v>1721</v>
      </c>
      <c r="K42" s="399">
        <f>IF(D42="","",ROUND(Labour_perc_structures*G42,1))</f>
        <v>0</v>
      </c>
      <c r="L42" s="420">
        <f t="shared" si="9"/>
        <v>0</v>
      </c>
      <c r="M42" s="401" t="str">
        <f t="shared" si="10"/>
        <v/>
      </c>
    </row>
    <row r="43" spans="2:13" x14ac:dyDescent="0.25">
      <c r="B43" s="58"/>
      <c r="C43" s="65"/>
      <c r="D43" s="15"/>
      <c r="E43" s="15"/>
      <c r="F43" s="15"/>
      <c r="G43" s="411"/>
      <c r="H43" s="17" t="str">
        <f t="shared" si="0"/>
        <v/>
      </c>
      <c r="I43" s="18"/>
      <c r="J43" s="61"/>
      <c r="K43" s="402"/>
      <c r="L43" s="420" t="str">
        <f t="shared" si="9"/>
        <v/>
      </c>
      <c r="M43" s="401" t="str">
        <f t="shared" si="10"/>
        <v/>
      </c>
    </row>
    <row r="44" spans="2:13" ht="39" x14ac:dyDescent="0.25">
      <c r="B44" s="146" t="s">
        <v>304</v>
      </c>
      <c r="C44" s="672" t="s">
        <v>303</v>
      </c>
      <c r="D44" s="15" t="s">
        <v>510</v>
      </c>
      <c r="E44" s="15"/>
      <c r="F44" s="15">
        <v>500</v>
      </c>
      <c r="G44" s="411"/>
      <c r="H44" s="17">
        <f t="shared" si="0"/>
        <v>0</v>
      </c>
      <c r="I44" s="18"/>
      <c r="J44" s="61" t="s">
        <v>1721</v>
      </c>
      <c r="K44" s="399">
        <f>IF(D44="","",ROUND(Labour_perc_structures*G44,1))</f>
        <v>0</v>
      </c>
      <c r="L44" s="420">
        <f t="shared" si="9"/>
        <v>0</v>
      </c>
      <c r="M44" s="401" t="str">
        <f t="shared" si="10"/>
        <v/>
      </c>
    </row>
    <row r="45" spans="2:13" x14ac:dyDescent="0.25">
      <c r="B45" s="58"/>
      <c r="C45" s="65"/>
      <c r="D45" s="15"/>
      <c r="E45" s="15"/>
      <c r="F45" s="15"/>
      <c r="G45" s="411"/>
      <c r="H45" s="17" t="str">
        <f t="shared" si="0"/>
        <v/>
      </c>
      <c r="I45" s="18"/>
      <c r="J45" s="61"/>
      <c r="K45" s="399"/>
      <c r="L45" s="420" t="str">
        <f t="shared" si="9"/>
        <v/>
      </c>
      <c r="M45" s="401" t="str">
        <f t="shared" si="10"/>
        <v/>
      </c>
    </row>
    <row r="46" spans="2:13" ht="13" x14ac:dyDescent="0.25">
      <c r="B46" s="146" t="s">
        <v>1887</v>
      </c>
      <c r="C46" s="672" t="s">
        <v>309</v>
      </c>
      <c r="D46" s="15"/>
      <c r="E46" s="15"/>
      <c r="F46" s="15"/>
      <c r="G46" s="411"/>
      <c r="H46" s="17" t="str">
        <f t="shared" si="0"/>
        <v/>
      </c>
      <c r="I46" s="18"/>
      <c r="J46" s="61"/>
      <c r="K46" s="399"/>
      <c r="L46" s="420" t="str">
        <f t="shared" si="9"/>
        <v/>
      </c>
      <c r="M46" s="401" t="str">
        <f t="shared" si="10"/>
        <v/>
      </c>
    </row>
    <row r="47" spans="2:13" x14ac:dyDescent="0.25">
      <c r="B47" s="58"/>
      <c r="C47" s="65"/>
      <c r="D47" s="15"/>
      <c r="E47" s="15"/>
      <c r="F47" s="15"/>
      <c r="G47" s="411"/>
      <c r="H47" s="17" t="str">
        <f t="shared" si="0"/>
        <v/>
      </c>
      <c r="I47" s="18"/>
      <c r="J47" s="61"/>
      <c r="K47" s="399"/>
      <c r="L47" s="420" t="str">
        <f t="shared" si="9"/>
        <v/>
      </c>
      <c r="M47" s="401" t="str">
        <f t="shared" si="10"/>
        <v/>
      </c>
    </row>
    <row r="48" spans="2:13" ht="14.5" x14ac:dyDescent="0.25">
      <c r="B48" s="58" t="s">
        <v>305</v>
      </c>
      <c r="C48" s="65" t="s">
        <v>227</v>
      </c>
      <c r="D48" s="15" t="s">
        <v>23</v>
      </c>
      <c r="E48" s="15"/>
      <c r="F48" s="15">
        <v>80</v>
      </c>
      <c r="G48" s="411"/>
      <c r="H48" s="17">
        <f t="shared" si="0"/>
        <v>0</v>
      </c>
      <c r="I48" s="18"/>
      <c r="J48" s="61" t="s">
        <v>1721</v>
      </c>
      <c r="K48" s="399">
        <f>IF(D48="","",ROUND(Labour_perc_structures*G48,1))</f>
        <v>0</v>
      </c>
      <c r="L48" s="420">
        <f t="shared" si="9"/>
        <v>0</v>
      </c>
      <c r="M48" s="401" t="str">
        <f t="shared" si="10"/>
        <v/>
      </c>
    </row>
    <row r="49" spans="2:13" x14ac:dyDescent="0.25">
      <c r="B49" s="58"/>
      <c r="C49" s="65"/>
      <c r="D49" s="15"/>
      <c r="E49" s="15"/>
      <c r="F49" s="15"/>
      <c r="G49" s="411"/>
      <c r="H49" s="17" t="str">
        <f t="shared" si="0"/>
        <v/>
      </c>
      <c r="I49" s="18"/>
      <c r="J49" s="61"/>
      <c r="K49" s="399"/>
      <c r="L49" s="420" t="str">
        <f t="shared" si="9"/>
        <v/>
      </c>
      <c r="M49" s="401" t="str">
        <f t="shared" si="10"/>
        <v/>
      </c>
    </row>
    <row r="50" spans="2:13" ht="37.5" x14ac:dyDescent="0.25">
      <c r="B50" s="58" t="s">
        <v>306</v>
      </c>
      <c r="C50" s="65" t="s">
        <v>2146</v>
      </c>
      <c r="D50" s="15" t="s">
        <v>23</v>
      </c>
      <c r="E50" s="15"/>
      <c r="F50" s="15">
        <v>80</v>
      </c>
      <c r="G50" s="411"/>
      <c r="H50" s="17">
        <f t="shared" si="0"/>
        <v>0</v>
      </c>
      <c r="I50" s="18"/>
      <c r="J50" s="61" t="s">
        <v>1721</v>
      </c>
      <c r="K50" s="399">
        <f>IF(D50="","",ROUND(Labour_perc_structures*G50,1))</f>
        <v>0</v>
      </c>
      <c r="L50" s="420">
        <f t="shared" si="9"/>
        <v>0</v>
      </c>
      <c r="M50" s="401" t="str">
        <f t="shared" si="10"/>
        <v/>
      </c>
    </row>
    <row r="51" spans="2:13" x14ac:dyDescent="0.25">
      <c r="B51" s="58"/>
      <c r="C51" s="65"/>
      <c r="D51" s="15"/>
      <c r="E51" s="15"/>
      <c r="F51" s="15"/>
      <c r="G51" s="411"/>
      <c r="H51" s="17" t="str">
        <f t="shared" si="0"/>
        <v/>
      </c>
      <c r="I51" s="18"/>
      <c r="J51" s="61"/>
      <c r="K51" s="399"/>
      <c r="L51" s="420" t="str">
        <f t="shared" si="9"/>
        <v/>
      </c>
      <c r="M51" s="401" t="str">
        <f t="shared" si="10"/>
        <v/>
      </c>
    </row>
    <row r="52" spans="2:13" ht="25" x14ac:dyDescent="0.25">
      <c r="B52" s="58" t="s">
        <v>307</v>
      </c>
      <c r="C52" s="65" t="s">
        <v>2147</v>
      </c>
      <c r="D52" s="15" t="s">
        <v>23</v>
      </c>
      <c r="E52" s="15"/>
      <c r="F52" s="15">
        <v>35</v>
      </c>
      <c r="G52" s="411"/>
      <c r="H52" s="17">
        <f t="shared" si="0"/>
        <v>0</v>
      </c>
      <c r="I52" s="18"/>
      <c r="J52" s="61" t="s">
        <v>1721</v>
      </c>
      <c r="K52" s="577">
        <f>ROUND(_Mix+_Haul+_Place,1)*0.5</f>
        <v>396.35</v>
      </c>
      <c r="L52" s="420">
        <f t="shared" si="9"/>
        <v>13872.25</v>
      </c>
      <c r="M52" s="401" t="str">
        <f t="shared" si="10"/>
        <v/>
      </c>
    </row>
    <row r="53" spans="2:13" x14ac:dyDescent="0.25">
      <c r="B53" s="58"/>
      <c r="C53" s="65"/>
      <c r="D53" s="15"/>
      <c r="E53" s="15"/>
      <c r="F53" s="15"/>
      <c r="G53" s="411"/>
      <c r="H53" s="17" t="str">
        <f t="shared" si="0"/>
        <v/>
      </c>
      <c r="I53" s="18"/>
      <c r="J53" s="61"/>
      <c r="K53" s="399"/>
      <c r="L53" s="420" t="str">
        <f t="shared" si="9"/>
        <v/>
      </c>
      <c r="M53" s="401" t="str">
        <f t="shared" si="10"/>
        <v/>
      </c>
    </row>
    <row r="54" spans="2:13" ht="25" x14ac:dyDescent="0.25">
      <c r="B54" s="58" t="s">
        <v>308</v>
      </c>
      <c r="C54" s="65" t="s">
        <v>2148</v>
      </c>
      <c r="D54" s="15" t="s">
        <v>23</v>
      </c>
      <c r="E54" s="15"/>
      <c r="F54" s="15">
        <v>15</v>
      </c>
      <c r="G54" s="411"/>
      <c r="H54" s="17">
        <f t="shared" si="0"/>
        <v>0</v>
      </c>
      <c r="I54" s="18"/>
      <c r="J54" s="61" t="s">
        <v>1721</v>
      </c>
      <c r="K54" s="577">
        <f>ROUND(_Mix+_Haul+_Place,1)*0.5</f>
        <v>396.35</v>
      </c>
      <c r="L54" s="420">
        <f t="shared" si="9"/>
        <v>5945.25</v>
      </c>
      <c r="M54" s="401" t="str">
        <f t="shared" si="10"/>
        <v/>
      </c>
    </row>
    <row r="55" spans="2:13" x14ac:dyDescent="0.25">
      <c r="B55" s="58"/>
      <c r="C55" s="65"/>
      <c r="D55" s="15"/>
      <c r="E55" s="15"/>
      <c r="F55" s="15"/>
      <c r="G55" s="411"/>
      <c r="H55" s="17" t="str">
        <f t="shared" si="0"/>
        <v/>
      </c>
      <c r="I55" s="18"/>
      <c r="J55" s="62"/>
      <c r="K55" s="62"/>
      <c r="L55" s="420" t="str">
        <f t="shared" si="9"/>
        <v/>
      </c>
      <c r="M55" s="401" t="str">
        <f t="shared" si="10"/>
        <v/>
      </c>
    </row>
    <row r="56" spans="2:13" x14ac:dyDescent="0.25">
      <c r="B56" s="58"/>
      <c r="C56" s="65"/>
      <c r="D56" s="15"/>
      <c r="E56" s="15"/>
      <c r="F56" s="15"/>
      <c r="G56" s="411"/>
      <c r="H56" s="17" t="str">
        <f t="shared" si="0"/>
        <v/>
      </c>
      <c r="I56" s="18"/>
      <c r="J56" s="62"/>
      <c r="K56" s="62"/>
      <c r="L56" s="420" t="str">
        <f t="shared" si="9"/>
        <v/>
      </c>
      <c r="M56" s="401" t="str">
        <f t="shared" si="10"/>
        <v/>
      </c>
    </row>
    <row r="57" spans="2:13" ht="12" customHeight="1" x14ac:dyDescent="0.25">
      <c r="B57" s="58"/>
      <c r="C57" s="65"/>
      <c r="D57" s="15"/>
      <c r="E57" s="15"/>
      <c r="F57" s="15"/>
      <c r="G57" s="411"/>
      <c r="H57" s="17" t="str">
        <f t="shared" si="0"/>
        <v/>
      </c>
      <c r="I57" s="18"/>
      <c r="J57" s="62"/>
      <c r="K57" s="62"/>
      <c r="L57" s="420" t="str">
        <f t="shared" si="9"/>
        <v/>
      </c>
      <c r="M57" s="401" t="str">
        <f t="shared" si="10"/>
        <v/>
      </c>
    </row>
    <row r="58" spans="2:13" x14ac:dyDescent="0.25">
      <c r="B58" s="58"/>
      <c r="C58" s="65"/>
      <c r="D58" s="15"/>
      <c r="E58" s="15"/>
      <c r="F58" s="15"/>
      <c r="G58" s="411"/>
      <c r="H58" s="17" t="str">
        <f t="shared" si="0"/>
        <v/>
      </c>
      <c r="I58" s="18"/>
      <c r="J58" s="62"/>
      <c r="K58" s="399"/>
      <c r="L58" s="420" t="str">
        <f t="shared" si="9"/>
        <v/>
      </c>
      <c r="M58" s="401" t="str">
        <f t="shared" si="10"/>
        <v/>
      </c>
    </row>
    <row r="59" spans="2:13" ht="12" customHeight="1" x14ac:dyDescent="0.25">
      <c r="B59" s="58"/>
      <c r="C59" s="65"/>
      <c r="D59" s="61"/>
      <c r="E59" s="61"/>
      <c r="F59" s="61"/>
      <c r="G59" s="411"/>
      <c r="H59" s="17" t="str">
        <f t="shared" si="0"/>
        <v/>
      </c>
      <c r="I59" s="63"/>
      <c r="J59" s="62"/>
      <c r="K59" s="62"/>
      <c r="L59" s="420" t="str">
        <f t="shared" si="9"/>
        <v/>
      </c>
      <c r="M59" s="401" t="str">
        <f t="shared" si="10"/>
        <v/>
      </c>
    </row>
    <row r="60" spans="2:13" x14ac:dyDescent="0.25">
      <c r="B60" s="58"/>
      <c r="C60" s="65"/>
      <c r="D60" s="15"/>
      <c r="E60" s="15"/>
      <c r="F60" s="15"/>
      <c r="G60" s="411"/>
      <c r="H60" s="17" t="str">
        <f t="shared" si="0"/>
        <v/>
      </c>
      <c r="I60" s="18"/>
      <c r="J60" s="62"/>
      <c r="K60" s="62"/>
      <c r="L60" s="420" t="str">
        <f t="shared" si="9"/>
        <v/>
      </c>
      <c r="M60" s="401" t="str">
        <f t="shared" si="10"/>
        <v/>
      </c>
    </row>
    <row r="61" spans="2:13" x14ac:dyDescent="0.25">
      <c r="B61" s="58"/>
      <c r="C61" s="65"/>
      <c r="D61" s="61"/>
      <c r="E61" s="61"/>
      <c r="F61" s="61"/>
      <c r="G61" s="411"/>
      <c r="H61" s="17" t="str">
        <f t="shared" si="0"/>
        <v/>
      </c>
      <c r="I61" s="63"/>
      <c r="J61" s="62"/>
      <c r="K61" s="62"/>
      <c r="L61" s="420" t="str">
        <f t="shared" si="9"/>
        <v/>
      </c>
      <c r="M61" s="401" t="str">
        <f t="shared" si="10"/>
        <v/>
      </c>
    </row>
    <row r="62" spans="2:13" ht="12" customHeight="1" x14ac:dyDescent="0.25">
      <c r="B62" s="58"/>
      <c r="C62" s="65"/>
      <c r="D62" s="15"/>
      <c r="E62" s="15"/>
      <c r="F62" s="15"/>
      <c r="G62" s="411"/>
      <c r="H62" s="17" t="str">
        <f t="shared" si="0"/>
        <v/>
      </c>
      <c r="I62" s="18"/>
      <c r="J62" s="62"/>
      <c r="K62" s="62"/>
      <c r="L62" s="420" t="str">
        <f t="shared" si="9"/>
        <v/>
      </c>
      <c r="M62" s="401" t="str">
        <f t="shared" si="10"/>
        <v/>
      </c>
    </row>
    <row r="63" spans="2:13" ht="12" customHeight="1" x14ac:dyDescent="0.25">
      <c r="B63" s="58"/>
      <c r="C63" s="65"/>
      <c r="D63" s="15"/>
      <c r="E63" s="15"/>
      <c r="F63" s="15"/>
      <c r="G63" s="411"/>
      <c r="H63" s="17" t="str">
        <f t="shared" si="0"/>
        <v/>
      </c>
      <c r="I63" s="18"/>
      <c r="J63" s="62"/>
      <c r="K63" s="399"/>
      <c r="L63" s="420" t="str">
        <f t="shared" si="9"/>
        <v/>
      </c>
      <c r="M63" s="401" t="str">
        <f t="shared" si="10"/>
        <v/>
      </c>
    </row>
    <row r="64" spans="2:13" x14ac:dyDescent="0.25">
      <c r="B64" s="58"/>
      <c r="C64" s="65"/>
      <c r="D64" s="15"/>
      <c r="E64" s="15"/>
      <c r="F64" s="15"/>
      <c r="G64" s="411"/>
      <c r="H64" s="17" t="str">
        <f t="shared" si="0"/>
        <v/>
      </c>
      <c r="I64" s="18"/>
      <c r="J64" s="61"/>
      <c r="K64" s="695"/>
      <c r="L64" s="420" t="str">
        <f t="shared" si="9"/>
        <v/>
      </c>
      <c r="M64" s="401" t="str">
        <f t="shared" si="10"/>
        <v/>
      </c>
    </row>
    <row r="65" spans="2:13" ht="12" customHeight="1" x14ac:dyDescent="0.25">
      <c r="B65" s="58"/>
      <c r="C65" s="65"/>
      <c r="D65" s="15"/>
      <c r="E65" s="15"/>
      <c r="F65" s="15"/>
      <c r="G65" s="411"/>
      <c r="H65" s="17" t="str">
        <f t="shared" si="0"/>
        <v/>
      </c>
      <c r="I65" s="18"/>
      <c r="J65" s="61"/>
      <c r="K65" s="696"/>
      <c r="L65" s="420" t="str">
        <f t="shared" si="9"/>
        <v/>
      </c>
      <c r="M65" s="401" t="str">
        <f t="shared" si="10"/>
        <v/>
      </c>
    </row>
    <row r="66" spans="2:13" s="28" customFormat="1" ht="19.5" customHeight="1" x14ac:dyDescent="0.25">
      <c r="B66" s="135" t="str">
        <f>$B$12</f>
        <v>C13.1</v>
      </c>
      <c r="C66" s="30" t="s">
        <v>12</v>
      </c>
      <c r="D66" s="31"/>
      <c r="E66" s="31"/>
      <c r="F66" s="32"/>
      <c r="G66" s="31"/>
      <c r="H66" s="33">
        <f>SUM(H11:H65)</f>
        <v>0</v>
      </c>
      <c r="I66" s="34"/>
      <c r="J66" s="408"/>
      <c r="K66" s="406"/>
      <c r="L66" s="418">
        <f>SUM(L11:L65)</f>
        <v>19817.5</v>
      </c>
      <c r="M66" s="407" t="str">
        <f t="shared" ref="M66" si="14">IF(J66="","",IF(SUM(H66)=0,"",L66/H66))</f>
        <v/>
      </c>
    </row>
    <row r="67" spans="2:13" ht="13" x14ac:dyDescent="0.25">
      <c r="B67" s="1108" t="str">
        <f>Client1</f>
        <v>Province of KwaZulu-Natal</v>
      </c>
      <c r="C67" s="1108"/>
      <c r="D67" s="1108"/>
      <c r="E67" s="87"/>
      <c r="F67" s="1109" t="str">
        <f>"Contract No. "&amp;ContractNo</f>
        <v>Contract No. ZNB 00399/00000/HOD/INF/21/T</v>
      </c>
      <c r="G67" s="1109"/>
      <c r="H67" s="1109"/>
    </row>
    <row r="68" spans="2:13" ht="13" x14ac:dyDescent="0.25">
      <c r="B68" s="1108" t="str">
        <f>Client2</f>
        <v>Department of Transport</v>
      </c>
      <c r="C68" s="1108"/>
      <c r="D68" s="1108"/>
      <c r="E68" s="87"/>
      <c r="F68" s="1109"/>
      <c r="G68" s="1109"/>
      <c r="H68" s="1109"/>
    </row>
    <row r="69" spans="2:13" x14ac:dyDescent="0.25">
      <c r="B69" s="1111"/>
      <c r="C69" s="1111"/>
      <c r="D69" s="1111"/>
      <c r="E69" s="78"/>
      <c r="F69" s="1110"/>
      <c r="G69" s="1110"/>
      <c r="H69" s="1110"/>
    </row>
    <row r="70" spans="2:13" ht="13" x14ac:dyDescent="0.25">
      <c r="B70" s="1112" t="s">
        <v>1773</v>
      </c>
      <c r="C70" s="1113"/>
      <c r="D70" s="1113"/>
      <c r="E70" s="1113"/>
      <c r="F70" s="1113"/>
      <c r="G70" s="1113"/>
      <c r="H70" s="1125" t="str">
        <f>$H$6</f>
        <v>CHAPTER C13.1</v>
      </c>
      <c r="I70" s="6"/>
    </row>
    <row r="71" spans="2:13" ht="34.5" customHeight="1" x14ac:dyDescent="0.25">
      <c r="B71" s="1117" t="str">
        <f>ContractDescription</f>
        <v>THE CONSTRUCTION OF EARTHWORKS, LAYERWORKS, SURFACING, CULVERTS AND CWAKA RIVER BRIDGE FROM KM 11.600 TO KM 14.000 ON MAIN ROAD P494 IN THE KING CETSHWAYO DISTRICT UNDER EMPANGENI REGION</v>
      </c>
      <c r="C71" s="1148"/>
      <c r="D71" s="1148"/>
      <c r="E71" s="1148"/>
      <c r="F71" s="1148"/>
      <c r="G71" s="1148"/>
      <c r="H71" s="1126"/>
      <c r="I71" s="8"/>
    </row>
    <row r="72" spans="2:13" ht="21" customHeight="1" x14ac:dyDescent="0.25">
      <c r="B72" s="1149" t="s">
        <v>1772</v>
      </c>
      <c r="C72" s="1150"/>
      <c r="D72" s="1150"/>
      <c r="E72" s="1150"/>
      <c r="F72" s="1150"/>
      <c r="G72" s="1150"/>
      <c r="H72" s="1126"/>
      <c r="I72" s="8"/>
    </row>
    <row r="73" spans="2:13" ht="6.75" customHeight="1" x14ac:dyDescent="0.25">
      <c r="B73" s="611"/>
      <c r="C73" s="612"/>
      <c r="D73" s="612"/>
      <c r="E73" s="612"/>
      <c r="F73" s="612"/>
      <c r="G73" s="612"/>
      <c r="H73" s="1127"/>
      <c r="I73" s="8"/>
    </row>
    <row r="74" spans="2:13" s="9" customFormat="1" ht="25" customHeight="1" x14ac:dyDescent="0.25">
      <c r="B74" s="74" t="s">
        <v>0</v>
      </c>
      <c r="C74" s="11" t="s">
        <v>1</v>
      </c>
      <c r="D74" s="11" t="s">
        <v>2</v>
      </c>
      <c r="E74" s="11"/>
      <c r="F74" s="11" t="s">
        <v>3</v>
      </c>
      <c r="G74" s="11" t="s">
        <v>4</v>
      </c>
      <c r="H74" s="11" t="s">
        <v>5</v>
      </c>
      <c r="I74" s="12"/>
      <c r="J74" s="408" t="s">
        <v>996</v>
      </c>
      <c r="K74" s="253" t="s">
        <v>997</v>
      </c>
      <c r="L74" s="253" t="s">
        <v>998</v>
      </c>
      <c r="M74" s="253" t="s">
        <v>999</v>
      </c>
    </row>
    <row r="75" spans="2:13" s="28" customFormat="1" ht="19.5" customHeight="1" x14ac:dyDescent="0.25">
      <c r="B75" s="80"/>
      <c r="C75" s="30" t="s">
        <v>27</v>
      </c>
      <c r="D75" s="31"/>
      <c r="E75" s="31"/>
      <c r="F75" s="32"/>
      <c r="G75" s="31"/>
      <c r="H75" s="33">
        <f>H66</f>
        <v>0</v>
      </c>
      <c r="I75" s="34"/>
      <c r="J75" s="416"/>
      <c r="K75" s="409"/>
      <c r="L75" s="419">
        <f>L66</f>
        <v>19817.5</v>
      </c>
      <c r="M75" s="410" t="str">
        <f t="shared" ref="M75" si="15">IF(J75="","",IF(SUM(H75)=0,"",L75/H75))</f>
        <v/>
      </c>
    </row>
    <row r="76" spans="2:13" x14ac:dyDescent="0.25">
      <c r="B76" s="46"/>
      <c r="C76" s="14"/>
      <c r="D76" s="15"/>
      <c r="E76" s="15"/>
      <c r="F76" s="15"/>
      <c r="G76" s="64"/>
      <c r="H76" s="17" t="str">
        <f t="shared" ref="H76:H77" si="16">IF(D76="","",F76*G76)</f>
        <v/>
      </c>
      <c r="I76" s="18"/>
      <c r="J76" s="61"/>
      <c r="K76" s="399"/>
      <c r="L76" s="420" t="str">
        <f t="shared" ref="L76:L77" si="17">IF(J76="","",F76*K76)</f>
        <v/>
      </c>
      <c r="M76" s="401" t="str">
        <f t="shared" ref="M76:M77" si="18">IF(J76="","",IF(SUM(H76)=0,"",L76/H76))</f>
        <v/>
      </c>
    </row>
    <row r="77" spans="2:13" x14ac:dyDescent="0.25">
      <c r="B77" s="46"/>
      <c r="C77" s="14"/>
      <c r="D77" s="15"/>
      <c r="E77" s="15"/>
      <c r="F77" s="15"/>
      <c r="G77" s="64"/>
      <c r="H77" s="17" t="str">
        <f t="shared" si="16"/>
        <v/>
      </c>
      <c r="I77" s="18"/>
      <c r="J77" s="61"/>
      <c r="K77" s="399"/>
      <c r="L77" s="420" t="str">
        <f t="shared" si="17"/>
        <v/>
      </c>
      <c r="M77" s="401" t="str">
        <f t="shared" si="18"/>
        <v/>
      </c>
    </row>
    <row r="78" spans="2:13" x14ac:dyDescent="0.25">
      <c r="B78" s="46"/>
      <c r="C78" s="14"/>
      <c r="D78" s="15"/>
      <c r="E78" s="15"/>
      <c r="F78" s="15"/>
      <c r="G78" s="64"/>
      <c r="H78" s="17" t="str">
        <f t="shared" ref="H78" si="19">IF(D78="","",F78*G78)</f>
        <v/>
      </c>
      <c r="I78" s="18"/>
      <c r="J78" s="61"/>
      <c r="K78" s="399"/>
      <c r="L78" s="420" t="str">
        <f t="shared" ref="L78" si="20">IF(J78="","",F78*K78)</f>
        <v/>
      </c>
      <c r="M78" s="401" t="str">
        <f t="shared" ref="M78" si="21">IF(J78="","",IF(SUM(H78)=0,"",L78/H78))</f>
        <v/>
      </c>
    </row>
    <row r="79" spans="2:13" x14ac:dyDescent="0.25">
      <c r="B79" s="46"/>
      <c r="C79" s="14"/>
      <c r="D79" s="15"/>
      <c r="E79" s="15"/>
      <c r="F79" s="15"/>
      <c r="G79" s="64"/>
      <c r="H79" s="17" t="str">
        <f t="shared" ref="H79:H130" si="22">IF(D79="","",F79*G79)</f>
        <v/>
      </c>
      <c r="I79" s="18"/>
      <c r="J79" s="61"/>
      <c r="K79" s="399"/>
      <c r="L79" s="420" t="str">
        <f t="shared" ref="L79:L130" si="23">IF(J79="","",F79*K79)</f>
        <v/>
      </c>
      <c r="M79" s="401" t="str">
        <f t="shared" ref="M79:M130" si="24">IF(J79="","",IF(SUM(H79)=0,"",L79/H79))</f>
        <v/>
      </c>
    </row>
    <row r="80" spans="2:13" x14ac:dyDescent="0.25">
      <c r="B80" s="46"/>
      <c r="C80" s="14"/>
      <c r="D80" s="15"/>
      <c r="E80" s="15"/>
      <c r="F80" s="15"/>
      <c r="G80" s="64"/>
      <c r="H80" s="17" t="str">
        <f t="shared" si="22"/>
        <v/>
      </c>
      <c r="I80" s="18"/>
      <c r="J80" s="61"/>
      <c r="K80" s="400"/>
      <c r="L80" s="420" t="str">
        <f t="shared" si="23"/>
        <v/>
      </c>
      <c r="M80" s="401" t="str">
        <f t="shared" si="24"/>
        <v/>
      </c>
    </row>
    <row r="81" spans="2:13" x14ac:dyDescent="0.25">
      <c r="B81" s="46"/>
      <c r="C81" s="14"/>
      <c r="D81" s="15"/>
      <c r="E81" s="15"/>
      <c r="F81" s="15"/>
      <c r="G81" s="64"/>
      <c r="H81" s="17" t="str">
        <f t="shared" si="22"/>
        <v/>
      </c>
      <c r="I81" s="18"/>
      <c r="J81" s="61"/>
      <c r="K81" s="399"/>
      <c r="L81" s="420" t="str">
        <f t="shared" si="23"/>
        <v/>
      </c>
      <c r="M81" s="401" t="str">
        <f t="shared" si="24"/>
        <v/>
      </c>
    </row>
    <row r="82" spans="2:13" x14ac:dyDescent="0.25">
      <c r="B82" s="46"/>
      <c r="C82" s="14"/>
      <c r="D82" s="15"/>
      <c r="E82" s="15"/>
      <c r="F82" s="15"/>
      <c r="G82" s="64"/>
      <c r="H82" s="17" t="str">
        <f t="shared" si="22"/>
        <v/>
      </c>
      <c r="I82" s="18"/>
      <c r="J82" s="61"/>
      <c r="K82" s="399"/>
      <c r="L82" s="420" t="str">
        <f t="shared" si="23"/>
        <v/>
      </c>
      <c r="M82" s="401" t="str">
        <f t="shared" si="24"/>
        <v/>
      </c>
    </row>
    <row r="83" spans="2:13" x14ac:dyDescent="0.25">
      <c r="B83" s="46"/>
      <c r="C83" s="14"/>
      <c r="D83" s="15"/>
      <c r="E83" s="15"/>
      <c r="F83" s="15"/>
      <c r="G83" s="64"/>
      <c r="H83" s="17" t="str">
        <f t="shared" si="22"/>
        <v/>
      </c>
      <c r="I83" s="18"/>
      <c r="J83" s="61"/>
      <c r="K83" s="399"/>
      <c r="L83" s="420" t="str">
        <f t="shared" si="23"/>
        <v/>
      </c>
      <c r="M83" s="401" t="str">
        <f t="shared" si="24"/>
        <v/>
      </c>
    </row>
    <row r="84" spans="2:13" x14ac:dyDescent="0.25">
      <c r="B84" s="46"/>
      <c r="C84" s="14"/>
      <c r="D84" s="15"/>
      <c r="E84" s="15"/>
      <c r="F84" s="15"/>
      <c r="G84" s="64"/>
      <c r="H84" s="17" t="str">
        <f t="shared" si="22"/>
        <v/>
      </c>
      <c r="I84" s="18"/>
      <c r="J84" s="61"/>
      <c r="K84" s="402"/>
      <c r="L84" s="420" t="str">
        <f t="shared" si="23"/>
        <v/>
      </c>
      <c r="M84" s="401" t="str">
        <f t="shared" si="24"/>
        <v/>
      </c>
    </row>
    <row r="85" spans="2:13" x14ac:dyDescent="0.25">
      <c r="B85" s="46"/>
      <c r="C85" s="14"/>
      <c r="D85" s="15"/>
      <c r="E85" s="15"/>
      <c r="F85" s="15"/>
      <c r="G85" s="64"/>
      <c r="H85" s="17" t="str">
        <f t="shared" si="22"/>
        <v/>
      </c>
      <c r="I85" s="18"/>
      <c r="J85" s="61"/>
      <c r="K85" s="399"/>
      <c r="L85" s="420" t="str">
        <f t="shared" si="23"/>
        <v/>
      </c>
      <c r="M85" s="401" t="str">
        <f t="shared" si="24"/>
        <v/>
      </c>
    </row>
    <row r="86" spans="2:13" x14ac:dyDescent="0.25">
      <c r="B86" s="46"/>
      <c r="C86" s="14"/>
      <c r="D86" s="15"/>
      <c r="E86" s="15"/>
      <c r="F86" s="15"/>
      <c r="G86" s="64"/>
      <c r="H86" s="17" t="str">
        <f t="shared" si="22"/>
        <v/>
      </c>
      <c r="I86" s="18"/>
      <c r="J86" s="61"/>
      <c r="K86" s="402"/>
      <c r="L86" s="420" t="str">
        <f t="shared" si="23"/>
        <v/>
      </c>
      <c r="M86" s="401" t="str">
        <f t="shared" si="24"/>
        <v/>
      </c>
    </row>
    <row r="87" spans="2:13" x14ac:dyDescent="0.25">
      <c r="B87" s="46"/>
      <c r="C87" s="14"/>
      <c r="D87" s="15"/>
      <c r="E87" s="15"/>
      <c r="F87" s="15"/>
      <c r="G87" s="64"/>
      <c r="H87" s="17" t="str">
        <f t="shared" si="22"/>
        <v/>
      </c>
      <c r="I87" s="18"/>
      <c r="J87" s="61"/>
      <c r="K87" s="399"/>
      <c r="L87" s="420" t="str">
        <f t="shared" si="23"/>
        <v/>
      </c>
      <c r="M87" s="401" t="str">
        <f t="shared" si="24"/>
        <v/>
      </c>
    </row>
    <row r="88" spans="2:13" x14ac:dyDescent="0.25">
      <c r="B88" s="46"/>
      <c r="C88" s="14"/>
      <c r="D88" s="15"/>
      <c r="E88" s="15"/>
      <c r="F88" s="15"/>
      <c r="G88" s="64"/>
      <c r="H88" s="17" t="str">
        <f t="shared" si="22"/>
        <v/>
      </c>
      <c r="I88" s="18"/>
      <c r="J88" s="61"/>
      <c r="K88" s="402"/>
      <c r="L88" s="420" t="str">
        <f t="shared" si="23"/>
        <v/>
      </c>
      <c r="M88" s="401" t="str">
        <f t="shared" si="24"/>
        <v/>
      </c>
    </row>
    <row r="89" spans="2:13" x14ac:dyDescent="0.25">
      <c r="B89" s="46"/>
      <c r="C89" s="14"/>
      <c r="D89" s="15"/>
      <c r="E89" s="15"/>
      <c r="F89" s="15"/>
      <c r="G89" s="64"/>
      <c r="H89" s="17" t="str">
        <f t="shared" si="22"/>
        <v/>
      </c>
      <c r="I89" s="18"/>
      <c r="J89" s="61"/>
      <c r="K89" s="402"/>
      <c r="L89" s="420" t="str">
        <f t="shared" si="23"/>
        <v/>
      </c>
      <c r="M89" s="401" t="str">
        <f t="shared" si="24"/>
        <v/>
      </c>
    </row>
    <row r="90" spans="2:13" x14ac:dyDescent="0.25">
      <c r="B90" s="46"/>
      <c r="C90" s="14"/>
      <c r="D90" s="15"/>
      <c r="E90" s="15"/>
      <c r="F90" s="15"/>
      <c r="G90" s="64"/>
      <c r="H90" s="17" t="str">
        <f t="shared" si="22"/>
        <v/>
      </c>
      <c r="I90" s="18"/>
      <c r="J90" s="61"/>
      <c r="K90" s="399"/>
      <c r="L90" s="420" t="str">
        <f t="shared" si="23"/>
        <v/>
      </c>
      <c r="M90" s="401" t="str">
        <f t="shared" si="24"/>
        <v/>
      </c>
    </row>
    <row r="91" spans="2:13" x14ac:dyDescent="0.25">
      <c r="B91" s="46"/>
      <c r="C91" s="14"/>
      <c r="D91" s="15"/>
      <c r="E91" s="15"/>
      <c r="F91" s="15"/>
      <c r="G91" s="64"/>
      <c r="H91" s="17" t="str">
        <f t="shared" si="22"/>
        <v/>
      </c>
      <c r="I91" s="18"/>
      <c r="J91" s="61"/>
      <c r="K91" s="399"/>
      <c r="L91" s="420" t="str">
        <f t="shared" si="23"/>
        <v/>
      </c>
      <c r="M91" s="401" t="str">
        <f t="shared" si="24"/>
        <v/>
      </c>
    </row>
    <row r="92" spans="2:13" x14ac:dyDescent="0.25">
      <c r="B92" s="46"/>
      <c r="C92" s="14"/>
      <c r="D92" s="15"/>
      <c r="E92" s="15"/>
      <c r="F92" s="15"/>
      <c r="G92" s="64"/>
      <c r="H92" s="17" t="str">
        <f t="shared" si="22"/>
        <v/>
      </c>
      <c r="I92" s="18"/>
      <c r="J92" s="61"/>
      <c r="K92" s="400"/>
      <c r="L92" s="420" t="str">
        <f t="shared" si="23"/>
        <v/>
      </c>
      <c r="M92" s="401" t="str">
        <f t="shared" si="24"/>
        <v/>
      </c>
    </row>
    <row r="93" spans="2:13" x14ac:dyDescent="0.25">
      <c r="B93" s="46"/>
      <c r="C93" s="14"/>
      <c r="D93" s="15"/>
      <c r="E93" s="15"/>
      <c r="F93" s="15"/>
      <c r="G93" s="64"/>
      <c r="H93" s="17" t="str">
        <f t="shared" si="22"/>
        <v/>
      </c>
      <c r="I93" s="18"/>
      <c r="J93" s="61"/>
      <c r="K93" s="399"/>
      <c r="L93" s="420" t="str">
        <f t="shared" si="23"/>
        <v/>
      </c>
      <c r="M93" s="401" t="str">
        <f t="shared" si="24"/>
        <v/>
      </c>
    </row>
    <row r="94" spans="2:13" x14ac:dyDescent="0.25">
      <c r="B94" s="46"/>
      <c r="C94" s="14"/>
      <c r="D94" s="15"/>
      <c r="E94" s="15"/>
      <c r="F94" s="15"/>
      <c r="G94" s="64"/>
      <c r="H94" s="17" t="str">
        <f t="shared" si="22"/>
        <v/>
      </c>
      <c r="I94" s="18"/>
      <c r="J94" s="61"/>
      <c r="K94" s="399"/>
      <c r="L94" s="420" t="str">
        <f t="shared" si="23"/>
        <v/>
      </c>
      <c r="M94" s="401" t="str">
        <f t="shared" si="24"/>
        <v/>
      </c>
    </row>
    <row r="95" spans="2:13" x14ac:dyDescent="0.25">
      <c r="B95" s="46"/>
      <c r="C95" s="14"/>
      <c r="D95" s="15"/>
      <c r="E95" s="15"/>
      <c r="F95" s="15"/>
      <c r="G95" s="64"/>
      <c r="H95" s="17" t="str">
        <f t="shared" si="22"/>
        <v/>
      </c>
      <c r="I95" s="18"/>
      <c r="J95" s="61"/>
      <c r="K95" s="399"/>
      <c r="L95" s="420" t="str">
        <f t="shared" si="23"/>
        <v/>
      </c>
      <c r="M95" s="401" t="str">
        <f t="shared" si="24"/>
        <v/>
      </c>
    </row>
    <row r="96" spans="2:13" x14ac:dyDescent="0.25">
      <c r="B96" s="46"/>
      <c r="C96" s="14"/>
      <c r="D96" s="15"/>
      <c r="E96" s="15"/>
      <c r="F96" s="15"/>
      <c r="G96" s="64"/>
      <c r="H96" s="17" t="str">
        <f t="shared" si="22"/>
        <v/>
      </c>
      <c r="I96" s="18"/>
      <c r="J96" s="61"/>
      <c r="K96" s="399"/>
      <c r="L96" s="420" t="str">
        <f t="shared" si="23"/>
        <v/>
      </c>
      <c r="M96" s="401" t="str">
        <f t="shared" si="24"/>
        <v/>
      </c>
    </row>
    <row r="97" spans="2:13" x14ac:dyDescent="0.25">
      <c r="B97" s="46"/>
      <c r="C97" s="14"/>
      <c r="D97" s="15"/>
      <c r="E97" s="15"/>
      <c r="F97" s="15"/>
      <c r="G97" s="64"/>
      <c r="H97" s="17" t="str">
        <f t="shared" si="22"/>
        <v/>
      </c>
      <c r="I97" s="18"/>
      <c r="J97" s="61"/>
      <c r="K97" s="399"/>
      <c r="L97" s="420" t="str">
        <f t="shared" si="23"/>
        <v/>
      </c>
      <c r="M97" s="401" t="str">
        <f t="shared" si="24"/>
        <v/>
      </c>
    </row>
    <row r="98" spans="2:13" x14ac:dyDescent="0.25">
      <c r="B98" s="46"/>
      <c r="C98" s="14"/>
      <c r="D98" s="15"/>
      <c r="E98" s="15"/>
      <c r="F98" s="15"/>
      <c r="G98" s="64"/>
      <c r="H98" s="17" t="str">
        <f t="shared" si="22"/>
        <v/>
      </c>
      <c r="I98" s="18"/>
      <c r="J98" s="61"/>
      <c r="K98" s="400"/>
      <c r="L98" s="420" t="str">
        <f t="shared" si="23"/>
        <v/>
      </c>
      <c r="M98" s="401" t="str">
        <f t="shared" si="24"/>
        <v/>
      </c>
    </row>
    <row r="99" spans="2:13" x14ac:dyDescent="0.25">
      <c r="B99" s="46"/>
      <c r="C99" s="14"/>
      <c r="D99" s="15"/>
      <c r="E99" s="15"/>
      <c r="F99" s="15"/>
      <c r="G99" s="64"/>
      <c r="H99" s="17" t="str">
        <f t="shared" si="22"/>
        <v/>
      </c>
      <c r="I99" s="18"/>
      <c r="J99" s="61"/>
      <c r="K99" s="399"/>
      <c r="L99" s="420" t="str">
        <f t="shared" si="23"/>
        <v/>
      </c>
      <c r="M99" s="401" t="str">
        <f t="shared" si="24"/>
        <v/>
      </c>
    </row>
    <row r="100" spans="2:13" x14ac:dyDescent="0.25">
      <c r="B100" s="46"/>
      <c r="C100" s="14"/>
      <c r="D100" s="15"/>
      <c r="E100" s="15"/>
      <c r="F100" s="15"/>
      <c r="G100" s="64"/>
      <c r="H100" s="17" t="str">
        <f t="shared" si="22"/>
        <v/>
      </c>
      <c r="I100" s="18"/>
      <c r="J100" s="61"/>
      <c r="K100" s="399"/>
      <c r="L100" s="420" t="str">
        <f t="shared" si="23"/>
        <v/>
      </c>
      <c r="M100" s="401" t="str">
        <f t="shared" si="24"/>
        <v/>
      </c>
    </row>
    <row r="101" spans="2:13" x14ac:dyDescent="0.25">
      <c r="B101" s="46"/>
      <c r="C101" s="14"/>
      <c r="D101" s="15"/>
      <c r="E101" s="15"/>
      <c r="F101" s="15"/>
      <c r="G101" s="64"/>
      <c r="H101" s="17" t="str">
        <f t="shared" si="22"/>
        <v/>
      </c>
      <c r="I101" s="18"/>
      <c r="J101" s="61"/>
      <c r="K101" s="399"/>
      <c r="L101" s="420" t="str">
        <f t="shared" si="23"/>
        <v/>
      </c>
      <c r="M101" s="401" t="str">
        <f t="shared" si="24"/>
        <v/>
      </c>
    </row>
    <row r="102" spans="2:13" x14ac:dyDescent="0.25">
      <c r="B102" s="46"/>
      <c r="C102" s="14"/>
      <c r="D102" s="15"/>
      <c r="E102" s="15"/>
      <c r="F102" s="15"/>
      <c r="G102" s="64"/>
      <c r="H102" s="17" t="str">
        <f t="shared" si="22"/>
        <v/>
      </c>
      <c r="I102" s="18"/>
      <c r="J102" s="61"/>
      <c r="K102" s="399"/>
      <c r="L102" s="420" t="str">
        <f t="shared" si="23"/>
        <v/>
      </c>
      <c r="M102" s="401" t="str">
        <f t="shared" si="24"/>
        <v/>
      </c>
    </row>
    <row r="103" spans="2:13" x14ac:dyDescent="0.25">
      <c r="B103" s="46"/>
      <c r="C103" s="14"/>
      <c r="D103" s="15"/>
      <c r="E103" s="15"/>
      <c r="F103" s="15"/>
      <c r="G103" s="64"/>
      <c r="H103" s="17" t="str">
        <f t="shared" si="22"/>
        <v/>
      </c>
      <c r="I103" s="18"/>
      <c r="J103" s="61"/>
      <c r="K103" s="577"/>
      <c r="L103" s="420" t="str">
        <f t="shared" si="23"/>
        <v/>
      </c>
      <c r="M103" s="401" t="str">
        <f t="shared" si="24"/>
        <v/>
      </c>
    </row>
    <row r="104" spans="2:13" x14ac:dyDescent="0.25">
      <c r="B104" s="46"/>
      <c r="C104" s="14"/>
      <c r="D104" s="15"/>
      <c r="E104" s="15"/>
      <c r="F104" s="15"/>
      <c r="G104" s="64"/>
      <c r="H104" s="17" t="str">
        <f t="shared" si="22"/>
        <v/>
      </c>
      <c r="I104" s="18"/>
      <c r="J104" s="61"/>
      <c r="K104" s="399"/>
      <c r="L104" s="420" t="str">
        <f t="shared" si="23"/>
        <v/>
      </c>
      <c r="M104" s="401" t="str">
        <f t="shared" si="24"/>
        <v/>
      </c>
    </row>
    <row r="105" spans="2:13" x14ac:dyDescent="0.25">
      <c r="B105" s="46"/>
      <c r="C105" s="14"/>
      <c r="D105" s="15"/>
      <c r="E105" s="15"/>
      <c r="F105" s="15"/>
      <c r="G105" s="64"/>
      <c r="H105" s="17" t="str">
        <f t="shared" si="22"/>
        <v/>
      </c>
      <c r="I105" s="18"/>
      <c r="J105" s="61"/>
      <c r="K105" s="577"/>
      <c r="L105" s="420" t="str">
        <f t="shared" si="23"/>
        <v/>
      </c>
      <c r="M105" s="401" t="str">
        <f t="shared" si="24"/>
        <v/>
      </c>
    </row>
    <row r="106" spans="2:13" x14ac:dyDescent="0.25">
      <c r="B106" s="46"/>
      <c r="C106" s="14"/>
      <c r="D106" s="15"/>
      <c r="E106" s="15"/>
      <c r="F106" s="15"/>
      <c r="G106" s="64"/>
      <c r="H106" s="17" t="str">
        <f t="shared" si="22"/>
        <v/>
      </c>
      <c r="I106" s="18"/>
      <c r="J106" s="61"/>
      <c r="K106" s="399"/>
      <c r="L106" s="420" t="str">
        <f t="shared" si="23"/>
        <v/>
      </c>
      <c r="M106" s="401" t="str">
        <f t="shared" si="24"/>
        <v/>
      </c>
    </row>
    <row r="107" spans="2:13" x14ac:dyDescent="0.25">
      <c r="B107" s="46"/>
      <c r="C107" s="14"/>
      <c r="D107" s="15"/>
      <c r="E107" s="15"/>
      <c r="F107" s="15"/>
      <c r="G107" s="64"/>
      <c r="H107" s="17" t="str">
        <f t="shared" si="22"/>
        <v/>
      </c>
      <c r="I107" s="18"/>
      <c r="J107" s="61"/>
      <c r="K107" s="399"/>
      <c r="L107" s="420" t="str">
        <f t="shared" si="23"/>
        <v/>
      </c>
      <c r="M107" s="401" t="str">
        <f t="shared" si="24"/>
        <v/>
      </c>
    </row>
    <row r="108" spans="2:13" x14ac:dyDescent="0.25">
      <c r="B108" s="46"/>
      <c r="C108" s="14"/>
      <c r="D108" s="15"/>
      <c r="E108" s="15"/>
      <c r="F108" s="15"/>
      <c r="G108" s="64"/>
      <c r="H108" s="17" t="str">
        <f t="shared" si="22"/>
        <v/>
      </c>
      <c r="I108" s="18"/>
      <c r="J108" s="61"/>
      <c r="K108" s="399"/>
      <c r="L108" s="420" t="str">
        <f t="shared" si="23"/>
        <v/>
      </c>
      <c r="M108" s="401" t="str">
        <f t="shared" si="24"/>
        <v/>
      </c>
    </row>
    <row r="109" spans="2:13" x14ac:dyDescent="0.25">
      <c r="B109" s="46"/>
      <c r="C109" s="14"/>
      <c r="D109" s="15"/>
      <c r="E109" s="15"/>
      <c r="F109" s="15"/>
      <c r="G109" s="64"/>
      <c r="H109" s="17" t="str">
        <f t="shared" si="22"/>
        <v/>
      </c>
      <c r="I109" s="18"/>
      <c r="J109" s="61"/>
      <c r="K109" s="399"/>
      <c r="L109" s="420" t="str">
        <f t="shared" si="23"/>
        <v/>
      </c>
      <c r="M109" s="401" t="str">
        <f t="shared" si="24"/>
        <v/>
      </c>
    </row>
    <row r="110" spans="2:13" x14ac:dyDescent="0.25">
      <c r="B110" s="46"/>
      <c r="C110" s="14"/>
      <c r="D110" s="15"/>
      <c r="E110" s="15"/>
      <c r="F110" s="15"/>
      <c r="G110" s="64"/>
      <c r="H110" s="17" t="str">
        <f t="shared" si="22"/>
        <v/>
      </c>
      <c r="I110" s="18"/>
      <c r="J110" s="61"/>
      <c r="K110" s="402"/>
      <c r="L110" s="420" t="str">
        <f t="shared" si="23"/>
        <v/>
      </c>
      <c r="M110" s="401" t="str">
        <f t="shared" si="24"/>
        <v/>
      </c>
    </row>
    <row r="111" spans="2:13" x14ac:dyDescent="0.25">
      <c r="B111" s="46"/>
      <c r="C111" s="14"/>
      <c r="D111" s="15"/>
      <c r="E111" s="15"/>
      <c r="F111" s="15"/>
      <c r="G111" s="64"/>
      <c r="H111" s="17" t="str">
        <f t="shared" si="22"/>
        <v/>
      </c>
      <c r="I111" s="18"/>
      <c r="J111" s="61"/>
      <c r="K111" s="399"/>
      <c r="L111" s="420" t="str">
        <f t="shared" si="23"/>
        <v/>
      </c>
      <c r="M111" s="401" t="str">
        <f t="shared" si="24"/>
        <v/>
      </c>
    </row>
    <row r="112" spans="2:13" x14ac:dyDescent="0.25">
      <c r="B112" s="46"/>
      <c r="C112" s="14"/>
      <c r="D112" s="15"/>
      <c r="E112" s="15"/>
      <c r="F112" s="15"/>
      <c r="G112" s="64"/>
      <c r="H112" s="17" t="str">
        <f t="shared" si="22"/>
        <v/>
      </c>
      <c r="I112" s="18"/>
      <c r="J112" s="61"/>
      <c r="K112" s="402"/>
      <c r="L112" s="420" t="str">
        <f t="shared" si="23"/>
        <v/>
      </c>
      <c r="M112" s="401" t="str">
        <f t="shared" si="24"/>
        <v/>
      </c>
    </row>
    <row r="113" spans="2:13" x14ac:dyDescent="0.25">
      <c r="B113" s="46"/>
      <c r="C113" s="14"/>
      <c r="D113" s="15"/>
      <c r="E113" s="15"/>
      <c r="F113" s="15"/>
      <c r="G113" s="64"/>
      <c r="H113" s="17" t="str">
        <f t="shared" si="22"/>
        <v/>
      </c>
      <c r="I113" s="18"/>
      <c r="J113" s="62"/>
      <c r="K113" s="62"/>
      <c r="L113" s="420" t="str">
        <f t="shared" si="23"/>
        <v/>
      </c>
      <c r="M113" s="401" t="str">
        <f t="shared" si="24"/>
        <v/>
      </c>
    </row>
    <row r="114" spans="2:13" x14ac:dyDescent="0.25">
      <c r="B114" s="46"/>
      <c r="C114" s="14"/>
      <c r="D114" s="15"/>
      <c r="E114" s="15"/>
      <c r="F114" s="15"/>
      <c r="G114" s="64"/>
      <c r="H114" s="17" t="str">
        <f t="shared" si="22"/>
        <v/>
      </c>
      <c r="I114" s="18"/>
      <c r="J114" s="62"/>
      <c r="K114" s="62"/>
      <c r="L114" s="420" t="str">
        <f t="shared" si="23"/>
        <v/>
      </c>
      <c r="M114" s="401" t="str">
        <f t="shared" si="24"/>
        <v/>
      </c>
    </row>
    <row r="115" spans="2:13" x14ac:dyDescent="0.25">
      <c r="B115" s="46"/>
      <c r="C115" s="14"/>
      <c r="D115" s="15"/>
      <c r="E115" s="15"/>
      <c r="F115" s="15"/>
      <c r="G115" s="64"/>
      <c r="H115" s="17" t="str">
        <f t="shared" si="22"/>
        <v/>
      </c>
      <c r="I115" s="18"/>
      <c r="J115" s="62"/>
      <c r="K115" s="62"/>
      <c r="L115" s="420" t="str">
        <f t="shared" si="23"/>
        <v/>
      </c>
      <c r="M115" s="401" t="str">
        <f t="shared" si="24"/>
        <v/>
      </c>
    </row>
    <row r="116" spans="2:13" ht="12" customHeight="1" x14ac:dyDescent="0.25">
      <c r="B116" s="46"/>
      <c r="C116" s="14"/>
      <c r="D116" s="15"/>
      <c r="E116" s="15"/>
      <c r="F116" s="15"/>
      <c r="G116" s="64"/>
      <c r="H116" s="17" t="str">
        <f t="shared" si="22"/>
        <v/>
      </c>
      <c r="I116" s="18"/>
      <c r="J116" s="62"/>
      <c r="K116" s="62"/>
      <c r="L116" s="420" t="str">
        <f t="shared" si="23"/>
        <v/>
      </c>
      <c r="M116" s="401" t="str">
        <f t="shared" si="24"/>
        <v/>
      </c>
    </row>
    <row r="117" spans="2:13" x14ac:dyDescent="0.25">
      <c r="B117" s="46"/>
      <c r="C117" s="14"/>
      <c r="D117" s="15"/>
      <c r="E117" s="15"/>
      <c r="F117" s="15"/>
      <c r="G117" s="64"/>
      <c r="H117" s="17" t="str">
        <f t="shared" si="22"/>
        <v/>
      </c>
      <c r="I117" s="18"/>
      <c r="J117" s="62"/>
      <c r="K117" s="62"/>
      <c r="L117" s="420" t="str">
        <f t="shared" si="23"/>
        <v/>
      </c>
      <c r="M117" s="401" t="str">
        <f t="shared" si="24"/>
        <v/>
      </c>
    </row>
    <row r="118" spans="2:13" ht="12" customHeight="1" x14ac:dyDescent="0.25">
      <c r="B118" s="46"/>
      <c r="C118" s="14"/>
      <c r="D118" s="15"/>
      <c r="E118" s="15"/>
      <c r="F118" s="15"/>
      <c r="G118" s="64"/>
      <c r="H118" s="17" t="str">
        <f t="shared" si="22"/>
        <v/>
      </c>
      <c r="I118" s="18"/>
      <c r="J118" s="62"/>
      <c r="K118" s="62"/>
      <c r="L118" s="420" t="str">
        <f t="shared" si="23"/>
        <v/>
      </c>
      <c r="M118" s="401" t="str">
        <f t="shared" si="24"/>
        <v/>
      </c>
    </row>
    <row r="119" spans="2:13" x14ac:dyDescent="0.25">
      <c r="B119" s="46"/>
      <c r="C119" s="14"/>
      <c r="D119" s="15"/>
      <c r="E119" s="15"/>
      <c r="F119" s="15"/>
      <c r="G119" s="64"/>
      <c r="H119" s="17" t="str">
        <f t="shared" si="22"/>
        <v/>
      </c>
      <c r="I119" s="18"/>
      <c r="J119" s="62"/>
      <c r="K119" s="62"/>
      <c r="L119" s="420" t="str">
        <f t="shared" si="23"/>
        <v/>
      </c>
      <c r="M119" s="401" t="str">
        <f t="shared" si="24"/>
        <v/>
      </c>
    </row>
    <row r="120" spans="2:13" ht="12" customHeight="1" x14ac:dyDescent="0.25">
      <c r="B120" s="46"/>
      <c r="C120" s="14"/>
      <c r="D120" s="15"/>
      <c r="E120" s="15"/>
      <c r="F120" s="15"/>
      <c r="G120" s="64"/>
      <c r="H120" s="17" t="str">
        <f t="shared" si="22"/>
        <v/>
      </c>
      <c r="I120" s="18"/>
      <c r="J120" s="62"/>
      <c r="K120" s="62"/>
      <c r="L120" s="420" t="str">
        <f t="shared" si="23"/>
        <v/>
      </c>
      <c r="M120" s="401" t="str">
        <f t="shared" si="24"/>
        <v/>
      </c>
    </row>
    <row r="121" spans="2:13" x14ac:dyDescent="0.25">
      <c r="B121" s="46"/>
      <c r="C121" s="14"/>
      <c r="D121" s="15"/>
      <c r="E121" s="15"/>
      <c r="F121" s="15"/>
      <c r="G121" s="64"/>
      <c r="H121" s="17" t="str">
        <f t="shared" si="22"/>
        <v/>
      </c>
      <c r="I121" s="18"/>
      <c r="J121" s="62"/>
      <c r="K121" s="62"/>
      <c r="L121" s="420" t="str">
        <f t="shared" si="23"/>
        <v/>
      </c>
      <c r="M121" s="401" t="str">
        <f t="shared" si="24"/>
        <v/>
      </c>
    </row>
    <row r="122" spans="2:13" ht="12" customHeight="1" x14ac:dyDescent="0.25">
      <c r="B122" s="46"/>
      <c r="C122" s="14"/>
      <c r="D122" s="15"/>
      <c r="E122" s="15"/>
      <c r="F122" s="15"/>
      <c r="G122" s="64"/>
      <c r="H122" s="17" t="str">
        <f t="shared" si="22"/>
        <v/>
      </c>
      <c r="I122" s="18"/>
      <c r="J122" s="62"/>
      <c r="K122" s="62"/>
      <c r="L122" s="420" t="str">
        <f t="shared" si="23"/>
        <v/>
      </c>
      <c r="M122" s="401" t="str">
        <f t="shared" si="24"/>
        <v/>
      </c>
    </row>
    <row r="123" spans="2:13" x14ac:dyDescent="0.25">
      <c r="B123" s="46"/>
      <c r="C123" s="14"/>
      <c r="D123" s="15"/>
      <c r="E123" s="15"/>
      <c r="F123" s="15"/>
      <c r="G123" s="64"/>
      <c r="H123" s="17" t="str">
        <f t="shared" si="22"/>
        <v/>
      </c>
      <c r="I123" s="18"/>
      <c r="J123" s="62"/>
      <c r="K123" s="62"/>
      <c r="L123" s="420" t="str">
        <f t="shared" si="23"/>
        <v/>
      </c>
      <c r="M123" s="401" t="str">
        <f t="shared" si="24"/>
        <v/>
      </c>
    </row>
    <row r="124" spans="2:13" ht="12" customHeight="1" x14ac:dyDescent="0.25">
      <c r="B124" s="46"/>
      <c r="C124" s="14"/>
      <c r="D124" s="15"/>
      <c r="E124" s="15"/>
      <c r="F124" s="15"/>
      <c r="G124" s="64"/>
      <c r="H124" s="17" t="str">
        <f t="shared" si="22"/>
        <v/>
      </c>
      <c r="I124" s="18"/>
      <c r="J124" s="62"/>
      <c r="K124" s="62"/>
      <c r="L124" s="420" t="str">
        <f t="shared" si="23"/>
        <v/>
      </c>
      <c r="M124" s="401" t="str">
        <f t="shared" si="24"/>
        <v/>
      </c>
    </row>
    <row r="125" spans="2:13" x14ac:dyDescent="0.25">
      <c r="B125" s="46"/>
      <c r="C125" s="14"/>
      <c r="D125" s="15"/>
      <c r="E125" s="15"/>
      <c r="F125" s="15"/>
      <c r="G125" s="64"/>
      <c r="H125" s="17" t="str">
        <f t="shared" si="22"/>
        <v/>
      </c>
      <c r="I125" s="18"/>
      <c r="J125" s="61"/>
      <c r="K125" s="62"/>
      <c r="L125" s="420" t="str">
        <f t="shared" si="23"/>
        <v/>
      </c>
      <c r="M125" s="401" t="str">
        <f t="shared" si="24"/>
        <v/>
      </c>
    </row>
    <row r="126" spans="2:13" ht="12" customHeight="1" x14ac:dyDescent="0.25">
      <c r="B126" s="46"/>
      <c r="C126" s="14"/>
      <c r="D126" s="15"/>
      <c r="E126" s="15"/>
      <c r="F126" s="15"/>
      <c r="G126" s="64"/>
      <c r="H126" s="17" t="str">
        <f t="shared" si="22"/>
        <v/>
      </c>
      <c r="I126" s="18"/>
      <c r="J126" s="62"/>
      <c r="K126" s="62"/>
      <c r="L126" s="420" t="str">
        <f t="shared" si="23"/>
        <v/>
      </c>
      <c r="M126" s="401" t="str">
        <f t="shared" si="24"/>
        <v/>
      </c>
    </row>
    <row r="127" spans="2:13" x14ac:dyDescent="0.25">
      <c r="B127" s="46"/>
      <c r="C127" s="14"/>
      <c r="D127" s="15"/>
      <c r="E127" s="15"/>
      <c r="F127" s="15"/>
      <c r="G127" s="64"/>
      <c r="H127" s="17" t="str">
        <f t="shared" si="22"/>
        <v/>
      </c>
      <c r="I127" s="18"/>
      <c r="J127" s="62"/>
      <c r="K127" s="62"/>
      <c r="L127" s="420" t="str">
        <f t="shared" si="23"/>
        <v/>
      </c>
      <c r="M127" s="401" t="str">
        <f t="shared" si="24"/>
        <v/>
      </c>
    </row>
    <row r="128" spans="2:13" ht="12" customHeight="1" x14ac:dyDescent="0.25">
      <c r="B128" s="46"/>
      <c r="C128" s="14"/>
      <c r="D128" s="15"/>
      <c r="E128" s="15"/>
      <c r="F128" s="15"/>
      <c r="G128" s="64"/>
      <c r="H128" s="17" t="str">
        <f t="shared" si="22"/>
        <v/>
      </c>
      <c r="I128" s="18"/>
      <c r="J128" s="61"/>
      <c r="K128" s="62"/>
      <c r="L128" s="420" t="str">
        <f t="shared" si="23"/>
        <v/>
      </c>
      <c r="M128" s="401" t="str">
        <f t="shared" si="24"/>
        <v/>
      </c>
    </row>
    <row r="129" spans="2:13" x14ac:dyDescent="0.25">
      <c r="B129" s="46"/>
      <c r="C129" s="14"/>
      <c r="D129" s="15"/>
      <c r="E129" s="15"/>
      <c r="F129" s="15"/>
      <c r="G129" s="64"/>
      <c r="H129" s="17" t="str">
        <f t="shared" si="22"/>
        <v/>
      </c>
      <c r="I129" s="18"/>
      <c r="J129" s="61"/>
      <c r="K129" s="695"/>
      <c r="L129" s="420" t="str">
        <f t="shared" si="23"/>
        <v/>
      </c>
      <c r="M129" s="401" t="str">
        <f t="shared" si="24"/>
        <v/>
      </c>
    </row>
    <row r="130" spans="2:13" ht="12" customHeight="1" x14ac:dyDescent="0.25">
      <c r="B130" s="46"/>
      <c r="C130" s="14"/>
      <c r="D130" s="15"/>
      <c r="E130" s="15"/>
      <c r="F130" s="15"/>
      <c r="G130" s="64"/>
      <c r="H130" s="17" t="str">
        <f t="shared" si="22"/>
        <v/>
      </c>
      <c r="I130" s="18"/>
      <c r="J130" s="61"/>
      <c r="K130" s="696"/>
      <c r="L130" s="420" t="str">
        <f t="shared" si="23"/>
        <v/>
      </c>
      <c r="M130" s="401" t="str">
        <f t="shared" si="24"/>
        <v/>
      </c>
    </row>
    <row r="131" spans="2:13" s="28" customFormat="1" ht="19.5" customHeight="1" x14ac:dyDescent="0.25">
      <c r="B131" s="135" t="str">
        <f>$B$12</f>
        <v>C13.1</v>
      </c>
      <c r="C131" s="30" t="s">
        <v>12</v>
      </c>
      <c r="D131" s="31"/>
      <c r="E131" s="31"/>
      <c r="F131" s="32"/>
      <c r="G131" s="31"/>
      <c r="H131" s="33">
        <f>SUM(H75:H130)</f>
        <v>0</v>
      </c>
      <c r="I131" s="34"/>
      <c r="J131" s="408"/>
      <c r="K131" s="406"/>
      <c r="L131" s="418">
        <f>SUM(L75:L130)</f>
        <v>19817.5</v>
      </c>
      <c r="M131" s="407" t="str">
        <f t="shared" ref="M131" si="25">IF(J131="","",IF(SUM(H131)=0,"",L131/H131))</f>
        <v/>
      </c>
    </row>
    <row r="132" spans="2:13" ht="13" x14ac:dyDescent="0.25">
      <c r="B132" s="1108" t="str">
        <f>Client1</f>
        <v>Province of KwaZulu-Natal</v>
      </c>
      <c r="C132" s="1108"/>
      <c r="D132" s="1108"/>
      <c r="E132" s="87"/>
      <c r="F132" s="1109" t="str">
        <f>"Contract No. "&amp;ContractNo</f>
        <v>Contract No. ZNB 00399/00000/HOD/INF/21/T</v>
      </c>
      <c r="G132" s="1109"/>
      <c r="H132" s="1109"/>
    </row>
    <row r="133" spans="2:13" ht="13" x14ac:dyDescent="0.25">
      <c r="B133" s="1108" t="str">
        <f>Client2</f>
        <v>Department of Transport</v>
      </c>
      <c r="C133" s="1108"/>
      <c r="D133" s="1108"/>
      <c r="E133" s="87"/>
      <c r="F133" s="1109"/>
      <c r="G133" s="1109"/>
      <c r="H133" s="1109"/>
    </row>
    <row r="134" spans="2:13" x14ac:dyDescent="0.25">
      <c r="B134" s="1111"/>
      <c r="C134" s="1111"/>
      <c r="D134" s="1111"/>
      <c r="E134" s="78"/>
      <c r="F134" s="1110"/>
      <c r="G134" s="1110"/>
      <c r="H134" s="1110"/>
    </row>
    <row r="135" spans="2:13" ht="13" x14ac:dyDescent="0.25">
      <c r="B135" s="1112" t="s">
        <v>1773</v>
      </c>
      <c r="C135" s="1113"/>
      <c r="D135" s="1113"/>
      <c r="E135" s="1113"/>
      <c r="F135" s="1113"/>
      <c r="G135" s="1113"/>
      <c r="H135" s="1125" t="str">
        <f>$H$6</f>
        <v>CHAPTER C13.1</v>
      </c>
      <c r="I135" s="6"/>
    </row>
    <row r="136" spans="2:13" ht="40.5" customHeight="1" x14ac:dyDescent="0.25">
      <c r="B136" s="1117" t="str">
        <f>ContractDescription</f>
        <v>THE CONSTRUCTION OF EARTHWORKS, LAYERWORKS, SURFACING, CULVERTS AND CWAKA RIVER BRIDGE FROM KM 11.600 TO KM 14.000 ON MAIN ROAD P494 IN THE KING CETSHWAYO DISTRICT UNDER EMPANGENI REGION</v>
      </c>
      <c r="C136" s="1148"/>
      <c r="D136" s="1148"/>
      <c r="E136" s="1148"/>
      <c r="F136" s="1148"/>
      <c r="G136" s="1148"/>
      <c r="H136" s="1126"/>
      <c r="I136" s="8"/>
    </row>
    <row r="137" spans="2:13" ht="24" customHeight="1" x14ac:dyDescent="0.25">
      <c r="B137" s="1149" t="s">
        <v>1772</v>
      </c>
      <c r="C137" s="1150"/>
      <c r="D137" s="1150"/>
      <c r="E137" s="1150"/>
      <c r="F137" s="1150"/>
      <c r="G137" s="1150"/>
      <c r="H137" s="1126"/>
      <c r="I137" s="8"/>
    </row>
    <row r="138" spans="2:13" ht="13" x14ac:dyDescent="0.25">
      <c r="B138" s="611"/>
      <c r="C138" s="612"/>
      <c r="D138" s="612"/>
      <c r="E138" s="612"/>
      <c r="F138" s="612"/>
      <c r="G138" s="612"/>
      <c r="H138" s="1127"/>
      <c r="I138" s="8"/>
    </row>
    <row r="139" spans="2:13" s="9" customFormat="1" ht="25" customHeight="1" x14ac:dyDescent="0.25">
      <c r="B139" s="74" t="s">
        <v>0</v>
      </c>
      <c r="C139" s="11" t="s">
        <v>1</v>
      </c>
      <c r="D139" s="11" t="s">
        <v>2</v>
      </c>
      <c r="E139" s="11"/>
      <c r="F139" s="11" t="s">
        <v>3</v>
      </c>
      <c r="G139" s="11" t="s">
        <v>4</v>
      </c>
      <c r="H139" s="11" t="s">
        <v>5</v>
      </c>
      <c r="I139" s="12"/>
      <c r="J139" s="408" t="s">
        <v>996</v>
      </c>
      <c r="K139" s="253" t="s">
        <v>997</v>
      </c>
      <c r="L139" s="253" t="s">
        <v>998</v>
      </c>
      <c r="M139" s="253" t="s">
        <v>999</v>
      </c>
    </row>
    <row r="140" spans="2:13" s="28" customFormat="1" ht="19.5" customHeight="1" x14ac:dyDescent="0.25">
      <c r="B140" s="80"/>
      <c r="C140" s="30" t="s">
        <v>27</v>
      </c>
      <c r="D140" s="31"/>
      <c r="E140" s="31"/>
      <c r="F140" s="32"/>
      <c r="G140" s="31"/>
      <c r="H140" s="33">
        <f>H131</f>
        <v>0</v>
      </c>
      <c r="I140" s="34"/>
      <c r="J140" s="416"/>
      <c r="K140" s="409"/>
      <c r="L140" s="419">
        <f>L131</f>
        <v>19817.5</v>
      </c>
      <c r="M140" s="410" t="str">
        <f t="shared" ref="M140" si="26">IF(J140="","",IF(SUM(H140)=0,"",L140/H140))</f>
        <v/>
      </c>
    </row>
    <row r="141" spans="2:13" ht="11.9" customHeight="1" x14ac:dyDescent="0.25">
      <c r="B141" s="46"/>
      <c r="C141" s="14"/>
      <c r="D141" s="15"/>
      <c r="E141" s="15"/>
      <c r="F141" s="15"/>
      <c r="G141" s="64"/>
      <c r="H141" s="17" t="str">
        <f t="shared" ref="H141:H142" si="27">IF(D141="","",F141*G141)</f>
        <v/>
      </c>
      <c r="I141" s="18"/>
      <c r="J141" s="61"/>
      <c r="K141" s="399"/>
      <c r="L141" s="420" t="str">
        <f t="shared" ref="L141:L142" si="28">IF(J141="","",F141*K141)</f>
        <v/>
      </c>
      <c r="M141" s="401" t="str">
        <f t="shared" ref="M141:M142" si="29">IF(J141="","",IF(SUM(H141)=0,"",L141/H141))</f>
        <v/>
      </c>
    </row>
    <row r="142" spans="2:13" x14ac:dyDescent="0.25">
      <c r="B142" s="46"/>
      <c r="C142" s="14"/>
      <c r="D142" s="15"/>
      <c r="E142" s="15"/>
      <c r="F142" s="15"/>
      <c r="G142" s="64"/>
      <c r="H142" s="17" t="str">
        <f t="shared" si="27"/>
        <v/>
      </c>
      <c r="I142" s="18"/>
      <c r="J142" s="61"/>
      <c r="K142" s="399"/>
      <c r="L142" s="420" t="str">
        <f t="shared" si="28"/>
        <v/>
      </c>
      <c r="M142" s="401" t="str">
        <f t="shared" si="29"/>
        <v/>
      </c>
    </row>
    <row r="143" spans="2:13" ht="11.9" customHeight="1" x14ac:dyDescent="0.25">
      <c r="B143" s="46"/>
      <c r="C143" s="14"/>
      <c r="D143" s="15"/>
      <c r="E143" s="15"/>
      <c r="F143" s="15"/>
      <c r="G143" s="64"/>
      <c r="H143" s="17" t="str">
        <f t="shared" ref="H143" si="30">IF(D143="","",F143*G143)</f>
        <v/>
      </c>
      <c r="I143" s="18"/>
      <c r="J143" s="61"/>
      <c r="K143" s="399"/>
      <c r="L143" s="420" t="str">
        <f t="shared" ref="L143" si="31">IF(J143="","",F143*K143)</f>
        <v/>
      </c>
      <c r="M143" s="401" t="str">
        <f t="shared" ref="M143:M200" si="32">IF(J143="","",IF(SUM(H143)=0,"",L143/H143))</f>
        <v/>
      </c>
    </row>
    <row r="144" spans="2:13" x14ac:dyDescent="0.25">
      <c r="B144" s="46"/>
      <c r="C144" s="14"/>
      <c r="D144" s="15"/>
      <c r="E144" s="15"/>
      <c r="F144" s="15"/>
      <c r="G144" s="64"/>
      <c r="H144" s="17" t="str">
        <f t="shared" ref="H144:H199" si="33">IF(D144="","",F144*G144)</f>
        <v/>
      </c>
      <c r="I144" s="18"/>
      <c r="J144" s="61"/>
      <c r="K144" s="399"/>
      <c r="L144" s="420" t="str">
        <f t="shared" ref="L144:L199" si="34">IF(J144="","",F144*K144)</f>
        <v/>
      </c>
      <c r="M144" s="401" t="str">
        <f t="shared" ref="M144:M199" si="35">IF(J144="","",IF(SUM(H144)=0,"",L144/H144))</f>
        <v/>
      </c>
    </row>
    <row r="145" spans="2:13" ht="11.9" customHeight="1" x14ac:dyDescent="0.25">
      <c r="B145" s="46"/>
      <c r="C145" s="14"/>
      <c r="D145" s="15"/>
      <c r="E145" s="15"/>
      <c r="F145" s="15"/>
      <c r="G145" s="64"/>
      <c r="H145" s="17" t="str">
        <f t="shared" si="33"/>
        <v/>
      </c>
      <c r="I145" s="18"/>
      <c r="J145" s="61"/>
      <c r="K145" s="400"/>
      <c r="L145" s="420" t="str">
        <f t="shared" si="34"/>
        <v/>
      </c>
      <c r="M145" s="401" t="str">
        <f t="shared" si="35"/>
        <v/>
      </c>
    </row>
    <row r="146" spans="2:13" x14ac:dyDescent="0.25">
      <c r="B146" s="46"/>
      <c r="C146" s="14"/>
      <c r="D146" s="15"/>
      <c r="E146" s="15"/>
      <c r="F146" s="15"/>
      <c r="G146" s="64"/>
      <c r="H146" s="17" t="str">
        <f t="shared" si="33"/>
        <v/>
      </c>
      <c r="I146" s="18"/>
      <c r="J146" s="61"/>
      <c r="K146" s="399"/>
      <c r="L146" s="420" t="str">
        <f t="shared" si="34"/>
        <v/>
      </c>
      <c r="M146" s="401" t="str">
        <f t="shared" si="35"/>
        <v/>
      </c>
    </row>
    <row r="147" spans="2:13" ht="11.9" customHeight="1" x14ac:dyDescent="0.25">
      <c r="B147" s="46"/>
      <c r="C147" s="14"/>
      <c r="D147" s="15"/>
      <c r="E147" s="15"/>
      <c r="F147" s="15"/>
      <c r="G147" s="64"/>
      <c r="H147" s="17" t="str">
        <f t="shared" si="33"/>
        <v/>
      </c>
      <c r="I147" s="18"/>
      <c r="J147" s="61"/>
      <c r="K147" s="399"/>
      <c r="L147" s="420" t="str">
        <f t="shared" si="34"/>
        <v/>
      </c>
      <c r="M147" s="401" t="str">
        <f t="shared" si="35"/>
        <v/>
      </c>
    </row>
    <row r="148" spans="2:13" x14ac:dyDescent="0.25">
      <c r="B148" s="46"/>
      <c r="C148" s="14"/>
      <c r="D148" s="15"/>
      <c r="E148" s="15"/>
      <c r="F148" s="15"/>
      <c r="G148" s="64"/>
      <c r="H148" s="17" t="str">
        <f t="shared" si="33"/>
        <v/>
      </c>
      <c r="I148" s="18"/>
      <c r="J148" s="61"/>
      <c r="K148" s="399"/>
      <c r="L148" s="420" t="str">
        <f t="shared" si="34"/>
        <v/>
      </c>
      <c r="M148" s="401" t="str">
        <f t="shared" si="35"/>
        <v/>
      </c>
    </row>
    <row r="149" spans="2:13" ht="11.9" customHeight="1" x14ac:dyDescent="0.25">
      <c r="B149" s="46"/>
      <c r="C149" s="14"/>
      <c r="D149" s="15"/>
      <c r="E149" s="15"/>
      <c r="F149" s="15"/>
      <c r="G149" s="64"/>
      <c r="H149" s="17" t="str">
        <f t="shared" si="33"/>
        <v/>
      </c>
      <c r="I149" s="18"/>
      <c r="J149" s="61"/>
      <c r="K149" s="402"/>
      <c r="L149" s="420" t="str">
        <f t="shared" si="34"/>
        <v/>
      </c>
      <c r="M149" s="401" t="str">
        <f t="shared" si="35"/>
        <v/>
      </c>
    </row>
    <row r="150" spans="2:13" x14ac:dyDescent="0.25">
      <c r="B150" s="46"/>
      <c r="C150" s="14"/>
      <c r="D150" s="15"/>
      <c r="E150" s="15"/>
      <c r="F150" s="15"/>
      <c r="G150" s="64"/>
      <c r="H150" s="17" t="str">
        <f t="shared" si="33"/>
        <v/>
      </c>
      <c r="I150" s="18"/>
      <c r="J150" s="61"/>
      <c r="K150" s="402"/>
      <c r="L150" s="420" t="str">
        <f t="shared" si="34"/>
        <v/>
      </c>
      <c r="M150" s="401" t="str">
        <f t="shared" si="35"/>
        <v/>
      </c>
    </row>
    <row r="151" spans="2:13" ht="11.9" customHeight="1" x14ac:dyDescent="0.25">
      <c r="B151" s="46"/>
      <c r="C151" s="14"/>
      <c r="D151" s="15"/>
      <c r="E151" s="15"/>
      <c r="F151" s="15"/>
      <c r="G151" s="64"/>
      <c r="H151" s="17" t="str">
        <f t="shared" si="33"/>
        <v/>
      </c>
      <c r="I151" s="18"/>
      <c r="J151" s="61"/>
      <c r="K151" s="402"/>
      <c r="L151" s="420" t="str">
        <f t="shared" si="34"/>
        <v/>
      </c>
      <c r="M151" s="401" t="str">
        <f t="shared" si="35"/>
        <v/>
      </c>
    </row>
    <row r="152" spans="2:13" x14ac:dyDescent="0.25">
      <c r="B152" s="46"/>
      <c r="C152" s="14"/>
      <c r="D152" s="15"/>
      <c r="E152" s="15"/>
      <c r="F152" s="15"/>
      <c r="G152" s="64"/>
      <c r="H152" s="17" t="str">
        <f t="shared" si="33"/>
        <v/>
      </c>
      <c r="I152" s="18"/>
      <c r="J152" s="61"/>
      <c r="K152" s="402"/>
      <c r="L152" s="420" t="str">
        <f t="shared" si="34"/>
        <v/>
      </c>
      <c r="M152" s="401" t="str">
        <f t="shared" si="35"/>
        <v/>
      </c>
    </row>
    <row r="153" spans="2:13" ht="11.9" customHeight="1" x14ac:dyDescent="0.25">
      <c r="B153" s="46"/>
      <c r="C153" s="14"/>
      <c r="D153" s="15"/>
      <c r="E153" s="15"/>
      <c r="F153" s="15"/>
      <c r="G153" s="64"/>
      <c r="H153" s="17" t="str">
        <f t="shared" si="33"/>
        <v/>
      </c>
      <c r="I153" s="18"/>
      <c r="J153" s="61"/>
      <c r="K153" s="402"/>
      <c r="L153" s="420" t="str">
        <f t="shared" si="34"/>
        <v/>
      </c>
      <c r="M153" s="401" t="str">
        <f t="shared" si="35"/>
        <v/>
      </c>
    </row>
    <row r="154" spans="2:13" x14ac:dyDescent="0.25">
      <c r="B154" s="46"/>
      <c r="C154" s="14"/>
      <c r="D154" s="15"/>
      <c r="E154" s="15"/>
      <c r="F154" s="15"/>
      <c r="G154" s="64"/>
      <c r="H154" s="17" t="str">
        <f t="shared" si="33"/>
        <v/>
      </c>
      <c r="I154" s="18"/>
      <c r="J154" s="61"/>
      <c r="K154" s="402"/>
      <c r="L154" s="420" t="str">
        <f t="shared" si="34"/>
        <v/>
      </c>
      <c r="M154" s="401" t="str">
        <f t="shared" si="35"/>
        <v/>
      </c>
    </row>
    <row r="155" spans="2:13" ht="11.9" customHeight="1" x14ac:dyDescent="0.25">
      <c r="B155" s="46"/>
      <c r="C155" s="14"/>
      <c r="D155" s="15"/>
      <c r="E155" s="15"/>
      <c r="F155" s="15"/>
      <c r="G155" s="64"/>
      <c r="H155" s="17" t="str">
        <f t="shared" si="33"/>
        <v/>
      </c>
      <c r="I155" s="18"/>
      <c r="J155" s="61"/>
      <c r="K155" s="399"/>
      <c r="L155" s="420" t="str">
        <f t="shared" si="34"/>
        <v/>
      </c>
      <c r="M155" s="401" t="str">
        <f t="shared" si="35"/>
        <v/>
      </c>
    </row>
    <row r="156" spans="2:13" x14ac:dyDescent="0.25">
      <c r="B156" s="46"/>
      <c r="C156" s="14"/>
      <c r="D156" s="15"/>
      <c r="E156" s="15"/>
      <c r="F156" s="15"/>
      <c r="G156" s="64"/>
      <c r="H156" s="17" t="str">
        <f t="shared" si="33"/>
        <v/>
      </c>
      <c r="I156" s="18"/>
      <c r="J156" s="61"/>
      <c r="K156" s="399"/>
      <c r="L156" s="420" t="str">
        <f t="shared" si="34"/>
        <v/>
      </c>
      <c r="M156" s="401" t="str">
        <f t="shared" si="35"/>
        <v/>
      </c>
    </row>
    <row r="157" spans="2:13" ht="11.9" customHeight="1" x14ac:dyDescent="0.25">
      <c r="B157" s="46"/>
      <c r="C157" s="14"/>
      <c r="D157" s="15"/>
      <c r="E157" s="15"/>
      <c r="F157" s="15"/>
      <c r="G157" s="64"/>
      <c r="H157" s="17" t="str">
        <f t="shared" si="33"/>
        <v/>
      </c>
      <c r="I157" s="18"/>
      <c r="J157" s="61"/>
      <c r="K157" s="400"/>
      <c r="L157" s="420" t="str">
        <f t="shared" si="34"/>
        <v/>
      </c>
      <c r="M157" s="401" t="str">
        <f t="shared" si="35"/>
        <v/>
      </c>
    </row>
    <row r="158" spans="2:13" x14ac:dyDescent="0.25">
      <c r="B158" s="46"/>
      <c r="C158" s="14"/>
      <c r="D158" s="15"/>
      <c r="E158" s="15"/>
      <c r="F158" s="15"/>
      <c r="G158" s="64"/>
      <c r="H158" s="17" t="str">
        <f t="shared" si="33"/>
        <v/>
      </c>
      <c r="I158" s="18"/>
      <c r="J158" s="61"/>
      <c r="K158" s="399"/>
      <c r="L158" s="420" t="str">
        <f t="shared" si="34"/>
        <v/>
      </c>
      <c r="M158" s="401" t="str">
        <f t="shared" si="35"/>
        <v/>
      </c>
    </row>
    <row r="159" spans="2:13" ht="11.9" customHeight="1" x14ac:dyDescent="0.25">
      <c r="B159" s="46"/>
      <c r="C159" s="14"/>
      <c r="D159" s="15"/>
      <c r="E159" s="15"/>
      <c r="F159" s="15"/>
      <c r="G159" s="64"/>
      <c r="H159" s="17" t="str">
        <f t="shared" si="33"/>
        <v/>
      </c>
      <c r="I159" s="18"/>
      <c r="J159" s="61"/>
      <c r="K159" s="399"/>
      <c r="L159" s="420" t="str">
        <f t="shared" si="34"/>
        <v/>
      </c>
      <c r="M159" s="401" t="str">
        <f t="shared" si="35"/>
        <v/>
      </c>
    </row>
    <row r="160" spans="2:13" x14ac:dyDescent="0.25">
      <c r="B160" s="46"/>
      <c r="C160" s="14"/>
      <c r="D160" s="15"/>
      <c r="E160" s="15"/>
      <c r="F160" s="15"/>
      <c r="G160" s="64"/>
      <c r="H160" s="17" t="str">
        <f t="shared" si="33"/>
        <v/>
      </c>
      <c r="I160" s="18"/>
      <c r="J160" s="61"/>
      <c r="K160" s="399"/>
      <c r="L160" s="420" t="str">
        <f t="shared" si="34"/>
        <v/>
      </c>
      <c r="M160" s="401" t="str">
        <f t="shared" si="35"/>
        <v/>
      </c>
    </row>
    <row r="161" spans="2:13" ht="11.9" customHeight="1" x14ac:dyDescent="0.25">
      <c r="B161" s="46"/>
      <c r="C161" s="14"/>
      <c r="D161" s="15"/>
      <c r="E161" s="15"/>
      <c r="F161" s="15"/>
      <c r="G161" s="64"/>
      <c r="H161" s="17" t="str">
        <f t="shared" si="33"/>
        <v/>
      </c>
      <c r="I161" s="18"/>
      <c r="J161" s="61"/>
      <c r="K161" s="399"/>
      <c r="L161" s="420" t="str">
        <f t="shared" si="34"/>
        <v/>
      </c>
      <c r="M161" s="401" t="str">
        <f t="shared" si="35"/>
        <v/>
      </c>
    </row>
    <row r="162" spans="2:13" x14ac:dyDescent="0.25">
      <c r="B162" s="46"/>
      <c r="C162" s="14"/>
      <c r="D162" s="15"/>
      <c r="E162" s="15"/>
      <c r="F162" s="15"/>
      <c r="G162" s="64"/>
      <c r="H162" s="17" t="str">
        <f t="shared" si="33"/>
        <v/>
      </c>
      <c r="I162" s="18"/>
      <c r="J162" s="61"/>
      <c r="K162" s="399"/>
      <c r="L162" s="420" t="str">
        <f t="shared" si="34"/>
        <v/>
      </c>
      <c r="M162" s="401" t="str">
        <f t="shared" si="35"/>
        <v/>
      </c>
    </row>
    <row r="163" spans="2:13" ht="11.9" customHeight="1" x14ac:dyDescent="0.25">
      <c r="B163" s="46"/>
      <c r="C163" s="14"/>
      <c r="D163" s="15"/>
      <c r="E163" s="15"/>
      <c r="F163" s="15"/>
      <c r="G163" s="64"/>
      <c r="H163" s="17" t="str">
        <f t="shared" si="33"/>
        <v/>
      </c>
      <c r="I163" s="18"/>
      <c r="J163" s="61"/>
      <c r="K163" s="400"/>
      <c r="L163" s="420" t="str">
        <f t="shared" si="34"/>
        <v/>
      </c>
      <c r="M163" s="401" t="str">
        <f t="shared" si="35"/>
        <v/>
      </c>
    </row>
    <row r="164" spans="2:13" x14ac:dyDescent="0.25">
      <c r="B164" s="46"/>
      <c r="C164" s="14"/>
      <c r="D164" s="15"/>
      <c r="E164" s="15"/>
      <c r="F164" s="15"/>
      <c r="G164" s="64"/>
      <c r="H164" s="17" t="str">
        <f t="shared" si="33"/>
        <v/>
      </c>
      <c r="I164" s="18"/>
      <c r="J164" s="61"/>
      <c r="K164" s="399"/>
      <c r="L164" s="420" t="str">
        <f t="shared" si="34"/>
        <v/>
      </c>
      <c r="M164" s="401" t="str">
        <f t="shared" si="35"/>
        <v/>
      </c>
    </row>
    <row r="165" spans="2:13" ht="11.9" customHeight="1" x14ac:dyDescent="0.25">
      <c r="B165" s="46"/>
      <c r="C165" s="14"/>
      <c r="D165" s="15"/>
      <c r="E165" s="15"/>
      <c r="F165" s="15"/>
      <c r="G165" s="64"/>
      <c r="H165" s="17" t="str">
        <f t="shared" si="33"/>
        <v/>
      </c>
      <c r="I165" s="18"/>
      <c r="J165" s="61"/>
      <c r="K165" s="399"/>
      <c r="L165" s="420" t="str">
        <f t="shared" si="34"/>
        <v/>
      </c>
      <c r="M165" s="401" t="str">
        <f t="shared" si="35"/>
        <v/>
      </c>
    </row>
    <row r="166" spans="2:13" x14ac:dyDescent="0.25">
      <c r="B166" s="46"/>
      <c r="C166" s="14"/>
      <c r="D166" s="15"/>
      <c r="E166" s="15"/>
      <c r="F166" s="15"/>
      <c r="G166" s="64"/>
      <c r="H166" s="17" t="str">
        <f t="shared" si="33"/>
        <v/>
      </c>
      <c r="I166" s="18"/>
      <c r="J166" s="61"/>
      <c r="K166" s="399"/>
      <c r="L166" s="420" t="str">
        <f t="shared" si="34"/>
        <v/>
      </c>
      <c r="M166" s="401" t="str">
        <f t="shared" si="35"/>
        <v/>
      </c>
    </row>
    <row r="167" spans="2:13" ht="11.9" customHeight="1" x14ac:dyDescent="0.25">
      <c r="B167" s="46"/>
      <c r="C167" s="14"/>
      <c r="D167" s="15"/>
      <c r="E167" s="15"/>
      <c r="F167" s="15"/>
      <c r="G167" s="64"/>
      <c r="H167" s="17" t="str">
        <f t="shared" si="33"/>
        <v/>
      </c>
      <c r="I167" s="18"/>
      <c r="J167" s="61"/>
      <c r="K167" s="399"/>
      <c r="L167" s="420" t="str">
        <f t="shared" si="34"/>
        <v/>
      </c>
      <c r="M167" s="401" t="str">
        <f t="shared" si="35"/>
        <v/>
      </c>
    </row>
    <row r="168" spans="2:13" x14ac:dyDescent="0.25">
      <c r="B168" s="46"/>
      <c r="C168" s="14"/>
      <c r="D168" s="15"/>
      <c r="E168" s="15"/>
      <c r="F168" s="15"/>
      <c r="G168" s="64"/>
      <c r="H168" s="17" t="str">
        <f t="shared" si="33"/>
        <v/>
      </c>
      <c r="I168" s="18"/>
      <c r="J168" s="61"/>
      <c r="K168" s="399"/>
      <c r="L168" s="420" t="str">
        <f t="shared" si="34"/>
        <v/>
      </c>
      <c r="M168" s="401" t="str">
        <f t="shared" si="35"/>
        <v/>
      </c>
    </row>
    <row r="169" spans="2:13" ht="11.9" customHeight="1" x14ac:dyDescent="0.25">
      <c r="B169" s="46"/>
      <c r="C169" s="14"/>
      <c r="D169" s="15"/>
      <c r="E169" s="15"/>
      <c r="F169" s="15"/>
      <c r="G169" s="64"/>
      <c r="H169" s="17" t="str">
        <f t="shared" si="33"/>
        <v/>
      </c>
      <c r="I169" s="18"/>
      <c r="J169" s="61"/>
      <c r="K169" s="399"/>
      <c r="L169" s="420" t="str">
        <f t="shared" si="34"/>
        <v/>
      </c>
      <c r="M169" s="401" t="str">
        <f t="shared" si="35"/>
        <v/>
      </c>
    </row>
    <row r="170" spans="2:13" x14ac:dyDescent="0.25">
      <c r="B170" s="46"/>
      <c r="C170" s="14"/>
      <c r="D170" s="15"/>
      <c r="E170" s="15"/>
      <c r="F170" s="15"/>
      <c r="G170" s="64"/>
      <c r="H170" s="17" t="str">
        <f t="shared" si="33"/>
        <v/>
      </c>
      <c r="I170" s="18"/>
      <c r="J170" s="61"/>
      <c r="K170" s="399"/>
      <c r="L170" s="420" t="str">
        <f t="shared" si="34"/>
        <v/>
      </c>
      <c r="M170" s="401" t="str">
        <f t="shared" si="35"/>
        <v/>
      </c>
    </row>
    <row r="171" spans="2:13" ht="11.9" customHeight="1" x14ac:dyDescent="0.25">
      <c r="B171" s="46"/>
      <c r="C171" s="14"/>
      <c r="D171" s="15"/>
      <c r="E171" s="15"/>
      <c r="F171" s="15"/>
      <c r="G171" s="64"/>
      <c r="H171" s="17" t="str">
        <f t="shared" si="33"/>
        <v/>
      </c>
      <c r="I171" s="18"/>
      <c r="J171" s="61"/>
      <c r="K171" s="399"/>
      <c r="L171" s="420" t="str">
        <f t="shared" si="34"/>
        <v/>
      </c>
      <c r="M171" s="401" t="str">
        <f t="shared" si="35"/>
        <v/>
      </c>
    </row>
    <row r="172" spans="2:13" x14ac:dyDescent="0.25">
      <c r="B172" s="46"/>
      <c r="C172" s="14"/>
      <c r="D172" s="15"/>
      <c r="E172" s="15"/>
      <c r="F172" s="15"/>
      <c r="G172" s="64"/>
      <c r="H172" s="17" t="str">
        <f t="shared" si="33"/>
        <v/>
      </c>
      <c r="I172" s="18"/>
      <c r="J172" s="61"/>
      <c r="K172" s="399"/>
      <c r="L172" s="420" t="str">
        <f t="shared" si="34"/>
        <v/>
      </c>
      <c r="M172" s="401" t="str">
        <f t="shared" si="35"/>
        <v/>
      </c>
    </row>
    <row r="173" spans="2:13" ht="11.9" customHeight="1" x14ac:dyDescent="0.25">
      <c r="B173" s="46"/>
      <c r="C173" s="14"/>
      <c r="D173" s="15"/>
      <c r="E173" s="15"/>
      <c r="F173" s="15"/>
      <c r="G173" s="64"/>
      <c r="H173" s="17" t="str">
        <f t="shared" si="33"/>
        <v/>
      </c>
      <c r="I173" s="18"/>
      <c r="J173" s="61"/>
      <c r="K173" s="399"/>
      <c r="L173" s="420" t="str">
        <f t="shared" si="34"/>
        <v/>
      </c>
      <c r="M173" s="401" t="str">
        <f t="shared" si="35"/>
        <v/>
      </c>
    </row>
    <row r="174" spans="2:13" ht="13.5" customHeight="1" x14ac:dyDescent="0.25">
      <c r="B174" s="46"/>
      <c r="C174" s="14"/>
      <c r="D174" s="15"/>
      <c r="E174" s="15"/>
      <c r="F174" s="15"/>
      <c r="G174" s="64"/>
      <c r="H174" s="17" t="str">
        <f t="shared" si="33"/>
        <v/>
      </c>
      <c r="I174" s="18"/>
      <c r="J174" s="61"/>
      <c r="K174" s="399"/>
      <c r="L174" s="420" t="str">
        <f t="shared" si="34"/>
        <v/>
      </c>
      <c r="M174" s="401" t="str">
        <f t="shared" si="35"/>
        <v/>
      </c>
    </row>
    <row r="175" spans="2:13" ht="11.9" customHeight="1" x14ac:dyDescent="0.25">
      <c r="B175" s="46"/>
      <c r="C175" s="14"/>
      <c r="D175" s="15"/>
      <c r="E175" s="15"/>
      <c r="F175" s="15"/>
      <c r="G175" s="64"/>
      <c r="H175" s="17" t="str">
        <f t="shared" si="33"/>
        <v/>
      </c>
      <c r="I175" s="18"/>
      <c r="J175" s="61"/>
      <c r="K175" s="402"/>
      <c r="L175" s="420" t="str">
        <f t="shared" si="34"/>
        <v/>
      </c>
      <c r="M175" s="401" t="str">
        <f t="shared" si="35"/>
        <v/>
      </c>
    </row>
    <row r="176" spans="2:13" x14ac:dyDescent="0.25">
      <c r="B176" s="46"/>
      <c r="C176" s="14"/>
      <c r="D176" s="15"/>
      <c r="E176" s="15"/>
      <c r="F176" s="15"/>
      <c r="G176" s="64"/>
      <c r="H176" s="17" t="str">
        <f t="shared" si="33"/>
        <v/>
      </c>
      <c r="I176" s="18"/>
      <c r="J176" s="61"/>
      <c r="K176" s="399"/>
      <c r="L176" s="420" t="str">
        <f t="shared" si="34"/>
        <v/>
      </c>
      <c r="M176" s="401" t="str">
        <f t="shared" si="35"/>
        <v/>
      </c>
    </row>
    <row r="177" spans="2:13" ht="11.9" customHeight="1" x14ac:dyDescent="0.25">
      <c r="B177" s="46"/>
      <c r="C177" s="14"/>
      <c r="D177" s="15"/>
      <c r="E177" s="15"/>
      <c r="F177" s="15"/>
      <c r="G177" s="64"/>
      <c r="H177" s="17" t="str">
        <f t="shared" si="33"/>
        <v/>
      </c>
      <c r="I177" s="18"/>
      <c r="J177" s="61"/>
      <c r="K177" s="402"/>
      <c r="L177" s="420" t="str">
        <f t="shared" si="34"/>
        <v/>
      </c>
      <c r="M177" s="401" t="str">
        <f t="shared" si="35"/>
        <v/>
      </c>
    </row>
    <row r="178" spans="2:13" x14ac:dyDescent="0.25">
      <c r="B178" s="46"/>
      <c r="C178" s="14"/>
      <c r="D178" s="15"/>
      <c r="E178" s="15"/>
      <c r="F178" s="15"/>
      <c r="G178" s="64"/>
      <c r="H178" s="17" t="str">
        <f t="shared" si="33"/>
        <v/>
      </c>
      <c r="I178" s="18"/>
      <c r="J178" s="62"/>
      <c r="K178" s="62"/>
      <c r="L178" s="420" t="str">
        <f t="shared" si="34"/>
        <v/>
      </c>
      <c r="M178" s="401" t="str">
        <f t="shared" si="35"/>
        <v/>
      </c>
    </row>
    <row r="179" spans="2:13" ht="11.9" customHeight="1" x14ac:dyDescent="0.25">
      <c r="B179" s="46"/>
      <c r="C179" s="14"/>
      <c r="D179" s="15"/>
      <c r="E179" s="15"/>
      <c r="F179" s="15"/>
      <c r="G179" s="64"/>
      <c r="H179" s="17" t="str">
        <f t="shared" si="33"/>
        <v/>
      </c>
      <c r="I179" s="18"/>
      <c r="J179" s="62"/>
      <c r="K179" s="62"/>
      <c r="L179" s="420" t="str">
        <f t="shared" si="34"/>
        <v/>
      </c>
      <c r="M179" s="401" t="str">
        <f t="shared" si="35"/>
        <v/>
      </c>
    </row>
    <row r="180" spans="2:13" x14ac:dyDescent="0.25">
      <c r="B180" s="46"/>
      <c r="C180" s="14"/>
      <c r="D180" s="15"/>
      <c r="E180" s="15"/>
      <c r="F180" s="15"/>
      <c r="G180" s="64"/>
      <c r="H180" s="17" t="str">
        <f t="shared" si="33"/>
        <v/>
      </c>
      <c r="I180" s="18"/>
      <c r="J180" s="62"/>
      <c r="K180" s="62"/>
      <c r="L180" s="420" t="str">
        <f t="shared" si="34"/>
        <v/>
      </c>
      <c r="M180" s="401" t="str">
        <f t="shared" si="35"/>
        <v/>
      </c>
    </row>
    <row r="181" spans="2:13" ht="11.9" customHeight="1" x14ac:dyDescent="0.25">
      <c r="B181" s="46"/>
      <c r="C181" s="14"/>
      <c r="D181" s="15"/>
      <c r="E181" s="15"/>
      <c r="F181" s="15"/>
      <c r="G181" s="64"/>
      <c r="H181" s="17" t="str">
        <f t="shared" si="33"/>
        <v/>
      </c>
      <c r="I181" s="18"/>
      <c r="J181" s="62"/>
      <c r="K181" s="62"/>
      <c r="L181" s="420" t="str">
        <f t="shared" si="34"/>
        <v/>
      </c>
      <c r="M181" s="401" t="str">
        <f t="shared" si="35"/>
        <v/>
      </c>
    </row>
    <row r="182" spans="2:13" x14ac:dyDescent="0.25">
      <c r="B182" s="46"/>
      <c r="C182" s="14"/>
      <c r="D182" s="15"/>
      <c r="E182" s="15"/>
      <c r="F182" s="15"/>
      <c r="G182" s="64"/>
      <c r="H182" s="17" t="str">
        <f t="shared" si="33"/>
        <v/>
      </c>
      <c r="I182" s="18"/>
      <c r="J182" s="62"/>
      <c r="K182" s="62"/>
      <c r="L182" s="420" t="str">
        <f t="shared" si="34"/>
        <v/>
      </c>
      <c r="M182" s="401" t="str">
        <f t="shared" si="35"/>
        <v/>
      </c>
    </row>
    <row r="183" spans="2:13" ht="11.9" customHeight="1" x14ac:dyDescent="0.25">
      <c r="B183" s="46"/>
      <c r="C183" s="14"/>
      <c r="D183" s="15"/>
      <c r="E183" s="15"/>
      <c r="F183" s="15"/>
      <c r="G183" s="64"/>
      <c r="H183" s="17" t="str">
        <f t="shared" si="33"/>
        <v/>
      </c>
      <c r="I183" s="18"/>
      <c r="J183" s="62"/>
      <c r="K183" s="62"/>
      <c r="L183" s="420" t="str">
        <f t="shared" si="34"/>
        <v/>
      </c>
      <c r="M183" s="401" t="str">
        <f t="shared" si="35"/>
        <v/>
      </c>
    </row>
    <row r="184" spans="2:13" x14ac:dyDescent="0.25">
      <c r="B184" s="46"/>
      <c r="C184" s="14"/>
      <c r="D184" s="15"/>
      <c r="E184" s="15"/>
      <c r="F184" s="15"/>
      <c r="G184" s="64"/>
      <c r="H184" s="17" t="str">
        <f t="shared" si="33"/>
        <v/>
      </c>
      <c r="I184" s="18"/>
      <c r="J184" s="62"/>
      <c r="K184" s="62"/>
      <c r="L184" s="420" t="str">
        <f t="shared" si="34"/>
        <v/>
      </c>
      <c r="M184" s="401" t="str">
        <f t="shared" si="35"/>
        <v/>
      </c>
    </row>
    <row r="185" spans="2:13" ht="11.9" customHeight="1" x14ac:dyDescent="0.25">
      <c r="B185" s="46"/>
      <c r="C185" s="14"/>
      <c r="D185" s="15"/>
      <c r="E185" s="15"/>
      <c r="F185" s="15"/>
      <c r="G185" s="64"/>
      <c r="H185" s="17" t="str">
        <f t="shared" si="33"/>
        <v/>
      </c>
      <c r="I185" s="18"/>
      <c r="J185" s="62"/>
      <c r="K185" s="62"/>
      <c r="L185" s="420" t="str">
        <f t="shared" si="34"/>
        <v/>
      </c>
      <c r="M185" s="401" t="str">
        <f t="shared" si="35"/>
        <v/>
      </c>
    </row>
    <row r="186" spans="2:13" x14ac:dyDescent="0.25">
      <c r="B186" s="46"/>
      <c r="C186" s="14"/>
      <c r="D186" s="15"/>
      <c r="E186" s="15"/>
      <c r="F186" s="15"/>
      <c r="G186" s="64"/>
      <c r="H186" s="17" t="str">
        <f t="shared" si="33"/>
        <v/>
      </c>
      <c r="I186" s="18"/>
      <c r="J186" s="62"/>
      <c r="K186" s="62"/>
      <c r="L186" s="420" t="str">
        <f t="shared" si="34"/>
        <v/>
      </c>
      <c r="M186" s="401" t="str">
        <f t="shared" si="35"/>
        <v/>
      </c>
    </row>
    <row r="187" spans="2:13" ht="11.9" customHeight="1" x14ac:dyDescent="0.25">
      <c r="B187" s="46"/>
      <c r="C187" s="14"/>
      <c r="D187" s="15"/>
      <c r="E187" s="15"/>
      <c r="F187" s="15"/>
      <c r="G187" s="64"/>
      <c r="H187" s="17" t="str">
        <f t="shared" si="33"/>
        <v/>
      </c>
      <c r="I187" s="18"/>
      <c r="J187" s="62"/>
      <c r="K187" s="62"/>
      <c r="L187" s="420" t="str">
        <f t="shared" si="34"/>
        <v/>
      </c>
      <c r="M187" s="401" t="str">
        <f t="shared" si="35"/>
        <v/>
      </c>
    </row>
    <row r="188" spans="2:13" x14ac:dyDescent="0.25">
      <c r="B188" s="46"/>
      <c r="C188" s="14"/>
      <c r="D188" s="15"/>
      <c r="E188" s="15"/>
      <c r="F188" s="15"/>
      <c r="G188" s="64"/>
      <c r="H188" s="17" t="str">
        <f t="shared" si="33"/>
        <v/>
      </c>
      <c r="I188" s="18"/>
      <c r="J188" s="62"/>
      <c r="K188" s="62"/>
      <c r="L188" s="420" t="str">
        <f t="shared" si="34"/>
        <v/>
      </c>
      <c r="M188" s="401" t="str">
        <f t="shared" si="35"/>
        <v/>
      </c>
    </row>
    <row r="189" spans="2:13" ht="11.9" customHeight="1" x14ac:dyDescent="0.25">
      <c r="B189" s="46"/>
      <c r="C189" s="14"/>
      <c r="D189" s="15"/>
      <c r="E189" s="15"/>
      <c r="F189" s="15"/>
      <c r="G189" s="64"/>
      <c r="H189" s="17" t="str">
        <f t="shared" si="33"/>
        <v/>
      </c>
      <c r="I189" s="18"/>
      <c r="J189" s="62"/>
      <c r="K189" s="62"/>
      <c r="L189" s="420" t="str">
        <f t="shared" si="34"/>
        <v/>
      </c>
      <c r="M189" s="401" t="str">
        <f t="shared" si="35"/>
        <v/>
      </c>
    </row>
    <row r="190" spans="2:13" x14ac:dyDescent="0.25">
      <c r="B190" s="46"/>
      <c r="C190" s="14"/>
      <c r="D190" s="15"/>
      <c r="E190" s="15"/>
      <c r="F190" s="15"/>
      <c r="G190" s="64"/>
      <c r="H190" s="17" t="str">
        <f t="shared" si="33"/>
        <v/>
      </c>
      <c r="I190" s="18"/>
      <c r="J190" s="61"/>
      <c r="K190" s="62"/>
      <c r="L190" s="420" t="str">
        <f t="shared" si="34"/>
        <v/>
      </c>
      <c r="M190" s="401" t="str">
        <f t="shared" si="35"/>
        <v/>
      </c>
    </row>
    <row r="191" spans="2:13" ht="11.9" customHeight="1" x14ac:dyDescent="0.25">
      <c r="B191" s="46"/>
      <c r="C191" s="14"/>
      <c r="D191" s="15"/>
      <c r="E191" s="15"/>
      <c r="F191" s="15"/>
      <c r="G191" s="64"/>
      <c r="H191" s="17" t="str">
        <f t="shared" si="33"/>
        <v/>
      </c>
      <c r="I191" s="18"/>
      <c r="J191" s="62"/>
      <c r="K191" s="62"/>
      <c r="L191" s="420" t="str">
        <f t="shared" si="34"/>
        <v/>
      </c>
      <c r="M191" s="401" t="str">
        <f t="shared" si="35"/>
        <v/>
      </c>
    </row>
    <row r="192" spans="2:13" x14ac:dyDescent="0.25">
      <c r="B192" s="46"/>
      <c r="C192" s="14"/>
      <c r="D192" s="15"/>
      <c r="E192" s="15"/>
      <c r="F192" s="15"/>
      <c r="G192" s="64"/>
      <c r="H192" s="17" t="str">
        <f t="shared" si="33"/>
        <v/>
      </c>
      <c r="I192" s="18"/>
      <c r="J192" s="62"/>
      <c r="K192" s="62"/>
      <c r="L192" s="420" t="str">
        <f t="shared" si="34"/>
        <v/>
      </c>
      <c r="M192" s="401" t="str">
        <f t="shared" si="35"/>
        <v/>
      </c>
    </row>
    <row r="193" spans="2:13" ht="11.9" customHeight="1" x14ac:dyDescent="0.25">
      <c r="B193" s="46"/>
      <c r="C193" s="14"/>
      <c r="D193" s="15"/>
      <c r="E193" s="15"/>
      <c r="F193" s="15"/>
      <c r="G193" s="64"/>
      <c r="H193" s="17" t="str">
        <f t="shared" si="33"/>
        <v/>
      </c>
      <c r="I193" s="18"/>
      <c r="J193" s="61"/>
      <c r="K193" s="62"/>
      <c r="L193" s="420" t="str">
        <f t="shared" si="34"/>
        <v/>
      </c>
      <c r="M193" s="401" t="str">
        <f t="shared" si="35"/>
        <v/>
      </c>
    </row>
    <row r="194" spans="2:13" x14ac:dyDescent="0.25">
      <c r="B194" s="46"/>
      <c r="C194" s="14"/>
      <c r="D194" s="15"/>
      <c r="E194" s="15"/>
      <c r="F194" s="15"/>
      <c r="G194" s="64"/>
      <c r="H194" s="17" t="str">
        <f t="shared" si="33"/>
        <v/>
      </c>
      <c r="I194" s="18"/>
      <c r="J194" s="62"/>
      <c r="K194" s="62"/>
      <c r="L194" s="420" t="str">
        <f t="shared" si="34"/>
        <v/>
      </c>
      <c r="M194" s="401" t="str">
        <f t="shared" si="35"/>
        <v/>
      </c>
    </row>
    <row r="195" spans="2:13" ht="11.9" customHeight="1" x14ac:dyDescent="0.25">
      <c r="B195" s="46"/>
      <c r="C195" s="14"/>
      <c r="D195" s="15"/>
      <c r="E195" s="15"/>
      <c r="F195" s="15"/>
      <c r="G195" s="64"/>
      <c r="H195" s="17" t="str">
        <f t="shared" si="33"/>
        <v/>
      </c>
      <c r="I195" s="18"/>
      <c r="J195" s="62"/>
      <c r="K195" s="62"/>
      <c r="L195" s="420" t="str">
        <f t="shared" si="34"/>
        <v/>
      </c>
      <c r="M195" s="401" t="str">
        <f t="shared" si="35"/>
        <v/>
      </c>
    </row>
    <row r="196" spans="2:13" x14ac:dyDescent="0.25">
      <c r="B196" s="46"/>
      <c r="C196" s="14"/>
      <c r="D196" s="15"/>
      <c r="E196" s="15"/>
      <c r="F196" s="15"/>
      <c r="G196" s="64"/>
      <c r="H196" s="17" t="str">
        <f t="shared" si="33"/>
        <v/>
      </c>
      <c r="I196" s="18"/>
      <c r="J196" s="62"/>
      <c r="K196" s="62"/>
      <c r="L196" s="420" t="str">
        <f t="shared" si="34"/>
        <v/>
      </c>
      <c r="M196" s="401" t="str">
        <f t="shared" si="35"/>
        <v/>
      </c>
    </row>
    <row r="197" spans="2:13" ht="11.9" customHeight="1" x14ac:dyDescent="0.25">
      <c r="B197" s="46"/>
      <c r="C197" s="14"/>
      <c r="D197" s="15"/>
      <c r="E197" s="15"/>
      <c r="F197" s="15"/>
      <c r="G197" s="64"/>
      <c r="H197" s="17" t="str">
        <f t="shared" si="33"/>
        <v/>
      </c>
      <c r="I197" s="18"/>
      <c r="J197" s="62"/>
      <c r="K197" s="62"/>
      <c r="L197" s="420" t="str">
        <f t="shared" si="34"/>
        <v/>
      </c>
      <c r="M197" s="401" t="str">
        <f t="shared" si="35"/>
        <v/>
      </c>
    </row>
    <row r="198" spans="2:13" x14ac:dyDescent="0.25">
      <c r="B198" s="46"/>
      <c r="C198" s="14"/>
      <c r="D198" s="15"/>
      <c r="E198" s="15"/>
      <c r="F198" s="15"/>
      <c r="G198" s="64"/>
      <c r="H198" s="17" t="str">
        <f t="shared" si="33"/>
        <v/>
      </c>
      <c r="I198" s="18"/>
      <c r="J198" s="61"/>
      <c r="K198" s="695"/>
      <c r="L198" s="420" t="str">
        <f t="shared" si="34"/>
        <v/>
      </c>
      <c r="M198" s="401" t="str">
        <f t="shared" si="35"/>
        <v/>
      </c>
    </row>
    <row r="199" spans="2:13" ht="11.9" customHeight="1" x14ac:dyDescent="0.25">
      <c r="B199" s="46"/>
      <c r="C199" s="14"/>
      <c r="D199" s="15"/>
      <c r="E199" s="15"/>
      <c r="F199" s="15"/>
      <c r="G199" s="64"/>
      <c r="H199" s="17" t="str">
        <f t="shared" si="33"/>
        <v/>
      </c>
      <c r="I199" s="18"/>
      <c r="J199" s="61"/>
      <c r="K199" s="696"/>
      <c r="L199" s="420" t="str">
        <f t="shared" si="34"/>
        <v/>
      </c>
      <c r="M199" s="401" t="str">
        <f t="shared" si="35"/>
        <v/>
      </c>
    </row>
    <row r="200" spans="2:13" s="28" customFormat="1" ht="24.75" customHeight="1" x14ac:dyDescent="0.25">
      <c r="B200" s="144" t="str">
        <f>$B$12</f>
        <v>C13.1</v>
      </c>
      <c r="C200" s="30" t="s">
        <v>791</v>
      </c>
      <c r="D200" s="31"/>
      <c r="E200" s="31"/>
      <c r="F200" s="32"/>
      <c r="G200" s="31"/>
      <c r="H200" s="33">
        <f>SUM(H140:H199)</f>
        <v>0</v>
      </c>
      <c r="I200" s="34"/>
      <c r="J200" s="408"/>
      <c r="K200" s="406"/>
      <c r="L200" s="418">
        <f>SUM(L140:L199)</f>
        <v>19817.5</v>
      </c>
      <c r="M200" s="407" t="str">
        <f t="shared" si="32"/>
        <v/>
      </c>
    </row>
  </sheetData>
  <mergeCells count="21">
    <mergeCell ref="B135:G135"/>
    <mergeCell ref="H135:H138"/>
    <mergeCell ref="B70:G70"/>
    <mergeCell ref="H70:H73"/>
    <mergeCell ref="B132:D132"/>
    <mergeCell ref="F132:H134"/>
    <mergeCell ref="B133:D133"/>
    <mergeCell ref="B134:D134"/>
    <mergeCell ref="B71:G71"/>
    <mergeCell ref="B72:G72"/>
    <mergeCell ref="B136:G136"/>
    <mergeCell ref="B137:G137"/>
    <mergeCell ref="F3:H3"/>
    <mergeCell ref="B6:G6"/>
    <mergeCell ref="H6:H9"/>
    <mergeCell ref="B67:D67"/>
    <mergeCell ref="F67:H69"/>
    <mergeCell ref="B68:D68"/>
    <mergeCell ref="B69:D69"/>
    <mergeCell ref="B7:G7"/>
    <mergeCell ref="B8:G8"/>
  </mergeCells>
  <conditionalFormatting sqref="G11:H66">
    <cfRule type="expression" dxfId="51" priority="1">
      <formula>AND(_Show_Price=FALSE,$D11&lt;&gt;"PC Sum",$D11&lt;&gt;"P C Sum",$D11&lt;&gt;"Prov Sum",$D11&lt;&gt;"P Sum")</formula>
    </cfRule>
  </conditionalFormatting>
  <conditionalFormatting sqref="G75:H131 G140:H200">
    <cfRule type="expression" dxfId="50" priority="4">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37">
    <tabColor rgb="FFFFFF00"/>
  </sheetPr>
  <dimension ref="A1:N75"/>
  <sheetViews>
    <sheetView view="pageBreakPreview" zoomScale="90" zoomScaleNormal="125" zoomScaleSheetLayoutView="90" zoomScalePageLayoutView="125" workbookViewId="0">
      <pane ySplit="2" topLeftCell="A3"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MAX(H2:H226)</f>
        <v>0</v>
      </c>
      <c r="I1" s="247">
        <f>MAX(I2:I226)</f>
        <v>0</v>
      </c>
      <c r="J1" s="248"/>
      <c r="K1" s="249"/>
      <c r="L1" s="247">
        <f>MAX(L2:L226)</f>
        <v>83750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C13.2</v>
      </c>
      <c r="I6" s="6"/>
    </row>
    <row r="7" spans="1:14" ht="30.7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18.75" customHeight="1" x14ac:dyDescent="0.25">
      <c r="B8" s="1152" t="s">
        <v>1772</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6"/>
      <c r="C11" s="65"/>
      <c r="D11" s="15"/>
      <c r="E11" s="15"/>
      <c r="F11" s="15"/>
      <c r="G11" s="411"/>
      <c r="H11" s="17" t="str">
        <f t="shared" ref="H11:H74" si="0">IF(D11="","",F11*G11)</f>
        <v/>
      </c>
      <c r="I11" s="18"/>
      <c r="J11" s="61"/>
      <c r="K11" s="399"/>
      <c r="L11" s="420" t="str">
        <f t="shared" ref="L11" si="1">IF(J11="","",F11*K11)</f>
        <v/>
      </c>
      <c r="M11" s="401" t="str">
        <f t="shared" ref="M11" si="2">IF(J11="","",IF(SUM(H11)=0,"",L11/H11))</f>
        <v/>
      </c>
    </row>
    <row r="12" spans="1:14" ht="26" x14ac:dyDescent="0.25">
      <c r="B12" s="146" t="s">
        <v>312</v>
      </c>
      <c r="C12" s="672" t="s">
        <v>311</v>
      </c>
      <c r="D12" s="15"/>
      <c r="E12" s="15"/>
      <c r="F12" s="15"/>
      <c r="G12" s="411"/>
      <c r="H12" s="17" t="str">
        <f t="shared" si="0"/>
        <v/>
      </c>
      <c r="I12" s="18"/>
      <c r="J12" s="61"/>
      <c r="K12" s="399"/>
      <c r="L12" s="420" t="str">
        <f t="shared" ref="L12:L73" si="3">IF(J12="","",F12*K12)</f>
        <v/>
      </c>
      <c r="M12" s="401" t="str">
        <f t="shared" ref="M12:M73" si="4">IF(J12="","",IF(SUM(H12)=0,"",L12/H12))</f>
        <v/>
      </c>
    </row>
    <row r="13" spans="1:14" x14ac:dyDescent="0.25">
      <c r="B13" s="58"/>
      <c r="C13" s="65"/>
      <c r="D13" s="15"/>
      <c r="E13" s="15"/>
      <c r="F13" s="15"/>
      <c r="G13" s="411"/>
      <c r="H13" s="17" t="str">
        <f t="shared" si="0"/>
        <v/>
      </c>
      <c r="I13" s="18"/>
      <c r="J13" s="61"/>
      <c r="K13" s="399"/>
      <c r="L13" s="420" t="str">
        <f t="shared" si="3"/>
        <v/>
      </c>
      <c r="M13" s="401" t="str">
        <f t="shared" si="4"/>
        <v/>
      </c>
    </row>
    <row r="14" spans="1:14" ht="13" x14ac:dyDescent="0.25">
      <c r="B14" s="146" t="s">
        <v>313</v>
      </c>
      <c r="C14" s="672" t="s">
        <v>1901</v>
      </c>
      <c r="D14" s="15"/>
      <c r="E14" s="15"/>
      <c r="F14" s="24"/>
      <c r="G14" s="411"/>
      <c r="H14" s="17" t="str">
        <f t="shared" si="0"/>
        <v/>
      </c>
      <c r="I14" s="57"/>
      <c r="J14" s="61"/>
      <c r="K14" s="400"/>
      <c r="L14" s="420" t="str">
        <f t="shared" si="3"/>
        <v/>
      </c>
      <c r="M14" s="401" t="str">
        <f t="shared" si="4"/>
        <v/>
      </c>
    </row>
    <row r="15" spans="1:14" x14ac:dyDescent="0.25">
      <c r="B15" s="58"/>
      <c r="C15" s="65"/>
      <c r="D15" s="15"/>
      <c r="E15" s="15"/>
      <c r="F15" s="24"/>
      <c r="G15" s="411"/>
      <c r="H15" s="17" t="str">
        <f t="shared" si="0"/>
        <v/>
      </c>
      <c r="I15" s="57"/>
      <c r="J15" s="61"/>
      <c r="K15" s="399"/>
      <c r="L15" s="420" t="str">
        <f t="shared" si="3"/>
        <v/>
      </c>
      <c r="M15" s="401" t="str">
        <f t="shared" si="4"/>
        <v/>
      </c>
    </row>
    <row r="16" spans="1:14" x14ac:dyDescent="0.25">
      <c r="B16" s="58" t="s">
        <v>39</v>
      </c>
      <c r="C16" s="65" t="s">
        <v>1733</v>
      </c>
      <c r="D16" s="15"/>
      <c r="E16" s="15"/>
      <c r="F16" s="24"/>
      <c r="G16" s="411"/>
      <c r="H16" s="17" t="str">
        <f t="shared" si="0"/>
        <v/>
      </c>
      <c r="I16" s="57"/>
      <c r="J16" s="61"/>
      <c r="K16" s="399"/>
      <c r="L16" s="420" t="str">
        <f t="shared" si="3"/>
        <v/>
      </c>
      <c r="M16" s="401" t="str">
        <f t="shared" si="4"/>
        <v/>
      </c>
    </row>
    <row r="17" spans="2:13" x14ac:dyDescent="0.25">
      <c r="B17" s="58"/>
      <c r="C17" s="65"/>
      <c r="D17" s="15"/>
      <c r="E17" s="15"/>
      <c r="F17" s="24"/>
      <c r="G17" s="411"/>
      <c r="H17" s="17" t="str">
        <f t="shared" si="0"/>
        <v/>
      </c>
      <c r="I17" s="57"/>
      <c r="J17" s="61"/>
      <c r="K17" s="399"/>
      <c r="L17" s="420" t="str">
        <f t="shared" si="3"/>
        <v/>
      </c>
      <c r="M17" s="401" t="str">
        <f t="shared" si="4"/>
        <v/>
      </c>
    </row>
    <row r="18" spans="2:13" ht="14.5" x14ac:dyDescent="0.25">
      <c r="B18" s="58" t="s">
        <v>990</v>
      </c>
      <c r="C18" s="65" t="s">
        <v>1755</v>
      </c>
      <c r="D18" s="15" t="s">
        <v>61</v>
      </c>
      <c r="E18" s="15" t="s">
        <v>996</v>
      </c>
      <c r="F18" s="24">
        <v>55</v>
      </c>
      <c r="G18" s="411"/>
      <c r="H18" s="17">
        <f t="shared" si="0"/>
        <v>0</v>
      </c>
      <c r="I18" s="57"/>
      <c r="J18" s="61" t="s">
        <v>996</v>
      </c>
      <c r="K18" s="399">
        <f>_Formwork</f>
        <v>134</v>
      </c>
      <c r="L18" s="420">
        <f t="shared" si="3"/>
        <v>7370</v>
      </c>
      <c r="M18" s="401" t="str">
        <f t="shared" si="4"/>
        <v/>
      </c>
    </row>
    <row r="19" spans="2:13" x14ac:dyDescent="0.25">
      <c r="B19" s="58"/>
      <c r="C19" s="65"/>
      <c r="D19" s="15"/>
      <c r="E19" s="15"/>
      <c r="F19" s="24"/>
      <c r="G19" s="411"/>
      <c r="H19" s="17" t="str">
        <f t="shared" si="0"/>
        <v/>
      </c>
      <c r="I19" s="57"/>
      <c r="J19" s="61"/>
      <c r="K19" s="402"/>
      <c r="L19" s="420" t="str">
        <f t="shared" si="3"/>
        <v/>
      </c>
      <c r="M19" s="401" t="str">
        <f t="shared" si="4"/>
        <v/>
      </c>
    </row>
    <row r="20" spans="2:13" ht="14.5" x14ac:dyDescent="0.25">
      <c r="B20" s="58" t="s">
        <v>991</v>
      </c>
      <c r="C20" s="65" t="s">
        <v>1756</v>
      </c>
      <c r="D20" s="15" t="s">
        <v>61</v>
      </c>
      <c r="E20" s="15" t="s">
        <v>996</v>
      </c>
      <c r="F20" s="24">
        <v>120</v>
      </c>
      <c r="G20" s="411"/>
      <c r="H20" s="17">
        <f t="shared" si="0"/>
        <v>0</v>
      </c>
      <c r="I20" s="57"/>
      <c r="J20" s="61" t="s">
        <v>996</v>
      </c>
      <c r="K20" s="399">
        <f>_Formwork</f>
        <v>134</v>
      </c>
      <c r="L20" s="420">
        <f t="shared" si="3"/>
        <v>16080</v>
      </c>
      <c r="M20" s="401" t="str">
        <f t="shared" si="4"/>
        <v/>
      </c>
    </row>
    <row r="21" spans="2:13" x14ac:dyDescent="0.25">
      <c r="B21" s="58"/>
      <c r="C21" s="65"/>
      <c r="D21" s="15"/>
      <c r="E21" s="15"/>
      <c r="F21" s="24"/>
      <c r="G21" s="411"/>
      <c r="H21" s="17" t="str">
        <f t="shared" si="0"/>
        <v/>
      </c>
      <c r="I21" s="57"/>
      <c r="J21" s="61"/>
      <c r="K21" s="402"/>
      <c r="L21" s="420" t="str">
        <f t="shared" si="3"/>
        <v/>
      </c>
      <c r="M21" s="401" t="str">
        <f t="shared" si="4"/>
        <v/>
      </c>
    </row>
    <row r="22" spans="2:13" ht="14.5" x14ac:dyDescent="0.25">
      <c r="B22" s="58" t="s">
        <v>1679</v>
      </c>
      <c r="C22" s="65" t="s">
        <v>1757</v>
      </c>
      <c r="D22" s="15" t="s">
        <v>61</v>
      </c>
      <c r="E22" s="15" t="s">
        <v>996</v>
      </c>
      <c r="F22" s="24">
        <v>35</v>
      </c>
      <c r="G22" s="411"/>
      <c r="H22" s="17">
        <f t="shared" si="0"/>
        <v>0</v>
      </c>
      <c r="I22" s="57"/>
      <c r="J22" s="61" t="s">
        <v>996</v>
      </c>
      <c r="K22" s="399">
        <f>_Formwork</f>
        <v>134</v>
      </c>
      <c r="L22" s="420">
        <f t="shared" si="3"/>
        <v>4690</v>
      </c>
      <c r="M22" s="401" t="str">
        <f t="shared" si="4"/>
        <v/>
      </c>
    </row>
    <row r="23" spans="2:13" x14ac:dyDescent="0.25">
      <c r="B23" s="58"/>
      <c r="C23" s="65"/>
      <c r="D23" s="15"/>
      <c r="E23" s="15"/>
      <c r="F23" s="24"/>
      <c r="G23" s="411"/>
      <c r="H23" s="17" t="str">
        <f t="shared" si="0"/>
        <v/>
      </c>
      <c r="I23" s="57"/>
      <c r="J23" s="61"/>
      <c r="K23" s="402"/>
      <c r="L23" s="420" t="str">
        <f t="shared" si="3"/>
        <v/>
      </c>
      <c r="M23" s="401" t="str">
        <f t="shared" si="4"/>
        <v/>
      </c>
    </row>
    <row r="24" spans="2:13" x14ac:dyDescent="0.25">
      <c r="B24" s="58" t="s">
        <v>41</v>
      </c>
      <c r="C24" s="65" t="s">
        <v>1742</v>
      </c>
      <c r="D24" s="15"/>
      <c r="E24" s="15"/>
      <c r="F24" s="24"/>
      <c r="G24" s="411"/>
      <c r="H24" s="17" t="str">
        <f t="shared" si="0"/>
        <v/>
      </c>
      <c r="I24" s="57"/>
      <c r="J24" s="61"/>
      <c r="K24" s="402"/>
      <c r="L24" s="420" t="str">
        <f t="shared" si="3"/>
        <v/>
      </c>
      <c r="M24" s="401" t="str">
        <f t="shared" si="4"/>
        <v/>
      </c>
    </row>
    <row r="25" spans="2:13" x14ac:dyDescent="0.25">
      <c r="B25" s="58"/>
      <c r="C25" s="65"/>
      <c r="D25" s="15"/>
      <c r="E25" s="15"/>
      <c r="F25" s="24"/>
      <c r="G25" s="411"/>
      <c r="H25" s="17" t="str">
        <f t="shared" si="0"/>
        <v/>
      </c>
      <c r="I25" s="57"/>
      <c r="J25" s="61"/>
      <c r="K25" s="399"/>
      <c r="L25" s="420" t="str">
        <f t="shared" si="3"/>
        <v/>
      </c>
      <c r="M25" s="401" t="str">
        <f t="shared" si="4"/>
        <v/>
      </c>
    </row>
    <row r="26" spans="2:13" ht="14.5" x14ac:dyDescent="0.25">
      <c r="B26" s="58" t="s">
        <v>990</v>
      </c>
      <c r="C26" s="65" t="s">
        <v>1758</v>
      </c>
      <c r="D26" s="15" t="s">
        <v>61</v>
      </c>
      <c r="E26" s="15" t="s">
        <v>996</v>
      </c>
      <c r="F26" s="24">
        <v>40</v>
      </c>
      <c r="G26" s="411"/>
      <c r="H26" s="17">
        <f t="shared" si="0"/>
        <v>0</v>
      </c>
      <c r="I26" s="57"/>
      <c r="J26" s="61" t="s">
        <v>996</v>
      </c>
      <c r="K26" s="399">
        <f>_Formwork</f>
        <v>134</v>
      </c>
      <c r="L26" s="420">
        <f t="shared" si="3"/>
        <v>5360</v>
      </c>
      <c r="M26" s="401" t="str">
        <f t="shared" si="4"/>
        <v/>
      </c>
    </row>
    <row r="27" spans="2:13" x14ac:dyDescent="0.25">
      <c r="B27" s="58"/>
      <c r="C27" s="65"/>
      <c r="D27" s="15"/>
      <c r="E27" s="15"/>
      <c r="F27" s="24"/>
      <c r="G27" s="411"/>
      <c r="H27" s="17" t="str">
        <f t="shared" si="0"/>
        <v/>
      </c>
      <c r="I27" s="57"/>
      <c r="J27" s="61"/>
      <c r="K27" s="399"/>
      <c r="L27" s="420" t="str">
        <f t="shared" si="3"/>
        <v/>
      </c>
      <c r="M27" s="401" t="str">
        <f t="shared" si="4"/>
        <v/>
      </c>
    </row>
    <row r="28" spans="2:13" ht="14.5" x14ac:dyDescent="0.25">
      <c r="B28" s="58" t="s">
        <v>991</v>
      </c>
      <c r="C28" s="65" t="s">
        <v>1756</v>
      </c>
      <c r="D28" s="15" t="s">
        <v>61</v>
      </c>
      <c r="E28" s="15" t="s">
        <v>996</v>
      </c>
      <c r="F28" s="24">
        <v>200</v>
      </c>
      <c r="G28" s="411"/>
      <c r="H28" s="17">
        <f t="shared" si="0"/>
        <v>0</v>
      </c>
      <c r="I28" s="57"/>
      <c r="J28" s="61" t="s">
        <v>996</v>
      </c>
      <c r="K28" s="399">
        <f>_Formwork</f>
        <v>134</v>
      </c>
      <c r="L28" s="420">
        <f t="shared" si="3"/>
        <v>26800</v>
      </c>
      <c r="M28" s="401" t="str">
        <f t="shared" si="4"/>
        <v/>
      </c>
    </row>
    <row r="29" spans="2:13" x14ac:dyDescent="0.25">
      <c r="B29" s="58"/>
      <c r="C29" s="65"/>
      <c r="D29" s="15"/>
      <c r="E29" s="15"/>
      <c r="F29" s="24"/>
      <c r="G29" s="411"/>
      <c r="H29" s="17" t="str">
        <f t="shared" si="0"/>
        <v/>
      </c>
      <c r="I29" s="57"/>
      <c r="J29" s="61"/>
      <c r="K29" s="399"/>
      <c r="L29" s="420" t="str">
        <f t="shared" si="3"/>
        <v/>
      </c>
      <c r="M29" s="401" t="str">
        <f t="shared" si="4"/>
        <v/>
      </c>
    </row>
    <row r="30" spans="2:13" ht="14.5" x14ac:dyDescent="0.25">
      <c r="B30" s="58" t="s">
        <v>1679</v>
      </c>
      <c r="C30" s="65" t="s">
        <v>1757</v>
      </c>
      <c r="D30" s="15" t="s">
        <v>61</v>
      </c>
      <c r="E30" s="15" t="s">
        <v>996</v>
      </c>
      <c r="F30" s="24">
        <v>70</v>
      </c>
      <c r="G30" s="411"/>
      <c r="H30" s="17">
        <f t="shared" si="0"/>
        <v>0</v>
      </c>
      <c r="I30" s="57"/>
      <c r="J30" s="61" t="s">
        <v>996</v>
      </c>
      <c r="K30" s="399">
        <f>_Formwork</f>
        <v>134</v>
      </c>
      <c r="L30" s="420">
        <f t="shared" si="3"/>
        <v>9380</v>
      </c>
      <c r="M30" s="401" t="str">
        <f t="shared" si="4"/>
        <v/>
      </c>
    </row>
    <row r="31" spans="2:13" x14ac:dyDescent="0.25">
      <c r="B31" s="58"/>
      <c r="C31" s="65"/>
      <c r="D31" s="15"/>
      <c r="E31" s="15"/>
      <c r="F31" s="24"/>
      <c r="G31" s="411"/>
      <c r="H31" s="17" t="str">
        <f t="shared" si="0"/>
        <v/>
      </c>
      <c r="I31" s="57"/>
      <c r="J31" s="61"/>
      <c r="K31" s="399"/>
      <c r="L31" s="420" t="str">
        <f t="shared" si="3"/>
        <v/>
      </c>
      <c r="M31" s="401" t="str">
        <f t="shared" si="4"/>
        <v/>
      </c>
    </row>
    <row r="32" spans="2:13" ht="13" x14ac:dyDescent="0.25">
      <c r="B32" s="146" t="s">
        <v>314</v>
      </c>
      <c r="C32" s="672" t="s">
        <v>1902</v>
      </c>
      <c r="D32" s="15"/>
      <c r="E32" s="15"/>
      <c r="F32" s="24"/>
      <c r="G32" s="411"/>
      <c r="H32" s="17" t="str">
        <f t="shared" si="0"/>
        <v/>
      </c>
      <c r="I32" s="57"/>
      <c r="J32" s="61"/>
      <c r="K32" s="399"/>
      <c r="L32" s="420" t="str">
        <f t="shared" si="3"/>
        <v/>
      </c>
      <c r="M32" s="401" t="str">
        <f t="shared" si="4"/>
        <v/>
      </c>
    </row>
    <row r="33" spans="2:13" x14ac:dyDescent="0.25">
      <c r="B33" s="58"/>
      <c r="C33" s="65"/>
      <c r="D33" s="15"/>
      <c r="E33" s="15"/>
      <c r="F33" s="24"/>
      <c r="G33" s="411"/>
      <c r="H33" s="17" t="str">
        <f t="shared" si="0"/>
        <v/>
      </c>
      <c r="I33" s="57"/>
      <c r="J33" s="61"/>
      <c r="K33" s="399"/>
      <c r="L33" s="420" t="str">
        <f t="shared" si="3"/>
        <v/>
      </c>
      <c r="M33" s="401" t="str">
        <f t="shared" si="4"/>
        <v/>
      </c>
    </row>
    <row r="34" spans="2:13" x14ac:dyDescent="0.25">
      <c r="B34" s="58" t="s">
        <v>39</v>
      </c>
      <c r="C34" s="65" t="s">
        <v>1742</v>
      </c>
      <c r="D34" s="15"/>
      <c r="E34" s="15"/>
      <c r="F34" s="24"/>
      <c r="G34" s="411"/>
      <c r="H34" s="17" t="str">
        <f t="shared" si="0"/>
        <v/>
      </c>
      <c r="I34" s="57"/>
      <c r="J34" s="61"/>
      <c r="K34" s="399"/>
      <c r="L34" s="420" t="str">
        <f t="shared" si="3"/>
        <v/>
      </c>
      <c r="M34" s="401" t="str">
        <f t="shared" si="4"/>
        <v/>
      </c>
    </row>
    <row r="35" spans="2:13" x14ac:dyDescent="0.25">
      <c r="B35" s="58"/>
      <c r="C35" s="65"/>
      <c r="D35" s="15"/>
      <c r="E35" s="15"/>
      <c r="F35" s="24"/>
      <c r="G35" s="411"/>
      <c r="H35" s="17" t="str">
        <f t="shared" si="0"/>
        <v/>
      </c>
      <c r="I35" s="57"/>
      <c r="J35" s="61"/>
      <c r="K35" s="399"/>
      <c r="L35" s="420" t="str">
        <f t="shared" si="3"/>
        <v/>
      </c>
      <c r="M35" s="401" t="str">
        <f t="shared" si="4"/>
        <v/>
      </c>
    </row>
    <row r="36" spans="2:13" ht="14.5" x14ac:dyDescent="0.25">
      <c r="B36" s="58" t="s">
        <v>990</v>
      </c>
      <c r="C36" s="65" t="s">
        <v>1759</v>
      </c>
      <c r="D36" s="15" t="s">
        <v>61</v>
      </c>
      <c r="E36" s="15" t="s">
        <v>996</v>
      </c>
      <c r="F36" s="24">
        <v>100</v>
      </c>
      <c r="G36" s="411"/>
      <c r="H36" s="17">
        <f t="shared" si="0"/>
        <v>0</v>
      </c>
      <c r="I36" s="57"/>
      <c r="J36" s="61" t="s">
        <v>996</v>
      </c>
      <c r="K36" s="399">
        <f>_Formwork</f>
        <v>134</v>
      </c>
      <c r="L36" s="420">
        <f t="shared" si="3"/>
        <v>13400</v>
      </c>
      <c r="M36" s="401" t="str">
        <f t="shared" si="4"/>
        <v/>
      </c>
    </row>
    <row r="37" spans="2:13" x14ac:dyDescent="0.25">
      <c r="B37" s="58"/>
      <c r="C37" s="65"/>
      <c r="D37" s="15"/>
      <c r="E37" s="15"/>
      <c r="F37" s="24"/>
      <c r="G37" s="411"/>
      <c r="H37" s="17" t="str">
        <f t="shared" si="0"/>
        <v/>
      </c>
      <c r="I37" s="57"/>
      <c r="J37" s="61"/>
      <c r="K37" s="399"/>
      <c r="L37" s="420" t="str">
        <f t="shared" si="3"/>
        <v/>
      </c>
      <c r="M37" s="401" t="str">
        <f t="shared" si="4"/>
        <v/>
      </c>
    </row>
    <row r="38" spans="2:13" ht="13" x14ac:dyDescent="0.25">
      <c r="B38" s="146" t="s">
        <v>315</v>
      </c>
      <c r="C38" s="672" t="s">
        <v>1903</v>
      </c>
      <c r="D38" s="15"/>
      <c r="E38" s="15"/>
      <c r="F38" s="24"/>
      <c r="G38" s="411"/>
      <c r="H38" s="17" t="str">
        <f t="shared" si="0"/>
        <v/>
      </c>
      <c r="I38" s="18"/>
      <c r="J38" s="61"/>
      <c r="K38" s="399"/>
      <c r="L38" s="420" t="str">
        <f t="shared" si="3"/>
        <v/>
      </c>
      <c r="M38" s="401" t="str">
        <f t="shared" si="4"/>
        <v/>
      </c>
    </row>
    <row r="39" spans="2:13" x14ac:dyDescent="0.25">
      <c r="B39" s="58"/>
      <c r="C39" s="65"/>
      <c r="D39" s="15"/>
      <c r="E39" s="15"/>
      <c r="F39" s="24"/>
      <c r="G39" s="411"/>
      <c r="H39" s="17" t="str">
        <f t="shared" si="0"/>
        <v/>
      </c>
      <c r="I39" s="18"/>
      <c r="J39" s="61"/>
      <c r="K39" s="399"/>
      <c r="L39" s="420" t="str">
        <f t="shared" si="3"/>
        <v/>
      </c>
      <c r="M39" s="401" t="str">
        <f t="shared" si="4"/>
        <v/>
      </c>
    </row>
    <row r="40" spans="2:13" x14ac:dyDescent="0.25">
      <c r="B40" s="58" t="s">
        <v>41</v>
      </c>
      <c r="C40" s="65" t="s">
        <v>1742</v>
      </c>
      <c r="D40" s="15"/>
      <c r="E40" s="15"/>
      <c r="F40" s="24"/>
      <c r="G40" s="411"/>
      <c r="H40" s="17" t="str">
        <f t="shared" si="0"/>
        <v/>
      </c>
      <c r="I40" s="18"/>
      <c r="J40" s="61"/>
      <c r="K40" s="399"/>
      <c r="L40" s="420" t="str">
        <f t="shared" si="3"/>
        <v/>
      </c>
      <c r="M40" s="401" t="str">
        <f t="shared" si="4"/>
        <v/>
      </c>
    </row>
    <row r="41" spans="2:13" x14ac:dyDescent="0.25">
      <c r="B41" s="58"/>
      <c r="C41" s="65"/>
      <c r="D41" s="15"/>
      <c r="E41" s="15"/>
      <c r="F41" s="24"/>
      <c r="G41" s="411"/>
      <c r="H41" s="17" t="str">
        <f t="shared" si="0"/>
        <v/>
      </c>
      <c r="I41" s="18"/>
      <c r="J41" s="61"/>
      <c r="K41" s="399"/>
      <c r="L41" s="420" t="str">
        <f t="shared" si="3"/>
        <v/>
      </c>
      <c r="M41" s="401" t="str">
        <f t="shared" si="4"/>
        <v/>
      </c>
    </row>
    <row r="42" spans="2:13" ht="14.5" x14ac:dyDescent="0.25">
      <c r="B42" s="58" t="s">
        <v>990</v>
      </c>
      <c r="C42" s="65" t="s">
        <v>1759</v>
      </c>
      <c r="D42" s="15" t="s">
        <v>61</v>
      </c>
      <c r="E42" s="15" t="s">
        <v>996</v>
      </c>
      <c r="F42" s="24">
        <v>5</v>
      </c>
      <c r="G42" s="411"/>
      <c r="H42" s="17">
        <f t="shared" si="0"/>
        <v>0</v>
      </c>
      <c r="I42" s="18"/>
      <c r="J42" s="61" t="s">
        <v>996</v>
      </c>
      <c r="K42" s="399">
        <f>_Formwork</f>
        <v>134</v>
      </c>
      <c r="L42" s="420">
        <f t="shared" si="3"/>
        <v>670</v>
      </c>
      <c r="M42" s="401" t="str">
        <f t="shared" si="4"/>
        <v/>
      </c>
    </row>
    <row r="43" spans="2:13" x14ac:dyDescent="0.25">
      <c r="B43" s="58"/>
      <c r="C43" s="65"/>
      <c r="D43" s="15"/>
      <c r="E43" s="15"/>
      <c r="F43" s="24"/>
      <c r="G43" s="411"/>
      <c r="H43" s="17" t="str">
        <f t="shared" si="0"/>
        <v/>
      </c>
      <c r="I43" s="18"/>
      <c r="J43" s="61"/>
      <c r="K43" s="399"/>
      <c r="L43" s="420" t="str">
        <f t="shared" si="3"/>
        <v/>
      </c>
      <c r="M43" s="401" t="str">
        <f t="shared" si="4"/>
        <v/>
      </c>
    </row>
    <row r="44" spans="2:13" x14ac:dyDescent="0.25">
      <c r="B44" s="58"/>
      <c r="C44" s="65"/>
      <c r="D44" s="15"/>
      <c r="E44" s="15"/>
      <c r="F44" s="24"/>
      <c r="G44" s="411"/>
      <c r="H44" s="17" t="str">
        <f t="shared" si="0"/>
        <v/>
      </c>
      <c r="I44" s="18"/>
      <c r="J44" s="61"/>
      <c r="K44" s="399"/>
      <c r="L44" s="420" t="str">
        <f t="shared" si="3"/>
        <v/>
      </c>
      <c r="M44" s="401" t="str">
        <f t="shared" si="4"/>
        <v/>
      </c>
    </row>
    <row r="45" spans="2:13" x14ac:dyDescent="0.25">
      <c r="B45" s="58"/>
      <c r="C45" s="65"/>
      <c r="D45" s="15"/>
      <c r="E45" s="15"/>
      <c r="F45" s="24"/>
      <c r="G45" s="411"/>
      <c r="H45" s="17" t="str">
        <f t="shared" si="0"/>
        <v/>
      </c>
      <c r="I45" s="18"/>
      <c r="J45" s="61"/>
      <c r="K45" s="399"/>
      <c r="L45" s="420" t="str">
        <f t="shared" si="3"/>
        <v/>
      </c>
      <c r="M45" s="401" t="str">
        <f t="shared" si="4"/>
        <v/>
      </c>
    </row>
    <row r="46" spans="2:13" x14ac:dyDescent="0.25">
      <c r="B46" s="58"/>
      <c r="C46" s="65"/>
      <c r="D46" s="15"/>
      <c r="E46" s="15"/>
      <c r="F46" s="24"/>
      <c r="G46" s="411"/>
      <c r="H46" s="17" t="str">
        <f t="shared" si="0"/>
        <v/>
      </c>
      <c r="I46" s="63"/>
      <c r="J46" s="61"/>
      <c r="K46" s="399"/>
      <c r="L46" s="420" t="str">
        <f t="shared" si="3"/>
        <v/>
      </c>
      <c r="M46" s="401" t="str">
        <f t="shared" si="4"/>
        <v/>
      </c>
    </row>
    <row r="47" spans="2:13" x14ac:dyDescent="0.25">
      <c r="B47" s="58"/>
      <c r="C47" s="784"/>
      <c r="D47" s="15"/>
      <c r="E47" s="15"/>
      <c r="F47" s="24"/>
      <c r="G47" s="411"/>
      <c r="H47" s="17" t="str">
        <f t="shared" si="0"/>
        <v/>
      </c>
      <c r="I47" s="63"/>
      <c r="J47" s="61"/>
      <c r="K47" s="402"/>
      <c r="L47" s="420" t="str">
        <f t="shared" si="3"/>
        <v/>
      </c>
      <c r="M47" s="401" t="str">
        <f t="shared" si="4"/>
        <v/>
      </c>
    </row>
    <row r="48" spans="2:13" x14ac:dyDescent="0.25">
      <c r="B48" s="58"/>
      <c r="C48" s="65"/>
      <c r="D48" s="15"/>
      <c r="E48" s="15"/>
      <c r="F48" s="24"/>
      <c r="G48" s="411"/>
      <c r="H48" s="17" t="str">
        <f t="shared" si="0"/>
        <v/>
      </c>
      <c r="I48" s="63"/>
      <c r="J48" s="61"/>
      <c r="K48" s="399"/>
      <c r="L48" s="420" t="str">
        <f t="shared" si="3"/>
        <v/>
      </c>
      <c r="M48" s="401" t="str">
        <f t="shared" si="4"/>
        <v/>
      </c>
    </row>
    <row r="49" spans="2:13" x14ac:dyDescent="0.25">
      <c r="B49" s="58"/>
      <c r="C49" s="65"/>
      <c r="D49" s="15"/>
      <c r="E49" s="15"/>
      <c r="F49" s="24"/>
      <c r="G49" s="411"/>
      <c r="H49" s="17" t="str">
        <f t="shared" si="0"/>
        <v/>
      </c>
      <c r="I49" s="63"/>
      <c r="J49" s="61"/>
      <c r="K49" s="402"/>
      <c r="L49" s="420" t="str">
        <f t="shared" si="3"/>
        <v/>
      </c>
      <c r="M49" s="401" t="str">
        <f t="shared" si="4"/>
        <v/>
      </c>
    </row>
    <row r="50" spans="2:13" x14ac:dyDescent="0.25">
      <c r="B50" s="58"/>
      <c r="C50" s="65"/>
      <c r="D50" s="15"/>
      <c r="E50" s="15"/>
      <c r="F50" s="24"/>
      <c r="G50" s="411"/>
      <c r="H50" s="17" t="str">
        <f t="shared" si="0"/>
        <v/>
      </c>
      <c r="I50" s="63"/>
      <c r="J50" s="62"/>
      <c r="K50" s="62"/>
      <c r="L50" s="420" t="str">
        <f t="shared" si="3"/>
        <v/>
      </c>
      <c r="M50" s="401" t="str">
        <f t="shared" si="4"/>
        <v/>
      </c>
    </row>
    <row r="51" spans="2:13" x14ac:dyDescent="0.25">
      <c r="B51" s="58"/>
      <c r="C51" s="65"/>
      <c r="D51" s="15"/>
      <c r="E51" s="15"/>
      <c r="F51" s="24"/>
      <c r="G51" s="411"/>
      <c r="H51" s="17" t="str">
        <f t="shared" si="0"/>
        <v/>
      </c>
      <c r="I51" s="63"/>
      <c r="J51" s="62"/>
      <c r="K51" s="62"/>
      <c r="L51" s="420" t="str">
        <f t="shared" si="3"/>
        <v/>
      </c>
      <c r="M51" s="401" t="str">
        <f t="shared" si="4"/>
        <v/>
      </c>
    </row>
    <row r="52" spans="2:13" x14ac:dyDescent="0.25">
      <c r="B52" s="58"/>
      <c r="C52" s="65"/>
      <c r="D52" s="15"/>
      <c r="E52" s="15"/>
      <c r="F52" s="24"/>
      <c r="G52" s="411"/>
      <c r="H52" s="17" t="str">
        <f t="shared" si="0"/>
        <v/>
      </c>
      <c r="I52" s="57"/>
      <c r="J52" s="62"/>
      <c r="K52" s="62"/>
      <c r="L52" s="420" t="str">
        <f t="shared" si="3"/>
        <v/>
      </c>
      <c r="M52" s="401" t="str">
        <f t="shared" si="4"/>
        <v/>
      </c>
    </row>
    <row r="53" spans="2:13" x14ac:dyDescent="0.25">
      <c r="B53" s="58"/>
      <c r="C53" s="65"/>
      <c r="D53" s="15"/>
      <c r="E53" s="15"/>
      <c r="F53" s="24"/>
      <c r="G53" s="411"/>
      <c r="H53" s="17" t="str">
        <f t="shared" si="0"/>
        <v/>
      </c>
      <c r="I53" s="18"/>
      <c r="J53" s="62"/>
      <c r="K53" s="62"/>
      <c r="L53" s="420" t="str">
        <f t="shared" si="3"/>
        <v/>
      </c>
      <c r="M53" s="401" t="str">
        <f t="shared" si="4"/>
        <v/>
      </c>
    </row>
    <row r="54" spans="2:13" s="36" customFormat="1" x14ac:dyDescent="0.25">
      <c r="B54" s="58"/>
      <c r="C54" s="65"/>
      <c r="D54" s="15"/>
      <c r="E54" s="15"/>
      <c r="F54" s="24"/>
      <c r="G54" s="411"/>
      <c r="H54" s="17" t="str">
        <f t="shared" si="0"/>
        <v/>
      </c>
      <c r="I54" s="18"/>
      <c r="J54" s="62"/>
      <c r="K54" s="62"/>
      <c r="L54" s="420" t="str">
        <f t="shared" si="3"/>
        <v/>
      </c>
      <c r="M54" s="401" t="str">
        <f t="shared" si="4"/>
        <v/>
      </c>
    </row>
    <row r="55" spans="2:13" s="36" customFormat="1" x14ac:dyDescent="0.25">
      <c r="B55" s="58"/>
      <c r="C55" s="65"/>
      <c r="D55" s="15"/>
      <c r="E55" s="15"/>
      <c r="F55" s="24"/>
      <c r="G55" s="411"/>
      <c r="H55" s="17" t="str">
        <f t="shared" si="0"/>
        <v/>
      </c>
      <c r="I55" s="18"/>
      <c r="J55" s="62"/>
      <c r="K55" s="62"/>
      <c r="L55" s="420" t="str">
        <f t="shared" si="3"/>
        <v/>
      </c>
      <c r="M55" s="401" t="str">
        <f t="shared" si="4"/>
        <v/>
      </c>
    </row>
    <row r="56" spans="2:13" s="36" customFormat="1" x14ac:dyDescent="0.25">
      <c r="B56" s="58"/>
      <c r="C56" s="65"/>
      <c r="D56" s="15"/>
      <c r="E56" s="15"/>
      <c r="F56" s="24"/>
      <c r="G56" s="411"/>
      <c r="H56" s="17" t="str">
        <f t="shared" si="0"/>
        <v/>
      </c>
      <c r="I56" s="18"/>
      <c r="J56" s="62"/>
      <c r="K56" s="62"/>
      <c r="L56" s="420" t="str">
        <f t="shared" si="3"/>
        <v/>
      </c>
      <c r="M56" s="401" t="str">
        <f t="shared" si="4"/>
        <v/>
      </c>
    </row>
    <row r="57" spans="2:13" s="36" customFormat="1" x14ac:dyDescent="0.25">
      <c r="B57" s="58"/>
      <c r="C57" s="65"/>
      <c r="D57" s="15"/>
      <c r="E57" s="15"/>
      <c r="F57" s="24"/>
      <c r="G57" s="411"/>
      <c r="H57" s="17" t="str">
        <f t="shared" si="0"/>
        <v/>
      </c>
      <c r="I57" s="18"/>
      <c r="J57" s="62"/>
      <c r="K57" s="62"/>
      <c r="L57" s="420" t="str">
        <f t="shared" si="3"/>
        <v/>
      </c>
      <c r="M57" s="401" t="str">
        <f t="shared" si="4"/>
        <v/>
      </c>
    </row>
    <row r="58" spans="2:13" s="36" customFormat="1" x14ac:dyDescent="0.25">
      <c r="B58" s="58"/>
      <c r="C58" s="65"/>
      <c r="D58" s="15"/>
      <c r="E58" s="15"/>
      <c r="F58" s="24"/>
      <c r="G58" s="411"/>
      <c r="H58" s="17" t="str">
        <f t="shared" si="0"/>
        <v/>
      </c>
      <c r="I58" s="18"/>
      <c r="J58" s="62"/>
      <c r="K58" s="62"/>
      <c r="L58" s="420" t="str">
        <f t="shared" si="3"/>
        <v/>
      </c>
      <c r="M58" s="401" t="str">
        <f t="shared" si="4"/>
        <v/>
      </c>
    </row>
    <row r="59" spans="2:13" s="36" customFormat="1" x14ac:dyDescent="0.25">
      <c r="B59" s="58"/>
      <c r="C59" s="65"/>
      <c r="D59" s="15"/>
      <c r="E59" s="15"/>
      <c r="F59" s="24"/>
      <c r="G59" s="411"/>
      <c r="H59" s="17" t="str">
        <f t="shared" si="0"/>
        <v/>
      </c>
      <c r="I59" s="18"/>
      <c r="J59" s="62"/>
      <c r="K59" s="62"/>
      <c r="L59" s="420" t="str">
        <f t="shared" si="3"/>
        <v/>
      </c>
      <c r="M59" s="401" t="str">
        <f t="shared" si="4"/>
        <v/>
      </c>
    </row>
    <row r="60" spans="2:13" s="36" customFormat="1" x14ac:dyDescent="0.25">
      <c r="B60" s="58"/>
      <c r="C60" s="65"/>
      <c r="D60" s="15"/>
      <c r="E60" s="15"/>
      <c r="F60" s="24"/>
      <c r="G60" s="411"/>
      <c r="H60" s="17" t="str">
        <f t="shared" si="0"/>
        <v/>
      </c>
      <c r="I60" s="18"/>
      <c r="J60" s="62"/>
      <c r="K60" s="62"/>
      <c r="L60" s="420" t="str">
        <f t="shared" si="3"/>
        <v/>
      </c>
      <c r="M60" s="401" t="str">
        <f t="shared" si="4"/>
        <v/>
      </c>
    </row>
    <row r="61" spans="2:13" s="36" customFormat="1" x14ac:dyDescent="0.25">
      <c r="B61" s="58"/>
      <c r="C61" s="65"/>
      <c r="D61" s="15"/>
      <c r="E61" s="15"/>
      <c r="F61" s="24"/>
      <c r="G61" s="411"/>
      <c r="H61" s="17" t="str">
        <f t="shared" si="0"/>
        <v/>
      </c>
      <c r="I61" s="18"/>
      <c r="J61" s="62"/>
      <c r="K61" s="62"/>
      <c r="L61" s="420" t="str">
        <f t="shared" si="3"/>
        <v/>
      </c>
      <c r="M61" s="401" t="str">
        <f t="shared" si="4"/>
        <v/>
      </c>
    </row>
    <row r="62" spans="2:13" s="36" customFormat="1" x14ac:dyDescent="0.25">
      <c r="B62" s="58"/>
      <c r="C62" s="65"/>
      <c r="D62" s="15"/>
      <c r="E62" s="15"/>
      <c r="F62" s="24"/>
      <c r="G62" s="411"/>
      <c r="H62" s="17" t="str">
        <f t="shared" si="0"/>
        <v/>
      </c>
      <c r="I62" s="18"/>
      <c r="J62" s="62"/>
      <c r="K62" s="62"/>
      <c r="L62" s="420" t="str">
        <f t="shared" si="3"/>
        <v/>
      </c>
      <c r="M62" s="401" t="str">
        <f t="shared" si="4"/>
        <v/>
      </c>
    </row>
    <row r="63" spans="2:13" s="36" customFormat="1" x14ac:dyDescent="0.25">
      <c r="B63" s="58"/>
      <c r="C63" s="65"/>
      <c r="D63" s="15"/>
      <c r="E63" s="15"/>
      <c r="F63" s="24"/>
      <c r="G63" s="411"/>
      <c r="H63" s="17" t="str">
        <f t="shared" si="0"/>
        <v/>
      </c>
      <c r="I63" s="18"/>
      <c r="J63" s="62"/>
      <c r="K63" s="62"/>
      <c r="L63" s="420" t="str">
        <f t="shared" si="3"/>
        <v/>
      </c>
      <c r="M63" s="401" t="str">
        <f t="shared" si="4"/>
        <v/>
      </c>
    </row>
    <row r="64" spans="2:13" s="36" customFormat="1" x14ac:dyDescent="0.25">
      <c r="B64" s="58"/>
      <c r="C64" s="65"/>
      <c r="D64" s="15"/>
      <c r="E64" s="15"/>
      <c r="F64" s="24"/>
      <c r="G64" s="411"/>
      <c r="H64" s="17" t="str">
        <f t="shared" si="0"/>
        <v/>
      </c>
      <c r="I64" s="18"/>
      <c r="J64" s="62"/>
      <c r="K64" s="62"/>
      <c r="L64" s="420" t="str">
        <f t="shared" si="3"/>
        <v/>
      </c>
      <c r="M64" s="401" t="str">
        <f t="shared" si="4"/>
        <v/>
      </c>
    </row>
    <row r="65" spans="2:13" s="36" customFormat="1" x14ac:dyDescent="0.25">
      <c r="B65" s="58"/>
      <c r="C65" s="65"/>
      <c r="D65" s="15"/>
      <c r="E65" s="15"/>
      <c r="F65" s="24"/>
      <c r="G65" s="411"/>
      <c r="H65" s="17" t="str">
        <f t="shared" si="0"/>
        <v/>
      </c>
      <c r="I65" s="18"/>
      <c r="J65" s="62"/>
      <c r="K65" s="62"/>
      <c r="L65" s="420" t="str">
        <f t="shared" si="3"/>
        <v/>
      </c>
      <c r="M65" s="401" t="str">
        <f t="shared" si="4"/>
        <v/>
      </c>
    </row>
    <row r="66" spans="2:13" s="36" customFormat="1" x14ac:dyDescent="0.25">
      <c r="B66" s="58"/>
      <c r="C66" s="65"/>
      <c r="D66" s="15"/>
      <c r="E66" s="15"/>
      <c r="F66" s="24"/>
      <c r="G66" s="411"/>
      <c r="H66" s="17" t="str">
        <f t="shared" si="0"/>
        <v/>
      </c>
      <c r="I66" s="18"/>
      <c r="J66" s="62"/>
      <c r="K66" s="62"/>
      <c r="L66" s="420" t="str">
        <f t="shared" si="3"/>
        <v/>
      </c>
      <c r="M66" s="401" t="str">
        <f t="shared" si="4"/>
        <v/>
      </c>
    </row>
    <row r="67" spans="2:13" s="36" customFormat="1" x14ac:dyDescent="0.25">
      <c r="B67" s="58"/>
      <c r="C67" s="65"/>
      <c r="D67" s="15"/>
      <c r="E67" s="15"/>
      <c r="F67" s="24"/>
      <c r="G67" s="411"/>
      <c r="H67" s="17" t="str">
        <f t="shared" si="0"/>
        <v/>
      </c>
      <c r="I67" s="18"/>
      <c r="J67" s="62"/>
      <c r="K67" s="62"/>
      <c r="L67" s="420" t="str">
        <f t="shared" si="3"/>
        <v/>
      </c>
      <c r="M67" s="401" t="str">
        <f t="shared" si="4"/>
        <v/>
      </c>
    </row>
    <row r="68" spans="2:13" x14ac:dyDescent="0.25">
      <c r="B68" s="58"/>
      <c r="C68" s="65"/>
      <c r="D68" s="15"/>
      <c r="E68" s="15"/>
      <c r="F68" s="24"/>
      <c r="G68" s="411"/>
      <c r="H68" s="17" t="str">
        <f t="shared" si="0"/>
        <v/>
      </c>
      <c r="I68" s="57"/>
      <c r="J68" s="62"/>
      <c r="K68" s="62"/>
      <c r="L68" s="420" t="str">
        <f t="shared" si="3"/>
        <v/>
      </c>
      <c r="M68" s="401" t="str">
        <f t="shared" si="4"/>
        <v/>
      </c>
    </row>
    <row r="69" spans="2:13" x14ac:dyDescent="0.25">
      <c r="B69" s="58"/>
      <c r="C69" s="65"/>
      <c r="D69" s="15"/>
      <c r="E69" s="15"/>
      <c r="F69" s="24"/>
      <c r="G69" s="411"/>
      <c r="H69" s="17" t="str">
        <f t="shared" si="0"/>
        <v/>
      </c>
      <c r="I69" s="57"/>
      <c r="J69" s="62"/>
      <c r="K69" s="62"/>
      <c r="L69" s="420" t="str">
        <f t="shared" si="3"/>
        <v/>
      </c>
      <c r="M69" s="401" t="str">
        <f t="shared" si="4"/>
        <v/>
      </c>
    </row>
    <row r="70" spans="2:13" x14ac:dyDescent="0.25">
      <c r="B70" s="58"/>
      <c r="C70" s="65"/>
      <c r="D70" s="15"/>
      <c r="E70" s="15"/>
      <c r="F70" s="24"/>
      <c r="G70" s="411"/>
      <c r="H70" s="17" t="str">
        <f t="shared" si="0"/>
        <v/>
      </c>
      <c r="I70" s="18"/>
      <c r="J70" s="62"/>
      <c r="K70" s="62"/>
      <c r="L70" s="420" t="str">
        <f t="shared" si="3"/>
        <v/>
      </c>
      <c r="M70" s="401" t="str">
        <f t="shared" si="4"/>
        <v/>
      </c>
    </row>
    <row r="71" spans="2:13" x14ac:dyDescent="0.25">
      <c r="B71" s="58"/>
      <c r="C71" s="65"/>
      <c r="D71" s="15"/>
      <c r="E71" s="15"/>
      <c r="F71" s="24"/>
      <c r="G71" s="411"/>
      <c r="H71" s="17" t="str">
        <f t="shared" si="0"/>
        <v/>
      </c>
      <c r="I71" s="18"/>
      <c r="J71" s="62"/>
      <c r="K71" s="62"/>
      <c r="L71" s="420" t="str">
        <f t="shared" si="3"/>
        <v/>
      </c>
      <c r="M71" s="401" t="str">
        <f t="shared" si="4"/>
        <v/>
      </c>
    </row>
    <row r="72" spans="2:13" x14ac:dyDescent="0.25">
      <c r="B72" s="58"/>
      <c r="C72" s="65"/>
      <c r="D72" s="15"/>
      <c r="E72" s="15"/>
      <c r="F72" s="24"/>
      <c r="G72" s="411"/>
      <c r="H72" s="17" t="str">
        <f t="shared" si="0"/>
        <v/>
      </c>
      <c r="I72" s="18"/>
      <c r="J72" s="62"/>
      <c r="K72" s="62"/>
      <c r="L72" s="420" t="str">
        <f t="shared" si="3"/>
        <v/>
      </c>
      <c r="M72" s="401" t="str">
        <f t="shared" si="4"/>
        <v/>
      </c>
    </row>
    <row r="73" spans="2:13" x14ac:dyDescent="0.25">
      <c r="B73" s="58"/>
      <c r="C73" s="65"/>
      <c r="D73" s="15"/>
      <c r="E73" s="15"/>
      <c r="F73" s="24"/>
      <c r="G73" s="411"/>
      <c r="H73" s="17" t="str">
        <f t="shared" si="0"/>
        <v/>
      </c>
      <c r="I73" s="18"/>
      <c r="J73" s="62"/>
      <c r="K73" s="62"/>
      <c r="L73" s="420" t="str">
        <f t="shared" si="3"/>
        <v/>
      </c>
      <c r="M73" s="401" t="str">
        <f t="shared" si="4"/>
        <v/>
      </c>
    </row>
    <row r="74" spans="2:13" x14ac:dyDescent="0.25">
      <c r="B74" s="56"/>
      <c r="C74" s="65"/>
      <c r="D74" s="15"/>
      <c r="E74" s="15"/>
      <c r="F74" s="15"/>
      <c r="G74" s="411"/>
      <c r="H74" s="17" t="str">
        <f t="shared" si="0"/>
        <v/>
      </c>
      <c r="I74" s="18"/>
      <c r="J74" s="61"/>
      <c r="K74" s="696"/>
      <c r="L74" s="420" t="str">
        <f t="shared" ref="L74" si="5">IF(J74="","",F74*K74)</f>
        <v/>
      </c>
      <c r="M74" s="401" t="str">
        <f t="shared" ref="M74" si="6">IF(J74="","",IF(SUM(H74)=0,"",L74/H74))</f>
        <v/>
      </c>
    </row>
    <row r="75" spans="2:13" s="28" customFormat="1" ht="24.75" customHeight="1" x14ac:dyDescent="0.25">
      <c r="B75" s="144" t="str">
        <f>$B$12</f>
        <v>C13.2</v>
      </c>
      <c r="C75" s="30" t="s">
        <v>791</v>
      </c>
      <c r="D75" s="31"/>
      <c r="E75" s="31"/>
      <c r="F75" s="32"/>
      <c r="G75" s="31"/>
      <c r="H75" s="33">
        <f>SUM(H11:H74)</f>
        <v>0</v>
      </c>
      <c r="I75" s="34"/>
      <c r="J75" s="408"/>
      <c r="K75" s="406"/>
      <c r="L75" s="418">
        <f>SUM(L11:L74)</f>
        <v>83750</v>
      </c>
      <c r="M75" s="407" t="str">
        <f t="shared" ref="M75" si="7">IF(J75="","",IF(SUM(H75)=0,"",L75/H75))</f>
        <v/>
      </c>
    </row>
  </sheetData>
  <mergeCells count="5">
    <mergeCell ref="F3:H3"/>
    <mergeCell ref="B6:G6"/>
    <mergeCell ref="H6:H9"/>
    <mergeCell ref="B7:G7"/>
    <mergeCell ref="B8:G8"/>
  </mergeCells>
  <conditionalFormatting sqref="G11:H75">
    <cfRule type="expression" dxfId="49"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38">
    <tabColor rgb="FFFFFF00"/>
  </sheetPr>
  <dimension ref="A1:N71"/>
  <sheetViews>
    <sheetView view="pageBreakPreview" zoomScale="90" zoomScaleNormal="125" zoomScaleSheetLayoutView="90" zoomScalePageLayoutView="125" workbookViewId="0">
      <pane ySplit="2" topLeftCell="A6"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MAX(H2:H207)</f>
        <v>1190</v>
      </c>
      <c r="I1" s="247">
        <f>MAX(I2:I207)</f>
        <v>0</v>
      </c>
      <c r="J1" s="248"/>
      <c r="K1" s="249"/>
      <c r="L1" s="247">
        <f>MAX(L2:L207)</f>
        <v>2250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C13.3</v>
      </c>
      <c r="I6" s="6"/>
    </row>
    <row r="7" spans="1:14" ht="37.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6.25" customHeight="1" x14ac:dyDescent="0.25">
      <c r="B8" s="1152" t="s">
        <v>1772</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A11" s="5"/>
      <c r="B11" s="58"/>
      <c r="C11" s="65"/>
      <c r="D11" s="15"/>
      <c r="E11" s="15"/>
      <c r="F11" s="15"/>
      <c r="G11" s="411"/>
      <c r="H11" s="17" t="str">
        <f t="shared" ref="H11:H69" si="0">IF(D11="","",F11*G11)</f>
        <v/>
      </c>
      <c r="I11" s="18"/>
      <c r="J11" s="61"/>
      <c r="K11" s="399"/>
      <c r="L11" s="420" t="str">
        <f t="shared" ref="L11" si="1">IF(J11="","",F11*K11)</f>
        <v/>
      </c>
      <c r="M11" s="401" t="str">
        <f t="shared" ref="M11" si="2">IF(J11="","",IF(SUM(H11)=0,"",L11/H11))</f>
        <v/>
      </c>
    </row>
    <row r="12" spans="1:14" ht="13" x14ac:dyDescent="0.25">
      <c r="A12" s="5"/>
      <c r="B12" s="146" t="s">
        <v>316</v>
      </c>
      <c r="C12" s="672" t="s">
        <v>317</v>
      </c>
      <c r="D12" s="15"/>
      <c r="E12" s="15"/>
      <c r="F12" s="15"/>
      <c r="G12" s="411"/>
      <c r="H12" s="17" t="str">
        <f t="shared" si="0"/>
        <v/>
      </c>
      <c r="I12" s="18"/>
      <c r="J12" s="61"/>
      <c r="K12" s="399"/>
      <c r="L12" s="420" t="str">
        <f t="shared" ref="L12:L69" si="3">IF(J12="","",F12*K12)</f>
        <v/>
      </c>
      <c r="M12" s="401" t="str">
        <f t="shared" ref="M12:M69" si="4">IF(J12="","",IF(SUM(H12)=0,"",L12/H12))</f>
        <v/>
      </c>
    </row>
    <row r="13" spans="1:14" x14ac:dyDescent="0.25">
      <c r="A13" s="5"/>
      <c r="B13" s="58"/>
      <c r="C13" s="65"/>
      <c r="D13" s="15"/>
      <c r="E13" s="15"/>
      <c r="F13" s="15"/>
      <c r="G13" s="411"/>
      <c r="H13" s="17" t="str">
        <f t="shared" si="0"/>
        <v/>
      </c>
      <c r="I13" s="18"/>
      <c r="J13" s="61"/>
      <c r="K13" s="399"/>
      <c r="L13" s="420" t="str">
        <f t="shared" si="3"/>
        <v/>
      </c>
      <c r="M13" s="401" t="str">
        <f t="shared" si="4"/>
        <v/>
      </c>
    </row>
    <row r="14" spans="1:14" ht="13" x14ac:dyDescent="0.25">
      <c r="A14" s="5"/>
      <c r="B14" s="146" t="s">
        <v>318</v>
      </c>
      <c r="C14" s="672" t="s">
        <v>322</v>
      </c>
      <c r="D14" s="15"/>
      <c r="E14" s="15"/>
      <c r="F14" s="15"/>
      <c r="G14" s="411"/>
      <c r="H14" s="17" t="str">
        <f t="shared" si="0"/>
        <v/>
      </c>
      <c r="I14" s="18"/>
      <c r="J14" s="61"/>
      <c r="K14" s="399"/>
      <c r="L14" s="420" t="str">
        <f t="shared" si="3"/>
        <v/>
      </c>
      <c r="M14" s="401" t="str">
        <f t="shared" si="4"/>
        <v/>
      </c>
    </row>
    <row r="15" spans="1:14" x14ac:dyDescent="0.25">
      <c r="A15" s="5"/>
      <c r="B15" s="58"/>
      <c r="C15" s="65"/>
      <c r="D15" s="15"/>
      <c r="E15" s="15"/>
      <c r="F15" s="15"/>
      <c r="G15" s="411"/>
      <c r="H15" s="17" t="str">
        <f t="shared" si="0"/>
        <v/>
      </c>
      <c r="I15" s="18"/>
      <c r="J15" s="61"/>
      <c r="K15" s="399"/>
      <c r="L15" s="420" t="str">
        <f t="shared" si="3"/>
        <v/>
      </c>
      <c r="M15" s="401" t="str">
        <f t="shared" si="4"/>
        <v/>
      </c>
    </row>
    <row r="16" spans="1:14" x14ac:dyDescent="0.25">
      <c r="A16" s="5"/>
      <c r="B16" s="58" t="s">
        <v>319</v>
      </c>
      <c r="C16" s="65" t="s">
        <v>1760</v>
      </c>
      <c r="D16" s="15"/>
      <c r="E16" s="15"/>
      <c r="F16" s="24"/>
      <c r="G16" s="411"/>
      <c r="H16" s="17" t="str">
        <f t="shared" si="0"/>
        <v/>
      </c>
      <c r="I16" s="57"/>
      <c r="J16" s="61"/>
      <c r="K16" s="399"/>
      <c r="L16" s="420" t="str">
        <f t="shared" si="3"/>
        <v/>
      </c>
      <c r="M16" s="401" t="str">
        <f t="shared" si="4"/>
        <v/>
      </c>
    </row>
    <row r="17" spans="1:13" x14ac:dyDescent="0.25">
      <c r="A17" s="5"/>
      <c r="B17" s="58"/>
      <c r="C17" s="65"/>
      <c r="D17" s="15"/>
      <c r="E17" s="15"/>
      <c r="F17" s="24"/>
      <c r="G17" s="411"/>
      <c r="H17" s="17" t="str">
        <f t="shared" si="0"/>
        <v/>
      </c>
      <c r="I17" s="57"/>
      <c r="J17" s="61"/>
      <c r="K17" s="399"/>
      <c r="L17" s="420" t="str">
        <f t="shared" si="3"/>
        <v/>
      </c>
      <c r="M17" s="401" t="str">
        <f t="shared" si="4"/>
        <v/>
      </c>
    </row>
    <row r="18" spans="1:13" x14ac:dyDescent="0.25">
      <c r="A18" s="5"/>
      <c r="B18" s="58" t="s">
        <v>39</v>
      </c>
      <c r="C18" s="65" t="s">
        <v>1751</v>
      </c>
      <c r="D18" s="15" t="s">
        <v>7</v>
      </c>
      <c r="E18" s="15"/>
      <c r="F18" s="731">
        <v>1.1000000000000001</v>
      </c>
      <c r="G18" s="411"/>
      <c r="H18" s="17">
        <f t="shared" si="0"/>
        <v>0</v>
      </c>
      <c r="I18" s="57"/>
      <c r="J18" s="61" t="s">
        <v>996</v>
      </c>
      <c r="K18" s="399">
        <f>IF(D18="","",ROUND(12%*G18,1))</f>
        <v>0</v>
      </c>
      <c r="L18" s="420">
        <f t="shared" si="3"/>
        <v>0</v>
      </c>
      <c r="M18" s="401" t="str">
        <f t="shared" si="4"/>
        <v/>
      </c>
    </row>
    <row r="19" spans="1:13" x14ac:dyDescent="0.25">
      <c r="A19" s="5"/>
      <c r="B19" s="58"/>
      <c r="C19" s="65"/>
      <c r="D19" s="15"/>
      <c r="E19" s="15"/>
      <c r="F19" s="24"/>
      <c r="G19" s="411"/>
      <c r="H19" s="17" t="str">
        <f t="shared" si="0"/>
        <v/>
      </c>
      <c r="I19" s="57"/>
      <c r="J19" s="61"/>
      <c r="K19" s="399" t="str">
        <f t="shared" ref="K19" si="5">IF(D19="","",ROUND(Labour_perc_structures*H19,1))</f>
        <v/>
      </c>
      <c r="L19" s="420" t="str">
        <f t="shared" si="3"/>
        <v/>
      </c>
      <c r="M19" s="401" t="str">
        <f t="shared" si="4"/>
        <v/>
      </c>
    </row>
    <row r="20" spans="1:13" x14ac:dyDescent="0.25">
      <c r="A20" s="5"/>
      <c r="B20" s="58" t="s">
        <v>41</v>
      </c>
      <c r="C20" s="65" t="s">
        <v>1752</v>
      </c>
      <c r="D20" s="15" t="s">
        <v>7</v>
      </c>
      <c r="E20" s="15"/>
      <c r="F20" s="731">
        <v>10</v>
      </c>
      <c r="G20" s="411"/>
      <c r="H20" s="17">
        <f t="shared" si="0"/>
        <v>0</v>
      </c>
      <c r="I20" s="57"/>
      <c r="J20" s="61" t="s">
        <v>996</v>
      </c>
      <c r="K20" s="399">
        <f>IF(D20="","",ROUND(12%*G20,1))</f>
        <v>0</v>
      </c>
      <c r="L20" s="420">
        <f t="shared" si="3"/>
        <v>0</v>
      </c>
      <c r="M20" s="401" t="str">
        <f t="shared" si="4"/>
        <v/>
      </c>
    </row>
    <row r="21" spans="1:13" x14ac:dyDescent="0.25">
      <c r="A21" s="5"/>
      <c r="B21" s="58"/>
      <c r="C21" s="65"/>
      <c r="D21" s="15"/>
      <c r="E21" s="15"/>
      <c r="F21" s="24"/>
      <c r="G21" s="411"/>
      <c r="H21" s="17" t="str">
        <f t="shared" si="0"/>
        <v/>
      </c>
      <c r="I21" s="57"/>
      <c r="J21" s="61"/>
      <c r="K21" s="399"/>
      <c r="L21" s="420" t="str">
        <f t="shared" si="3"/>
        <v/>
      </c>
      <c r="M21" s="401" t="str">
        <f t="shared" si="4"/>
        <v/>
      </c>
    </row>
    <row r="22" spans="1:13" x14ac:dyDescent="0.25">
      <c r="A22" s="5"/>
      <c r="B22" s="58" t="s">
        <v>320</v>
      </c>
      <c r="C22" s="65" t="s">
        <v>1757</v>
      </c>
      <c r="D22" s="15"/>
      <c r="E22" s="15"/>
      <c r="F22" s="24"/>
      <c r="G22" s="411"/>
      <c r="H22" s="17" t="str">
        <f t="shared" si="0"/>
        <v/>
      </c>
      <c r="I22" s="63"/>
      <c r="J22" s="61"/>
      <c r="K22" s="399"/>
      <c r="L22" s="420" t="str">
        <f t="shared" si="3"/>
        <v/>
      </c>
      <c r="M22" s="401" t="str">
        <f t="shared" si="4"/>
        <v/>
      </c>
    </row>
    <row r="23" spans="1:13" x14ac:dyDescent="0.25">
      <c r="A23" s="5"/>
      <c r="B23" s="58"/>
      <c r="C23" s="65"/>
      <c r="D23" s="15"/>
      <c r="E23" s="15"/>
      <c r="F23" s="24"/>
      <c r="G23" s="411"/>
      <c r="H23" s="17" t="str">
        <f t="shared" si="0"/>
        <v/>
      </c>
      <c r="I23" s="63"/>
      <c r="J23" s="61"/>
      <c r="K23" s="399"/>
      <c r="L23" s="420" t="str">
        <f t="shared" si="3"/>
        <v/>
      </c>
      <c r="M23" s="401" t="str">
        <f t="shared" si="4"/>
        <v/>
      </c>
    </row>
    <row r="24" spans="1:13" x14ac:dyDescent="0.25">
      <c r="A24" s="5"/>
      <c r="B24" s="58" t="s">
        <v>39</v>
      </c>
      <c r="C24" s="65" t="s">
        <v>1751</v>
      </c>
      <c r="D24" s="15" t="s">
        <v>7</v>
      </c>
      <c r="E24" s="15"/>
      <c r="F24" s="731">
        <v>0.2</v>
      </c>
      <c r="G24" s="411"/>
      <c r="H24" s="17">
        <f t="shared" si="0"/>
        <v>0</v>
      </c>
      <c r="I24" s="63"/>
      <c r="J24" s="61" t="s">
        <v>996</v>
      </c>
      <c r="K24" s="399">
        <f>IF(D24="","",ROUND(12%*G24,1))</f>
        <v>0</v>
      </c>
      <c r="L24" s="420">
        <f t="shared" si="3"/>
        <v>0</v>
      </c>
      <c r="M24" s="401" t="str">
        <f t="shared" si="4"/>
        <v/>
      </c>
    </row>
    <row r="25" spans="1:13" x14ac:dyDescent="0.25">
      <c r="A25" s="5"/>
      <c r="B25" s="58"/>
      <c r="C25" s="65"/>
      <c r="D25" s="15"/>
      <c r="E25" s="15"/>
      <c r="F25" s="24"/>
      <c r="G25" s="411"/>
      <c r="H25" s="17" t="str">
        <f t="shared" si="0"/>
        <v/>
      </c>
      <c r="I25" s="63"/>
      <c r="J25" s="61"/>
      <c r="K25" s="399"/>
      <c r="L25" s="420" t="str">
        <f t="shared" si="3"/>
        <v/>
      </c>
      <c r="M25" s="401" t="str">
        <f t="shared" si="4"/>
        <v/>
      </c>
    </row>
    <row r="26" spans="1:13" x14ac:dyDescent="0.25">
      <c r="A26" s="5"/>
      <c r="B26" s="58" t="s">
        <v>41</v>
      </c>
      <c r="C26" s="65" t="s">
        <v>1752</v>
      </c>
      <c r="D26" s="15" t="s">
        <v>7</v>
      </c>
      <c r="E26" s="15"/>
      <c r="F26" s="731">
        <v>3</v>
      </c>
      <c r="G26" s="411"/>
      <c r="H26" s="17">
        <f t="shared" si="0"/>
        <v>0</v>
      </c>
      <c r="I26" s="63"/>
      <c r="J26" s="61" t="s">
        <v>996</v>
      </c>
      <c r="K26" s="399">
        <f>IF(D26="","",ROUND(12%*G26,1))</f>
        <v>0</v>
      </c>
      <c r="L26" s="420">
        <f t="shared" si="3"/>
        <v>0</v>
      </c>
      <c r="M26" s="401" t="str">
        <f t="shared" si="4"/>
        <v/>
      </c>
    </row>
    <row r="27" spans="1:13" x14ac:dyDescent="0.25">
      <c r="A27" s="5"/>
      <c r="B27" s="58"/>
      <c r="C27" s="65"/>
      <c r="D27" s="15"/>
      <c r="E27" s="15"/>
      <c r="F27" s="24"/>
      <c r="G27" s="411"/>
      <c r="H27" s="17" t="str">
        <f t="shared" si="0"/>
        <v/>
      </c>
      <c r="I27" s="63"/>
      <c r="J27" s="61"/>
      <c r="K27" s="399"/>
      <c r="L27" s="420" t="str">
        <f t="shared" si="3"/>
        <v/>
      </c>
      <c r="M27" s="401" t="str">
        <f t="shared" si="4"/>
        <v/>
      </c>
    </row>
    <row r="28" spans="1:13" x14ac:dyDescent="0.25">
      <c r="A28" s="5"/>
      <c r="B28" s="58" t="s">
        <v>1745</v>
      </c>
      <c r="C28" s="65" t="s">
        <v>1755</v>
      </c>
      <c r="D28" s="15"/>
      <c r="E28" s="15"/>
      <c r="F28" s="24"/>
      <c r="G28" s="411"/>
      <c r="H28" s="17" t="str">
        <f t="shared" si="0"/>
        <v/>
      </c>
      <c r="I28" s="63"/>
      <c r="J28" s="61"/>
      <c r="K28" s="399"/>
      <c r="L28" s="420" t="str">
        <f t="shared" si="3"/>
        <v/>
      </c>
      <c r="M28" s="401" t="str">
        <f t="shared" si="4"/>
        <v/>
      </c>
    </row>
    <row r="29" spans="1:13" x14ac:dyDescent="0.25">
      <c r="A29" s="5"/>
      <c r="B29" s="58"/>
      <c r="C29" s="65"/>
      <c r="D29" s="15"/>
      <c r="E29" s="15"/>
      <c r="F29" s="24"/>
      <c r="G29" s="411"/>
      <c r="H29" s="17" t="str">
        <f t="shared" si="0"/>
        <v/>
      </c>
      <c r="I29" s="63"/>
      <c r="J29" s="61"/>
      <c r="K29" s="399"/>
      <c r="L29" s="420" t="str">
        <f t="shared" si="3"/>
        <v/>
      </c>
      <c r="M29" s="401" t="str">
        <f t="shared" si="4"/>
        <v/>
      </c>
    </row>
    <row r="30" spans="1:13" x14ac:dyDescent="0.25">
      <c r="A30" s="5"/>
      <c r="B30" s="58" t="s">
        <v>39</v>
      </c>
      <c r="C30" s="65" t="s">
        <v>1751</v>
      </c>
      <c r="D30" s="15" t="s">
        <v>7</v>
      </c>
      <c r="E30" s="15"/>
      <c r="F30" s="731">
        <v>0.1</v>
      </c>
      <c r="G30" s="411"/>
      <c r="H30" s="17">
        <f t="shared" si="0"/>
        <v>0</v>
      </c>
      <c r="I30" s="63"/>
      <c r="J30" s="61" t="s">
        <v>996</v>
      </c>
      <c r="K30" s="399">
        <f>IF(D30="","",ROUND(12%*G30,1))</f>
        <v>0</v>
      </c>
      <c r="L30" s="420">
        <f t="shared" si="3"/>
        <v>0</v>
      </c>
      <c r="M30" s="401" t="str">
        <f t="shared" si="4"/>
        <v/>
      </c>
    </row>
    <row r="31" spans="1:13" x14ac:dyDescent="0.25">
      <c r="A31" s="5"/>
      <c r="B31" s="58"/>
      <c r="C31" s="65"/>
      <c r="D31" s="15"/>
      <c r="E31" s="15"/>
      <c r="F31" s="24"/>
      <c r="G31" s="411"/>
      <c r="H31" s="17" t="str">
        <f t="shared" si="0"/>
        <v/>
      </c>
      <c r="I31" s="63"/>
      <c r="J31" s="61"/>
      <c r="K31" s="399"/>
      <c r="L31" s="420" t="str">
        <f t="shared" si="3"/>
        <v/>
      </c>
      <c r="M31" s="401" t="str">
        <f t="shared" si="4"/>
        <v/>
      </c>
    </row>
    <row r="32" spans="1:13" x14ac:dyDescent="0.25">
      <c r="A32" s="5"/>
      <c r="B32" s="58" t="s">
        <v>41</v>
      </c>
      <c r="C32" s="65" t="s">
        <v>1752</v>
      </c>
      <c r="D32" s="15" t="s">
        <v>7</v>
      </c>
      <c r="E32" s="15"/>
      <c r="F32" s="731">
        <v>0.4</v>
      </c>
      <c r="G32" s="411"/>
      <c r="H32" s="17">
        <f t="shared" si="0"/>
        <v>0</v>
      </c>
      <c r="I32" s="63"/>
      <c r="J32" s="61" t="s">
        <v>996</v>
      </c>
      <c r="K32" s="399">
        <f>IF(D32="","",ROUND(12%*G32,1))</f>
        <v>0</v>
      </c>
      <c r="L32" s="420">
        <f t="shared" si="3"/>
        <v>0</v>
      </c>
      <c r="M32" s="401" t="str">
        <f t="shared" si="4"/>
        <v/>
      </c>
    </row>
    <row r="33" spans="1:13" x14ac:dyDescent="0.25">
      <c r="A33" s="5"/>
      <c r="B33" s="58"/>
      <c r="C33" s="65"/>
      <c r="D33" s="15"/>
      <c r="E33" s="15"/>
      <c r="F33" s="24"/>
      <c r="G33" s="411"/>
      <c r="H33" s="17" t="str">
        <f t="shared" si="0"/>
        <v/>
      </c>
      <c r="I33" s="63"/>
      <c r="J33" s="61"/>
      <c r="K33" s="399"/>
      <c r="L33" s="420" t="str">
        <f t="shared" si="3"/>
        <v/>
      </c>
      <c r="M33" s="401" t="str">
        <f t="shared" si="4"/>
        <v/>
      </c>
    </row>
    <row r="34" spans="1:13" x14ac:dyDescent="0.25">
      <c r="A34" s="5"/>
      <c r="B34" s="58" t="s">
        <v>1746</v>
      </c>
      <c r="C34" s="65" t="s">
        <v>1761</v>
      </c>
      <c r="D34" s="15"/>
      <c r="E34" s="15"/>
      <c r="F34" s="24"/>
      <c r="G34" s="411"/>
      <c r="H34" s="17" t="str">
        <f t="shared" si="0"/>
        <v/>
      </c>
      <c r="I34" s="63"/>
      <c r="J34" s="61"/>
      <c r="K34" s="399"/>
      <c r="L34" s="420" t="str">
        <f t="shared" si="3"/>
        <v/>
      </c>
      <c r="M34" s="401" t="str">
        <f t="shared" si="4"/>
        <v/>
      </c>
    </row>
    <row r="35" spans="1:13" x14ac:dyDescent="0.25">
      <c r="A35" s="5"/>
      <c r="B35" s="58"/>
      <c r="C35" s="65"/>
      <c r="D35" s="15"/>
      <c r="E35" s="15"/>
      <c r="F35" s="24"/>
      <c r="G35" s="411"/>
      <c r="H35" s="17" t="str">
        <f t="shared" si="0"/>
        <v/>
      </c>
      <c r="I35" s="63"/>
      <c r="J35" s="61"/>
      <c r="K35" s="606"/>
      <c r="L35" s="420" t="str">
        <f t="shared" si="3"/>
        <v/>
      </c>
      <c r="M35" s="401" t="str">
        <f t="shared" si="4"/>
        <v/>
      </c>
    </row>
    <row r="36" spans="1:13" x14ac:dyDescent="0.25">
      <c r="A36" s="5"/>
      <c r="B36" s="58" t="s">
        <v>39</v>
      </c>
      <c r="C36" s="65" t="s">
        <v>1751</v>
      </c>
      <c r="D36" s="15" t="s">
        <v>7</v>
      </c>
      <c r="E36" s="15"/>
      <c r="F36" s="731">
        <v>0.5</v>
      </c>
      <c r="G36" s="411"/>
      <c r="H36" s="17">
        <f t="shared" si="0"/>
        <v>0</v>
      </c>
      <c r="I36" s="63"/>
      <c r="J36" s="61" t="s">
        <v>996</v>
      </c>
      <c r="K36" s="399">
        <f>IF(D36="","",ROUND(12%*G36,1))</f>
        <v>0</v>
      </c>
      <c r="L36" s="420">
        <f t="shared" si="3"/>
        <v>0</v>
      </c>
      <c r="M36" s="401" t="str">
        <f t="shared" si="4"/>
        <v/>
      </c>
    </row>
    <row r="37" spans="1:13" x14ac:dyDescent="0.25">
      <c r="A37" s="5"/>
      <c r="B37" s="58"/>
      <c r="C37" s="65"/>
      <c r="D37" s="15"/>
      <c r="E37" s="15"/>
      <c r="F37" s="24"/>
      <c r="G37" s="411"/>
      <c r="H37" s="17" t="str">
        <f t="shared" si="0"/>
        <v/>
      </c>
      <c r="I37" s="63"/>
      <c r="J37" s="61"/>
      <c r="K37" s="399"/>
      <c r="L37" s="420" t="str">
        <f t="shared" si="3"/>
        <v/>
      </c>
      <c r="M37" s="401" t="str">
        <f t="shared" si="4"/>
        <v/>
      </c>
    </row>
    <row r="38" spans="1:13" x14ac:dyDescent="0.25">
      <c r="A38" s="5"/>
      <c r="B38" s="58" t="s">
        <v>41</v>
      </c>
      <c r="C38" s="65" t="s">
        <v>1752</v>
      </c>
      <c r="D38" s="15" t="s">
        <v>7</v>
      </c>
      <c r="E38" s="15"/>
      <c r="F38" s="731">
        <v>1</v>
      </c>
      <c r="G38" s="411"/>
      <c r="H38" s="17">
        <f t="shared" si="0"/>
        <v>0</v>
      </c>
      <c r="I38" s="63"/>
      <c r="J38" s="61" t="s">
        <v>996</v>
      </c>
      <c r="K38" s="399">
        <f>IF(D38="","",ROUND(12%*G38,1))</f>
        <v>0</v>
      </c>
      <c r="L38" s="420">
        <f t="shared" si="3"/>
        <v>0</v>
      </c>
      <c r="M38" s="401" t="str">
        <f t="shared" si="4"/>
        <v/>
      </c>
    </row>
    <row r="39" spans="1:13" x14ac:dyDescent="0.25">
      <c r="A39" s="5"/>
      <c r="B39" s="58"/>
      <c r="C39" s="65"/>
      <c r="D39" s="15"/>
      <c r="E39" s="15"/>
      <c r="F39" s="24"/>
      <c r="G39" s="411"/>
      <c r="H39" s="17" t="str">
        <f t="shared" si="0"/>
        <v/>
      </c>
      <c r="I39" s="63"/>
      <c r="J39" s="61"/>
      <c r="K39" s="399"/>
      <c r="L39" s="420" t="str">
        <f t="shared" si="3"/>
        <v/>
      </c>
      <c r="M39" s="401" t="str">
        <f t="shared" si="4"/>
        <v/>
      </c>
    </row>
    <row r="40" spans="1:13" x14ac:dyDescent="0.25">
      <c r="A40" s="5"/>
      <c r="B40" s="58" t="s">
        <v>52</v>
      </c>
      <c r="C40" s="65" t="s">
        <v>1753</v>
      </c>
      <c r="D40" s="15" t="s">
        <v>24</v>
      </c>
      <c r="E40" s="15"/>
      <c r="F40" s="24">
        <v>500</v>
      </c>
      <c r="G40" s="411"/>
      <c r="H40" s="17">
        <f t="shared" si="0"/>
        <v>0</v>
      </c>
      <c r="I40" s="63"/>
      <c r="J40" s="61" t="s">
        <v>996</v>
      </c>
      <c r="K40" s="606">
        <f>_Mesh</f>
        <v>4.5</v>
      </c>
      <c r="L40" s="420">
        <f t="shared" si="3"/>
        <v>2250</v>
      </c>
      <c r="M40" s="401" t="str">
        <f t="shared" si="4"/>
        <v/>
      </c>
    </row>
    <row r="41" spans="1:13" x14ac:dyDescent="0.25">
      <c r="A41" s="5"/>
      <c r="B41" s="58"/>
      <c r="C41" s="65"/>
      <c r="D41" s="15"/>
      <c r="E41" s="15"/>
      <c r="F41" s="24"/>
      <c r="G41" s="411"/>
      <c r="H41" s="17" t="str">
        <f t="shared" si="0"/>
        <v/>
      </c>
      <c r="I41" s="63"/>
      <c r="J41" s="61"/>
      <c r="K41" s="606"/>
      <c r="L41" s="420" t="str">
        <f t="shared" si="3"/>
        <v/>
      </c>
      <c r="M41" s="401" t="str">
        <f t="shared" si="4"/>
        <v/>
      </c>
    </row>
    <row r="42" spans="1:13" ht="25" x14ac:dyDescent="0.25">
      <c r="A42" s="5"/>
      <c r="B42" s="58" t="s">
        <v>1748</v>
      </c>
      <c r="C42" s="668" t="s">
        <v>1769</v>
      </c>
      <c r="D42" s="15"/>
      <c r="E42" s="15"/>
      <c r="F42" s="731"/>
      <c r="G42" s="411"/>
      <c r="H42" s="17" t="str">
        <f t="shared" si="0"/>
        <v/>
      </c>
      <c r="I42" s="63"/>
      <c r="J42" s="61"/>
      <c r="K42" s="399"/>
      <c r="L42" s="420" t="str">
        <f t="shared" si="3"/>
        <v/>
      </c>
      <c r="M42" s="401" t="str">
        <f t="shared" si="4"/>
        <v/>
      </c>
    </row>
    <row r="43" spans="1:13" x14ac:dyDescent="0.25">
      <c r="A43" s="5"/>
      <c r="B43" s="58"/>
      <c r="C43" s="65"/>
      <c r="D43" s="15"/>
      <c r="E43" s="15"/>
      <c r="F43" s="24"/>
      <c r="G43" s="411"/>
      <c r="H43" s="17" t="str">
        <f t="shared" si="0"/>
        <v/>
      </c>
      <c r="I43" s="63"/>
      <c r="J43" s="61"/>
      <c r="K43" s="399"/>
      <c r="L43" s="420" t="str">
        <f t="shared" si="3"/>
        <v/>
      </c>
      <c r="M43" s="401" t="str">
        <f t="shared" si="4"/>
        <v/>
      </c>
    </row>
    <row r="44" spans="1:13" x14ac:dyDescent="0.25">
      <c r="A44" s="5"/>
      <c r="B44" s="58" t="s">
        <v>41</v>
      </c>
      <c r="C44" s="65" t="s">
        <v>1752</v>
      </c>
      <c r="D44" s="15" t="s">
        <v>7</v>
      </c>
      <c r="E44" s="15"/>
      <c r="F44" s="731">
        <v>0.22</v>
      </c>
      <c r="G44" s="411"/>
      <c r="H44" s="17">
        <f t="shared" si="0"/>
        <v>0</v>
      </c>
      <c r="I44" s="63"/>
      <c r="J44" s="61" t="s">
        <v>996</v>
      </c>
      <c r="K44" s="399">
        <f>IF(D44="","",ROUND(12%*G44,1))</f>
        <v>0</v>
      </c>
      <c r="L44" s="420">
        <f t="shared" si="3"/>
        <v>0</v>
      </c>
      <c r="M44" s="401" t="str">
        <f t="shared" si="4"/>
        <v/>
      </c>
    </row>
    <row r="45" spans="1:13" x14ac:dyDescent="0.25">
      <c r="A45" s="5"/>
      <c r="B45" s="58"/>
      <c r="C45" s="65"/>
      <c r="D45" s="15"/>
      <c r="E45" s="15"/>
      <c r="F45" s="24"/>
      <c r="G45" s="411"/>
      <c r="H45" s="17" t="str">
        <f t="shared" si="0"/>
        <v/>
      </c>
      <c r="I45" s="63"/>
      <c r="J45" s="61"/>
      <c r="K45" s="399"/>
      <c r="L45" s="420" t="str">
        <f t="shared" si="3"/>
        <v/>
      </c>
      <c r="M45" s="401" t="str">
        <f t="shared" si="4"/>
        <v/>
      </c>
    </row>
    <row r="46" spans="1:13" ht="25" x14ac:dyDescent="0.25">
      <c r="A46" s="5"/>
      <c r="B46" s="58" t="s">
        <v>1749</v>
      </c>
      <c r="C46" s="668" t="s">
        <v>1770</v>
      </c>
      <c r="D46" s="15"/>
      <c r="E46" s="15"/>
      <c r="F46" s="731"/>
      <c r="G46" s="411"/>
      <c r="H46" s="17" t="str">
        <f t="shared" si="0"/>
        <v/>
      </c>
      <c r="I46" s="63"/>
      <c r="J46" s="61"/>
      <c r="K46" s="399"/>
      <c r="L46" s="420" t="str">
        <f t="shared" si="3"/>
        <v/>
      </c>
      <c r="M46" s="401" t="str">
        <f t="shared" si="4"/>
        <v/>
      </c>
    </row>
    <row r="47" spans="1:13" x14ac:dyDescent="0.25">
      <c r="A47" s="5"/>
      <c r="B47" s="58"/>
      <c r="C47" s="65"/>
      <c r="D47" s="15"/>
      <c r="E47" s="15"/>
      <c r="F47" s="24"/>
      <c r="G47" s="411"/>
      <c r="H47" s="17" t="str">
        <f t="shared" si="0"/>
        <v/>
      </c>
      <c r="I47" s="63"/>
      <c r="J47" s="61"/>
      <c r="K47" s="399"/>
      <c r="L47" s="420" t="str">
        <f t="shared" si="3"/>
        <v/>
      </c>
      <c r="M47" s="401" t="str">
        <f t="shared" si="4"/>
        <v/>
      </c>
    </row>
    <row r="48" spans="1:13" x14ac:dyDescent="0.25">
      <c r="A48" s="5"/>
      <c r="B48" s="58" t="s">
        <v>41</v>
      </c>
      <c r="C48" s="65" t="s">
        <v>1752</v>
      </c>
      <c r="D48" s="15" t="s">
        <v>7</v>
      </c>
      <c r="E48" s="15"/>
      <c r="F48" s="731">
        <v>0.12</v>
      </c>
      <c r="G48" s="411">
        <f>G18</f>
        <v>0</v>
      </c>
      <c r="H48" s="17">
        <f t="shared" si="0"/>
        <v>0</v>
      </c>
      <c r="I48" s="63"/>
      <c r="J48" s="61" t="s">
        <v>996</v>
      </c>
      <c r="K48" s="399">
        <f>IF(D48="","",ROUND(12%*G48,1))</f>
        <v>0</v>
      </c>
      <c r="L48" s="420">
        <f t="shared" si="3"/>
        <v>0</v>
      </c>
      <c r="M48" s="401" t="str">
        <f t="shared" si="4"/>
        <v/>
      </c>
    </row>
    <row r="49" spans="1:13" x14ac:dyDescent="0.25">
      <c r="A49" s="5"/>
      <c r="B49" s="58"/>
      <c r="C49" s="65"/>
      <c r="D49" s="15"/>
      <c r="E49" s="15"/>
      <c r="F49" s="24"/>
      <c r="G49" s="411"/>
      <c r="H49" s="17" t="str">
        <f t="shared" si="0"/>
        <v/>
      </c>
      <c r="I49" s="63"/>
      <c r="J49" s="61"/>
      <c r="K49" s="399"/>
      <c r="L49" s="420" t="str">
        <f t="shared" si="3"/>
        <v/>
      </c>
      <c r="M49" s="401" t="str">
        <f t="shared" si="4"/>
        <v/>
      </c>
    </row>
    <row r="50" spans="1:13" ht="52" x14ac:dyDescent="0.25">
      <c r="A50" s="5"/>
      <c r="B50" s="146" t="s">
        <v>321</v>
      </c>
      <c r="C50" s="672" t="s">
        <v>2149</v>
      </c>
      <c r="D50" s="15" t="s">
        <v>7</v>
      </c>
      <c r="E50" s="15"/>
      <c r="F50" s="731">
        <f>$F$44+$F$48</f>
        <v>0.33999999999999997</v>
      </c>
      <c r="G50" s="411">
        <v>3500</v>
      </c>
      <c r="H50" s="17">
        <f t="shared" si="0"/>
        <v>1190</v>
      </c>
      <c r="I50" s="57"/>
      <c r="J50" s="62"/>
      <c r="K50" s="399"/>
      <c r="L50" s="420" t="str">
        <f t="shared" si="3"/>
        <v/>
      </c>
      <c r="M50" s="401" t="str">
        <f t="shared" si="4"/>
        <v/>
      </c>
    </row>
    <row r="51" spans="1:13" x14ac:dyDescent="0.25">
      <c r="A51" s="5"/>
      <c r="B51" s="58"/>
      <c r="C51" s="65"/>
      <c r="D51" s="15"/>
      <c r="E51" s="15"/>
      <c r="F51" s="24"/>
      <c r="G51" s="411"/>
      <c r="H51" s="17" t="str">
        <f t="shared" si="0"/>
        <v/>
      </c>
      <c r="I51" s="18"/>
      <c r="J51" s="62"/>
      <c r="K51" s="399"/>
      <c r="L51" s="420" t="str">
        <f t="shared" si="3"/>
        <v/>
      </c>
      <c r="M51" s="401" t="str">
        <f t="shared" si="4"/>
        <v/>
      </c>
    </row>
    <row r="52" spans="1:13" s="36" customFormat="1" x14ac:dyDescent="0.25">
      <c r="A52" s="63"/>
      <c r="B52" s="58"/>
      <c r="C52" s="65"/>
      <c r="D52" s="15"/>
      <c r="E52" s="15"/>
      <c r="F52" s="24"/>
      <c r="G52" s="411"/>
      <c r="H52" s="17" t="str">
        <f t="shared" si="0"/>
        <v/>
      </c>
      <c r="I52" s="18"/>
      <c r="J52" s="62"/>
      <c r="K52" s="399"/>
      <c r="L52" s="420" t="str">
        <f t="shared" si="3"/>
        <v/>
      </c>
      <c r="M52" s="401" t="str">
        <f t="shared" si="4"/>
        <v/>
      </c>
    </row>
    <row r="53" spans="1:13" x14ac:dyDescent="0.25">
      <c r="A53" s="5"/>
      <c r="B53" s="58"/>
      <c r="C53" s="65"/>
      <c r="D53" s="15"/>
      <c r="E53" s="15"/>
      <c r="F53" s="24"/>
      <c r="G53" s="411"/>
      <c r="H53" s="17" t="str">
        <f t="shared" si="0"/>
        <v/>
      </c>
      <c r="I53" s="57"/>
      <c r="J53" s="62"/>
      <c r="K53" s="399"/>
      <c r="L53" s="420" t="str">
        <f t="shared" si="3"/>
        <v/>
      </c>
      <c r="M53" s="401" t="str">
        <f t="shared" si="4"/>
        <v/>
      </c>
    </row>
    <row r="54" spans="1:13" x14ac:dyDescent="0.25">
      <c r="A54" s="5"/>
      <c r="B54" s="58"/>
      <c r="C54" s="615"/>
      <c r="D54" s="587"/>
      <c r="E54" s="587"/>
      <c r="F54" s="24"/>
      <c r="G54" s="411"/>
      <c r="H54" s="17" t="str">
        <f t="shared" si="0"/>
        <v/>
      </c>
      <c r="I54" s="57"/>
      <c r="J54" s="62"/>
      <c r="K54" s="399"/>
      <c r="L54" s="420" t="str">
        <f t="shared" si="3"/>
        <v/>
      </c>
      <c r="M54" s="401" t="str">
        <f t="shared" si="4"/>
        <v/>
      </c>
    </row>
    <row r="55" spans="1:13" x14ac:dyDescent="0.25">
      <c r="A55" s="5"/>
      <c r="B55" s="58"/>
      <c r="C55" s="386"/>
      <c r="D55" s="587"/>
      <c r="E55" s="587"/>
      <c r="F55" s="24"/>
      <c r="G55" s="411"/>
      <c r="H55" s="17" t="str">
        <f t="shared" si="0"/>
        <v/>
      </c>
      <c r="I55" s="18"/>
      <c r="J55" s="62"/>
      <c r="K55" s="399"/>
      <c r="L55" s="420" t="str">
        <f t="shared" si="3"/>
        <v/>
      </c>
      <c r="M55" s="401" t="str">
        <f t="shared" si="4"/>
        <v/>
      </c>
    </row>
    <row r="56" spans="1:13" x14ac:dyDescent="0.25">
      <c r="A56" s="5"/>
      <c r="B56" s="58"/>
      <c r="C56" s="386"/>
      <c r="D56" s="587"/>
      <c r="E56" s="587"/>
      <c r="F56" s="24"/>
      <c r="G56" s="411"/>
      <c r="H56" s="17" t="str">
        <f t="shared" si="0"/>
        <v/>
      </c>
      <c r="I56" s="18"/>
      <c r="J56" s="62"/>
      <c r="K56" s="399"/>
      <c r="L56" s="420" t="str">
        <f t="shared" si="3"/>
        <v/>
      </c>
      <c r="M56" s="401" t="str">
        <f t="shared" si="4"/>
        <v/>
      </c>
    </row>
    <row r="57" spans="1:13" x14ac:dyDescent="0.25">
      <c r="A57" s="5"/>
      <c r="B57" s="58"/>
      <c r="C57" s="386"/>
      <c r="D57" s="587"/>
      <c r="E57" s="587"/>
      <c r="F57" s="24"/>
      <c r="G57" s="411"/>
      <c r="H57" s="17" t="str">
        <f t="shared" si="0"/>
        <v/>
      </c>
      <c r="I57" s="18"/>
      <c r="J57" s="62"/>
      <c r="K57" s="399"/>
      <c r="L57" s="420" t="str">
        <f t="shared" si="3"/>
        <v/>
      </c>
      <c r="M57" s="401" t="str">
        <f t="shared" si="4"/>
        <v/>
      </c>
    </row>
    <row r="58" spans="1:13" x14ac:dyDescent="0.25">
      <c r="A58" s="5"/>
      <c r="B58" s="58"/>
      <c r="C58" s="387"/>
      <c r="D58" s="587"/>
      <c r="E58" s="587"/>
      <c r="F58" s="731"/>
      <c r="G58" s="411"/>
      <c r="H58" s="17" t="str">
        <f t="shared" si="0"/>
        <v/>
      </c>
      <c r="I58" s="18"/>
      <c r="J58" s="62"/>
      <c r="K58" s="399"/>
      <c r="L58" s="420" t="str">
        <f t="shared" si="3"/>
        <v/>
      </c>
      <c r="M58" s="401" t="str">
        <f t="shared" si="4"/>
        <v/>
      </c>
    </row>
    <row r="59" spans="1:13" x14ac:dyDescent="0.25">
      <c r="A59" s="5"/>
      <c r="B59" s="58"/>
      <c r="C59" s="386"/>
      <c r="D59" s="587"/>
      <c r="E59" s="587"/>
      <c r="F59" s="15"/>
      <c r="G59" s="411"/>
      <c r="H59" s="17" t="str">
        <f t="shared" si="0"/>
        <v/>
      </c>
      <c r="I59" s="18"/>
      <c r="J59" s="62"/>
      <c r="K59" s="399"/>
      <c r="L59" s="420" t="str">
        <f t="shared" si="3"/>
        <v/>
      </c>
      <c r="M59" s="401" t="str">
        <f t="shared" si="4"/>
        <v/>
      </c>
    </row>
    <row r="60" spans="1:13" x14ac:dyDescent="0.25">
      <c r="A60" s="5"/>
      <c r="B60" s="58"/>
      <c r="C60" s="387"/>
      <c r="D60" s="587"/>
      <c r="E60" s="587"/>
      <c r="F60" s="732"/>
      <c r="G60" s="411"/>
      <c r="H60" s="17" t="str">
        <f t="shared" si="0"/>
        <v/>
      </c>
      <c r="I60" s="18"/>
      <c r="J60" s="62"/>
      <c r="K60" s="399"/>
      <c r="L60" s="420" t="str">
        <f t="shared" si="3"/>
        <v/>
      </c>
      <c r="M60" s="401" t="str">
        <f t="shared" si="4"/>
        <v/>
      </c>
    </row>
    <row r="61" spans="1:13" x14ac:dyDescent="0.25">
      <c r="A61" s="5"/>
      <c r="B61" s="58"/>
      <c r="C61" s="65"/>
      <c r="D61" s="15"/>
      <c r="E61" s="15"/>
      <c r="F61" s="15"/>
      <c r="G61" s="411"/>
      <c r="H61" s="17" t="str">
        <f t="shared" si="0"/>
        <v/>
      </c>
      <c r="I61" s="18"/>
      <c r="J61" s="62"/>
      <c r="K61" s="62"/>
      <c r="L61" s="420" t="str">
        <f t="shared" si="3"/>
        <v/>
      </c>
      <c r="M61" s="401" t="str">
        <f t="shared" si="4"/>
        <v/>
      </c>
    </row>
    <row r="62" spans="1:13" x14ac:dyDescent="0.25">
      <c r="A62" s="5"/>
      <c r="B62" s="58"/>
      <c r="C62" s="65"/>
      <c r="D62" s="15"/>
      <c r="E62" s="15"/>
      <c r="F62" s="15"/>
      <c r="G62" s="411"/>
      <c r="H62" s="17" t="str">
        <f t="shared" si="0"/>
        <v/>
      </c>
      <c r="I62" s="18"/>
      <c r="J62" s="61"/>
      <c r="K62" s="62"/>
      <c r="L62" s="420" t="str">
        <f t="shared" si="3"/>
        <v/>
      </c>
      <c r="M62" s="401" t="str">
        <f t="shared" si="4"/>
        <v/>
      </c>
    </row>
    <row r="63" spans="1:13" x14ac:dyDescent="0.25">
      <c r="A63" s="5"/>
      <c r="B63" s="58"/>
      <c r="C63" s="65"/>
      <c r="D63" s="15"/>
      <c r="E63" s="15"/>
      <c r="F63" s="15"/>
      <c r="G63" s="411"/>
      <c r="H63" s="17" t="str">
        <f t="shared" si="0"/>
        <v/>
      </c>
      <c r="I63" s="18"/>
      <c r="J63" s="62"/>
      <c r="K63" s="62"/>
      <c r="L63" s="420" t="str">
        <f t="shared" si="3"/>
        <v/>
      </c>
      <c r="M63" s="401" t="str">
        <f t="shared" si="4"/>
        <v/>
      </c>
    </row>
    <row r="64" spans="1:13" x14ac:dyDescent="0.25">
      <c r="A64" s="5"/>
      <c r="B64" s="58"/>
      <c r="C64" s="65"/>
      <c r="D64" s="15"/>
      <c r="E64" s="15"/>
      <c r="F64" s="15"/>
      <c r="G64" s="411"/>
      <c r="H64" s="17" t="str">
        <f t="shared" si="0"/>
        <v/>
      </c>
      <c r="I64" s="18"/>
      <c r="J64" s="62"/>
      <c r="K64" s="62"/>
      <c r="L64" s="420" t="str">
        <f t="shared" si="3"/>
        <v/>
      </c>
      <c r="M64" s="401" t="str">
        <f t="shared" si="4"/>
        <v/>
      </c>
    </row>
    <row r="65" spans="1:13" x14ac:dyDescent="0.25">
      <c r="A65" s="5"/>
      <c r="B65" s="58"/>
      <c r="C65" s="65"/>
      <c r="D65" s="15"/>
      <c r="E65" s="15"/>
      <c r="F65" s="15"/>
      <c r="G65" s="411"/>
      <c r="H65" s="17" t="str">
        <f t="shared" si="0"/>
        <v/>
      </c>
      <c r="I65" s="18"/>
      <c r="J65" s="62"/>
      <c r="K65" s="62"/>
      <c r="L65" s="420" t="str">
        <f t="shared" si="3"/>
        <v/>
      </c>
      <c r="M65" s="401" t="str">
        <f t="shared" si="4"/>
        <v/>
      </c>
    </row>
    <row r="66" spans="1:13" x14ac:dyDescent="0.25">
      <c r="A66" s="5"/>
      <c r="B66" s="58"/>
      <c r="C66" s="65"/>
      <c r="D66" s="15"/>
      <c r="E66" s="15"/>
      <c r="F66" s="15"/>
      <c r="G66" s="411"/>
      <c r="H66" s="17" t="str">
        <f t="shared" si="0"/>
        <v/>
      </c>
      <c r="I66" s="18"/>
      <c r="J66" s="62"/>
      <c r="K66" s="62"/>
      <c r="L66" s="420" t="str">
        <f t="shared" si="3"/>
        <v/>
      </c>
      <c r="M66" s="401" t="str">
        <f t="shared" si="4"/>
        <v/>
      </c>
    </row>
    <row r="67" spans="1:13" x14ac:dyDescent="0.25">
      <c r="A67" s="5"/>
      <c r="B67" s="58"/>
      <c r="C67" s="65"/>
      <c r="D67" s="15"/>
      <c r="E67" s="15"/>
      <c r="F67" s="15"/>
      <c r="G67" s="411"/>
      <c r="H67" s="17" t="str">
        <f t="shared" si="0"/>
        <v/>
      </c>
      <c r="I67" s="18"/>
      <c r="J67" s="62"/>
      <c r="K67" s="62"/>
      <c r="L67" s="420" t="str">
        <f t="shared" si="3"/>
        <v/>
      </c>
      <c r="M67" s="401" t="str">
        <f t="shared" si="4"/>
        <v/>
      </c>
    </row>
    <row r="68" spans="1:13" x14ac:dyDescent="0.25">
      <c r="A68" s="5"/>
      <c r="B68" s="58"/>
      <c r="C68" s="65"/>
      <c r="D68" s="15"/>
      <c r="E68" s="15"/>
      <c r="F68" s="15"/>
      <c r="G68" s="411"/>
      <c r="H68" s="17" t="str">
        <f t="shared" si="0"/>
        <v/>
      </c>
      <c r="I68" s="18"/>
      <c r="J68" s="62"/>
      <c r="K68" s="62"/>
      <c r="L68" s="420" t="str">
        <f t="shared" si="3"/>
        <v/>
      </c>
      <c r="M68" s="401" t="str">
        <f t="shared" si="4"/>
        <v/>
      </c>
    </row>
    <row r="69" spans="1:13" x14ac:dyDescent="0.25">
      <c r="A69" s="5"/>
      <c r="B69" s="58"/>
      <c r="C69" s="65"/>
      <c r="D69" s="15"/>
      <c r="E69" s="15"/>
      <c r="F69" s="15"/>
      <c r="G69" s="411"/>
      <c r="H69" s="17" t="str">
        <f t="shared" si="0"/>
        <v/>
      </c>
      <c r="I69" s="18"/>
      <c r="J69" s="62"/>
      <c r="K69" s="62"/>
      <c r="L69" s="420" t="str">
        <f t="shared" si="3"/>
        <v/>
      </c>
      <c r="M69" s="401" t="str">
        <f t="shared" si="4"/>
        <v/>
      </c>
    </row>
    <row r="70" spans="1:13" x14ac:dyDescent="0.25">
      <c r="A70" s="5"/>
      <c r="B70" s="58"/>
      <c r="C70" s="65"/>
      <c r="D70" s="15"/>
      <c r="E70" s="15"/>
      <c r="F70" s="15"/>
      <c r="G70" s="411"/>
      <c r="H70" s="17" t="str">
        <f t="shared" ref="H70" si="6">IF(D70="","",F70*G70)</f>
        <v/>
      </c>
      <c r="I70" s="18"/>
      <c r="J70" s="61"/>
      <c r="K70" s="399"/>
      <c r="L70" s="420" t="str">
        <f t="shared" ref="L70" si="7">IF(J70="","",F70*K70)</f>
        <v/>
      </c>
      <c r="M70" s="401" t="str">
        <f t="shared" ref="M70" si="8">IF(J70="","",IF(SUM(H70)=0,"",L70/H70))</f>
        <v/>
      </c>
    </row>
    <row r="71" spans="1:13" s="28" customFormat="1" ht="24.75" customHeight="1" x14ac:dyDescent="0.25">
      <c r="B71" s="144" t="str">
        <f>$B$12</f>
        <v>C13.3</v>
      </c>
      <c r="C71" s="30" t="s">
        <v>791</v>
      </c>
      <c r="D71" s="31"/>
      <c r="E71" s="31"/>
      <c r="F71" s="32"/>
      <c r="G71" s="31"/>
      <c r="H71" s="33">
        <f>SUM(H11:H70)</f>
        <v>1190</v>
      </c>
      <c r="I71" s="34"/>
      <c r="J71" s="408"/>
      <c r="K71" s="601"/>
      <c r="L71" s="406">
        <f>SUM(L10:L70)</f>
        <v>2250</v>
      </c>
      <c r="M71" s="607" t="str">
        <f t="shared" ref="M71" si="9">IF(J71="","",IF(SUM(H71)=0,"",L71/H71))</f>
        <v/>
      </c>
    </row>
  </sheetData>
  <mergeCells count="5">
    <mergeCell ref="F3:H3"/>
    <mergeCell ref="B6:G6"/>
    <mergeCell ref="H6:H9"/>
    <mergeCell ref="B7:G7"/>
    <mergeCell ref="B8:G8"/>
  </mergeCells>
  <conditionalFormatting sqref="G11:H71">
    <cfRule type="expression" dxfId="48"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39">
    <tabColor rgb="FFFFFF00"/>
  </sheetPr>
  <dimension ref="A1:N190"/>
  <sheetViews>
    <sheetView view="pageBreakPreview" zoomScale="90" zoomScaleNormal="125" zoomScaleSheetLayoutView="90" zoomScalePageLayoutView="125" workbookViewId="0">
      <pane ySplit="2" topLeftCell="A3"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MAX(H2:H215)</f>
        <v>0</v>
      </c>
      <c r="I1" s="247">
        <f>MAX(I2:I215)</f>
        <v>0</v>
      </c>
      <c r="J1" s="248"/>
      <c r="K1" s="249"/>
      <c r="L1" s="247">
        <f>MAX(L2:L215)</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C13.4</v>
      </c>
      <c r="I6" s="6"/>
    </row>
    <row r="7" spans="1:14" ht="42"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7" customHeight="1" x14ac:dyDescent="0.25">
      <c r="B8" s="1152" t="s">
        <v>1772</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69" si="0">IF(D11="","",F11*G11)</f>
        <v/>
      </c>
      <c r="I11" s="18"/>
      <c r="J11" s="733"/>
      <c r="K11" s="399" t="str">
        <f t="shared" ref="K11:K23" si="1">IF(D11="","",ROUND(Labour_perc_structures*H11,1))</f>
        <v/>
      </c>
      <c r="L11" s="420" t="str">
        <f t="shared" ref="L11:L18" si="2">IF(J11="","",F11*K11)</f>
        <v/>
      </c>
      <c r="M11" s="401" t="str">
        <f t="shared" ref="M11:M18" si="3">IF(J11="","",IF(SUM(H11)=0,"",L11/H11))</f>
        <v/>
      </c>
    </row>
    <row r="12" spans="1:14" ht="13" x14ac:dyDescent="0.25">
      <c r="B12" s="146" t="s">
        <v>323</v>
      </c>
      <c r="C12" s="672" t="s">
        <v>324</v>
      </c>
      <c r="D12" s="15"/>
      <c r="E12" s="15"/>
      <c r="F12" s="15"/>
      <c r="G12" s="411"/>
      <c r="H12" s="17" t="str">
        <f t="shared" si="0"/>
        <v/>
      </c>
      <c r="I12" s="18"/>
      <c r="J12" s="62"/>
      <c r="K12" s="399" t="str">
        <f t="shared" si="1"/>
        <v/>
      </c>
      <c r="L12" s="420" t="str">
        <f t="shared" si="2"/>
        <v/>
      </c>
      <c r="M12" s="401" t="str">
        <f t="shared" si="3"/>
        <v/>
      </c>
    </row>
    <row r="13" spans="1:14" x14ac:dyDescent="0.25">
      <c r="B13" s="58"/>
      <c r="C13" s="65"/>
      <c r="D13" s="15"/>
      <c r="E13" s="15"/>
      <c r="F13" s="15"/>
      <c r="G13" s="411"/>
      <c r="H13" s="17" t="str">
        <f t="shared" si="0"/>
        <v/>
      </c>
      <c r="I13" s="18"/>
      <c r="J13" s="62"/>
      <c r="K13" s="399" t="str">
        <f t="shared" si="1"/>
        <v/>
      </c>
      <c r="L13" s="420" t="str">
        <f t="shared" si="2"/>
        <v/>
      </c>
      <c r="M13" s="401" t="str">
        <f t="shared" si="3"/>
        <v/>
      </c>
    </row>
    <row r="14" spans="1:14" ht="13" x14ac:dyDescent="0.25">
      <c r="B14" s="146" t="s">
        <v>328</v>
      </c>
      <c r="C14" s="672" t="s">
        <v>1848</v>
      </c>
      <c r="D14" s="15"/>
      <c r="E14" s="15"/>
      <c r="F14" s="15"/>
      <c r="G14" s="411"/>
      <c r="H14" s="17" t="str">
        <f t="shared" si="0"/>
        <v/>
      </c>
      <c r="I14" s="18"/>
      <c r="J14" s="62"/>
      <c r="K14" s="399" t="str">
        <f t="shared" si="1"/>
        <v/>
      </c>
      <c r="L14" s="420" t="str">
        <f t="shared" si="2"/>
        <v/>
      </c>
      <c r="M14" s="401" t="str">
        <f t="shared" si="3"/>
        <v/>
      </c>
    </row>
    <row r="15" spans="1:14" x14ac:dyDescent="0.25">
      <c r="B15" s="58"/>
      <c r="C15" s="65"/>
      <c r="D15" s="15"/>
      <c r="E15" s="15"/>
      <c r="F15" s="15"/>
      <c r="G15" s="411"/>
      <c r="H15" s="17" t="str">
        <f t="shared" si="0"/>
        <v/>
      </c>
      <c r="I15" s="18"/>
      <c r="J15" s="62"/>
      <c r="K15" s="399" t="str">
        <f t="shared" si="1"/>
        <v/>
      </c>
      <c r="L15" s="420" t="str">
        <f t="shared" si="2"/>
        <v/>
      </c>
      <c r="M15" s="401" t="str">
        <f t="shared" si="3"/>
        <v/>
      </c>
    </row>
    <row r="16" spans="1:14" x14ac:dyDescent="0.25">
      <c r="B16" s="58" t="s">
        <v>329</v>
      </c>
      <c r="C16" s="65" t="s">
        <v>325</v>
      </c>
      <c r="D16" s="15"/>
      <c r="E16" s="15"/>
      <c r="F16" s="24"/>
      <c r="G16" s="411"/>
      <c r="H16" s="17" t="str">
        <f t="shared" si="0"/>
        <v/>
      </c>
      <c r="I16" s="57"/>
      <c r="J16" s="62"/>
      <c r="K16" s="399" t="str">
        <f t="shared" si="1"/>
        <v/>
      </c>
      <c r="L16" s="420" t="str">
        <f t="shared" si="2"/>
        <v/>
      </c>
      <c r="M16" s="401" t="str">
        <f t="shared" si="3"/>
        <v/>
      </c>
    </row>
    <row r="17" spans="2:13" x14ac:dyDescent="0.25">
      <c r="B17" s="58"/>
      <c r="C17" s="65"/>
      <c r="D17" s="15"/>
      <c r="E17" s="15"/>
      <c r="F17" s="24"/>
      <c r="G17" s="411"/>
      <c r="H17" s="17" t="str">
        <f t="shared" si="0"/>
        <v/>
      </c>
      <c r="I17" s="57"/>
      <c r="J17" s="62"/>
      <c r="K17" s="399" t="str">
        <f t="shared" si="1"/>
        <v/>
      </c>
      <c r="L17" s="420" t="str">
        <f t="shared" si="2"/>
        <v/>
      </c>
      <c r="M17" s="401" t="str">
        <f t="shared" si="3"/>
        <v/>
      </c>
    </row>
    <row r="18" spans="2:13" ht="14.5" x14ac:dyDescent="0.25">
      <c r="B18" s="58" t="s">
        <v>39</v>
      </c>
      <c r="C18" s="668" t="s">
        <v>2037</v>
      </c>
      <c r="D18" s="15" t="s">
        <v>23</v>
      </c>
      <c r="E18" s="15"/>
      <c r="F18" s="693">
        <v>150</v>
      </c>
      <c r="G18" s="411"/>
      <c r="H18" s="17">
        <f t="shared" si="0"/>
        <v>0</v>
      </c>
      <c r="I18" s="18"/>
      <c r="J18" s="62" t="s">
        <v>996</v>
      </c>
      <c r="K18" s="399">
        <f>IF(J18="","",ROUND(Labour_perc_structures*G18,1))</f>
        <v>0</v>
      </c>
      <c r="L18" s="420">
        <f t="shared" si="2"/>
        <v>0</v>
      </c>
      <c r="M18" s="401" t="str">
        <f t="shared" si="3"/>
        <v/>
      </c>
    </row>
    <row r="19" spans="2:13" x14ac:dyDescent="0.25">
      <c r="B19" s="58"/>
      <c r="C19" s="668"/>
      <c r="D19" s="15"/>
      <c r="E19" s="15"/>
      <c r="F19" s="693"/>
      <c r="G19" s="411"/>
      <c r="H19" s="17" t="str">
        <f t="shared" si="0"/>
        <v/>
      </c>
      <c r="I19" s="18"/>
      <c r="J19" s="62"/>
      <c r="K19" s="399" t="str">
        <f t="shared" si="1"/>
        <v/>
      </c>
      <c r="L19" s="420" t="str">
        <f t="shared" ref="L19:L69" si="4">IF(J19="","",F19*K19)</f>
        <v/>
      </c>
      <c r="M19" s="401" t="str">
        <f t="shared" ref="M19:M70" si="5">IF(J19="","",IF(SUM(H19)=0,"",L19/H19))</f>
        <v/>
      </c>
    </row>
    <row r="20" spans="2:13" ht="25" x14ac:dyDescent="0.25">
      <c r="B20" s="58" t="s">
        <v>41</v>
      </c>
      <c r="C20" s="668" t="s">
        <v>2038</v>
      </c>
      <c r="D20" s="15" t="s">
        <v>23</v>
      </c>
      <c r="E20" s="15"/>
      <c r="F20" s="693">
        <v>20</v>
      </c>
      <c r="G20" s="411"/>
      <c r="H20" s="17">
        <f t="shared" si="0"/>
        <v>0</v>
      </c>
      <c r="I20" s="18"/>
      <c r="J20" s="62" t="s">
        <v>996</v>
      </c>
      <c r="K20" s="399">
        <f>IF(J20="","",ROUND(Labour_perc_structures*G20,1))</f>
        <v>0</v>
      </c>
      <c r="L20" s="420">
        <f t="shared" si="4"/>
        <v>0</v>
      </c>
      <c r="M20" s="401" t="str">
        <f t="shared" si="5"/>
        <v/>
      </c>
    </row>
    <row r="21" spans="2:13" x14ac:dyDescent="0.25">
      <c r="B21" s="58"/>
      <c r="C21" s="668"/>
      <c r="D21" s="15"/>
      <c r="E21" s="15"/>
      <c r="F21" s="693"/>
      <c r="G21" s="411"/>
      <c r="H21" s="17" t="str">
        <f t="shared" si="0"/>
        <v/>
      </c>
      <c r="I21" s="18"/>
      <c r="J21" s="62"/>
      <c r="K21" s="399" t="str">
        <f t="shared" si="1"/>
        <v/>
      </c>
      <c r="L21" s="420" t="str">
        <f t="shared" si="4"/>
        <v/>
      </c>
      <c r="M21" s="401" t="str">
        <f t="shared" si="5"/>
        <v/>
      </c>
    </row>
    <row r="22" spans="2:13" ht="25" x14ac:dyDescent="0.25">
      <c r="B22" s="58" t="s">
        <v>52</v>
      </c>
      <c r="C22" s="668" t="s">
        <v>2039</v>
      </c>
      <c r="D22" s="15" t="s">
        <v>23</v>
      </c>
      <c r="E22" s="15"/>
      <c r="F22" s="693">
        <v>50</v>
      </c>
      <c r="G22" s="411"/>
      <c r="H22" s="17">
        <f t="shared" si="0"/>
        <v>0</v>
      </c>
      <c r="I22" s="18"/>
      <c r="J22" s="62" t="s">
        <v>996</v>
      </c>
      <c r="K22" s="399">
        <f>IF(J22="","",ROUND(Labour_perc_structures*G22,1))</f>
        <v>0</v>
      </c>
      <c r="L22" s="420">
        <f t="shared" si="4"/>
        <v>0</v>
      </c>
      <c r="M22" s="401" t="str">
        <f t="shared" si="5"/>
        <v/>
      </c>
    </row>
    <row r="23" spans="2:13" x14ac:dyDescent="0.25">
      <c r="B23" s="58"/>
      <c r="C23" s="668"/>
      <c r="D23" s="15"/>
      <c r="E23" s="15"/>
      <c r="F23" s="693"/>
      <c r="G23" s="411"/>
      <c r="H23" s="17" t="str">
        <f t="shared" si="0"/>
        <v/>
      </c>
      <c r="I23" s="18"/>
      <c r="J23" s="62"/>
      <c r="K23" s="399" t="str">
        <f t="shared" si="1"/>
        <v/>
      </c>
      <c r="L23" s="420" t="str">
        <f t="shared" si="4"/>
        <v/>
      </c>
      <c r="M23" s="401" t="str">
        <f t="shared" si="5"/>
        <v/>
      </c>
    </row>
    <row r="24" spans="2:13" ht="14.5" x14ac:dyDescent="0.25">
      <c r="B24" s="58" t="s">
        <v>43</v>
      </c>
      <c r="C24" s="668" t="s">
        <v>2040</v>
      </c>
      <c r="D24" s="15" t="s">
        <v>23</v>
      </c>
      <c r="E24" s="15"/>
      <c r="F24" s="693">
        <v>15</v>
      </c>
      <c r="G24" s="411"/>
      <c r="H24" s="17">
        <f t="shared" si="0"/>
        <v>0</v>
      </c>
      <c r="I24" s="18"/>
      <c r="J24" s="62" t="s">
        <v>996</v>
      </c>
      <c r="K24" s="399">
        <f>IF(J24="","",ROUND(Labour_perc_structures*G24,1))</f>
        <v>0</v>
      </c>
      <c r="L24" s="420">
        <f t="shared" si="4"/>
        <v>0</v>
      </c>
      <c r="M24" s="401" t="str">
        <f t="shared" si="5"/>
        <v/>
      </c>
    </row>
    <row r="25" spans="2:13" x14ac:dyDescent="0.25">
      <c r="B25" s="58"/>
      <c r="C25" s="667"/>
      <c r="D25" s="15"/>
      <c r="E25" s="15"/>
      <c r="F25" s="693"/>
      <c r="G25" s="411"/>
      <c r="H25" s="17" t="str">
        <f t="shared" si="0"/>
        <v/>
      </c>
      <c r="I25" s="18"/>
      <c r="J25" s="62"/>
      <c r="K25" s="399"/>
      <c r="L25" s="420" t="str">
        <f t="shared" si="4"/>
        <v/>
      </c>
      <c r="M25" s="401" t="str">
        <f t="shared" si="5"/>
        <v/>
      </c>
    </row>
    <row r="26" spans="2:13" ht="39" x14ac:dyDescent="0.25">
      <c r="B26" s="146" t="s">
        <v>332</v>
      </c>
      <c r="C26" s="672" t="s">
        <v>327</v>
      </c>
      <c r="D26" s="15"/>
      <c r="E26" s="15"/>
      <c r="F26" s="15"/>
      <c r="G26" s="411"/>
      <c r="H26" s="17" t="str">
        <f t="shared" si="0"/>
        <v/>
      </c>
      <c r="I26" s="18"/>
      <c r="J26" s="62"/>
      <c r="K26" s="399"/>
      <c r="L26" s="420" t="str">
        <f t="shared" si="4"/>
        <v/>
      </c>
      <c r="M26" s="401" t="str">
        <f t="shared" si="5"/>
        <v/>
      </c>
    </row>
    <row r="27" spans="2:13" x14ac:dyDescent="0.25">
      <c r="B27" s="58"/>
      <c r="C27" s="65"/>
      <c r="D27" s="15"/>
      <c r="E27" s="15"/>
      <c r="F27" s="15"/>
      <c r="G27" s="411"/>
      <c r="H27" s="17" t="str">
        <f t="shared" si="0"/>
        <v/>
      </c>
      <c r="I27" s="18"/>
      <c r="J27" s="62"/>
      <c r="K27" s="399"/>
      <c r="L27" s="420" t="str">
        <f t="shared" si="4"/>
        <v/>
      </c>
      <c r="M27" s="401" t="str">
        <f t="shared" si="5"/>
        <v/>
      </c>
    </row>
    <row r="28" spans="2:13" ht="14.5" x14ac:dyDescent="0.25">
      <c r="B28" s="58" t="s">
        <v>333</v>
      </c>
      <c r="C28" s="65" t="s">
        <v>1724</v>
      </c>
      <c r="D28" s="15" t="s">
        <v>23</v>
      </c>
      <c r="E28" s="15"/>
      <c r="F28" s="15">
        <v>250</v>
      </c>
      <c r="G28" s="411"/>
      <c r="H28" s="17">
        <f t="shared" si="0"/>
        <v>0</v>
      </c>
      <c r="I28" s="18"/>
      <c r="J28" s="62" t="s">
        <v>1721</v>
      </c>
      <c r="K28" s="402">
        <f>IF(D28="","",ROUND(Labour_perc_structures*G28,1))</f>
        <v>0</v>
      </c>
      <c r="L28" s="420">
        <f t="shared" si="4"/>
        <v>0</v>
      </c>
      <c r="M28" s="401" t="str">
        <f t="shared" si="5"/>
        <v/>
      </c>
    </row>
    <row r="29" spans="2:13" x14ac:dyDescent="0.25">
      <c r="B29" s="58"/>
      <c r="C29" s="667"/>
      <c r="D29" s="15"/>
      <c r="E29" s="15"/>
      <c r="F29" s="693"/>
      <c r="G29" s="411"/>
      <c r="H29" s="17" t="str">
        <f t="shared" si="0"/>
        <v/>
      </c>
      <c r="I29" s="18"/>
      <c r="J29" s="62"/>
      <c r="K29" s="399"/>
      <c r="L29" s="420" t="str">
        <f t="shared" si="4"/>
        <v/>
      </c>
      <c r="M29" s="401" t="str">
        <f t="shared" si="5"/>
        <v/>
      </c>
    </row>
    <row r="30" spans="2:13" ht="26" x14ac:dyDescent="0.25">
      <c r="B30" s="146" t="s">
        <v>2036</v>
      </c>
      <c r="C30" s="672" t="s">
        <v>188</v>
      </c>
      <c r="D30" s="15"/>
      <c r="E30" s="15"/>
      <c r="F30" s="24"/>
      <c r="G30" s="411"/>
      <c r="H30" s="17" t="str">
        <f t="shared" si="0"/>
        <v/>
      </c>
      <c r="I30" s="18"/>
      <c r="J30" s="62"/>
      <c r="K30" s="399"/>
      <c r="L30" s="420" t="str">
        <f t="shared" si="4"/>
        <v/>
      </c>
      <c r="M30" s="401" t="str">
        <f t="shared" si="5"/>
        <v/>
      </c>
    </row>
    <row r="31" spans="2:13" x14ac:dyDescent="0.25">
      <c r="B31" s="58"/>
      <c r="C31" s="65"/>
      <c r="D31" s="15"/>
      <c r="E31" s="15"/>
      <c r="F31" s="693"/>
      <c r="G31" s="411"/>
      <c r="H31" s="17" t="str">
        <f t="shared" si="0"/>
        <v/>
      </c>
      <c r="I31" s="18"/>
      <c r="J31" s="62"/>
      <c r="K31" s="399"/>
      <c r="L31" s="420" t="str">
        <f t="shared" si="4"/>
        <v/>
      </c>
      <c r="M31" s="401" t="str">
        <f t="shared" si="5"/>
        <v/>
      </c>
    </row>
    <row r="32" spans="2:13" ht="14.5" x14ac:dyDescent="0.25">
      <c r="B32" s="58" t="s">
        <v>52</v>
      </c>
      <c r="C32" s="786" t="s">
        <v>190</v>
      </c>
      <c r="D32" s="15" t="s">
        <v>194</v>
      </c>
      <c r="E32" s="15"/>
      <c r="F32" s="24">
        <v>9200</v>
      </c>
      <c r="G32" s="411"/>
      <c r="H32" s="17">
        <f t="shared" si="0"/>
        <v>0</v>
      </c>
      <c r="I32" s="18"/>
      <c r="J32" s="62" t="s">
        <v>1721</v>
      </c>
      <c r="K32" s="399">
        <f>IF(D32="","",ROUND(Labour_perc_structures*G32,1))</f>
        <v>0</v>
      </c>
      <c r="L32" s="420">
        <f t="shared" si="4"/>
        <v>0</v>
      </c>
      <c r="M32" s="401" t="str">
        <f t="shared" si="5"/>
        <v/>
      </c>
    </row>
    <row r="33" spans="2:13" x14ac:dyDescent="0.25">
      <c r="B33" s="58"/>
      <c r="C33" s="667"/>
      <c r="D33" s="15"/>
      <c r="E33" s="15"/>
      <c r="F33" s="693"/>
      <c r="G33" s="411"/>
      <c r="H33" s="17" t="str">
        <f t="shared" si="0"/>
        <v/>
      </c>
      <c r="I33" s="18"/>
      <c r="J33" s="62"/>
      <c r="K33" s="399"/>
      <c r="L33" s="420" t="str">
        <f t="shared" si="4"/>
        <v/>
      </c>
      <c r="M33" s="401" t="str">
        <f t="shared" si="5"/>
        <v/>
      </c>
    </row>
    <row r="34" spans="2:13" x14ac:dyDescent="0.25">
      <c r="B34" s="58"/>
      <c r="C34" s="668"/>
      <c r="D34" s="15"/>
      <c r="E34" s="15"/>
      <c r="F34" s="694"/>
      <c r="G34" s="411"/>
      <c r="H34" s="17" t="str">
        <f t="shared" si="0"/>
        <v/>
      </c>
      <c r="I34" s="18"/>
      <c r="J34" s="62"/>
      <c r="K34" s="399"/>
      <c r="L34" s="420" t="str">
        <f t="shared" si="4"/>
        <v/>
      </c>
      <c r="M34" s="401" t="str">
        <f t="shared" si="5"/>
        <v/>
      </c>
    </row>
    <row r="35" spans="2:13" x14ac:dyDescent="0.25">
      <c r="B35" s="58"/>
      <c r="C35" s="65"/>
      <c r="D35" s="15"/>
      <c r="E35" s="15"/>
      <c r="F35" s="24"/>
      <c r="G35" s="411"/>
      <c r="H35" s="17" t="str">
        <f t="shared" si="0"/>
        <v/>
      </c>
      <c r="I35" s="18"/>
      <c r="J35" s="62"/>
      <c r="K35" s="402"/>
      <c r="L35" s="420" t="str">
        <f t="shared" si="4"/>
        <v/>
      </c>
      <c r="M35" s="401" t="str">
        <f t="shared" si="5"/>
        <v/>
      </c>
    </row>
    <row r="36" spans="2:13" x14ac:dyDescent="0.25">
      <c r="B36" s="58"/>
      <c r="C36" s="65"/>
      <c r="D36" s="15"/>
      <c r="E36" s="15"/>
      <c r="F36" s="24"/>
      <c r="G36" s="411"/>
      <c r="H36" s="17" t="str">
        <f t="shared" si="0"/>
        <v/>
      </c>
      <c r="I36" s="63"/>
      <c r="J36" s="62"/>
      <c r="K36" s="399"/>
      <c r="L36" s="420" t="str">
        <f t="shared" si="4"/>
        <v/>
      </c>
      <c r="M36" s="401" t="str">
        <f t="shared" si="5"/>
        <v/>
      </c>
    </row>
    <row r="37" spans="2:13" x14ac:dyDescent="0.25">
      <c r="B37" s="58"/>
      <c r="C37" s="784"/>
      <c r="D37" s="15"/>
      <c r="E37" s="15"/>
      <c r="F37" s="24"/>
      <c r="G37" s="411"/>
      <c r="H37" s="17" t="str">
        <f t="shared" si="0"/>
        <v/>
      </c>
      <c r="I37" s="63"/>
      <c r="J37" s="62"/>
      <c r="K37" s="399"/>
      <c r="L37" s="420" t="str">
        <f t="shared" si="4"/>
        <v/>
      </c>
      <c r="M37" s="401" t="str">
        <f t="shared" si="5"/>
        <v/>
      </c>
    </row>
    <row r="38" spans="2:13" x14ac:dyDescent="0.25">
      <c r="B38" s="58"/>
      <c r="C38" s="65"/>
      <c r="D38" s="15"/>
      <c r="E38" s="15"/>
      <c r="F38" s="24"/>
      <c r="G38" s="411"/>
      <c r="H38" s="17" t="str">
        <f t="shared" si="0"/>
        <v/>
      </c>
      <c r="I38" s="63"/>
      <c r="J38" s="62"/>
      <c r="K38" s="399"/>
      <c r="L38" s="420" t="str">
        <f t="shared" si="4"/>
        <v/>
      </c>
      <c r="M38" s="401" t="str">
        <f t="shared" si="5"/>
        <v/>
      </c>
    </row>
    <row r="39" spans="2:13" x14ac:dyDescent="0.25">
      <c r="B39" s="58"/>
      <c r="C39" s="65"/>
      <c r="D39" s="15"/>
      <c r="E39" s="15"/>
      <c r="F39" s="24"/>
      <c r="G39" s="411"/>
      <c r="H39" s="17" t="str">
        <f t="shared" si="0"/>
        <v/>
      </c>
      <c r="I39" s="63"/>
      <c r="J39" s="62"/>
      <c r="K39" s="399"/>
      <c r="L39" s="420" t="str">
        <f t="shared" si="4"/>
        <v/>
      </c>
      <c r="M39" s="401" t="str">
        <f t="shared" si="5"/>
        <v/>
      </c>
    </row>
    <row r="40" spans="2:13" x14ac:dyDescent="0.25">
      <c r="B40" s="58"/>
      <c r="C40" s="65"/>
      <c r="D40" s="15"/>
      <c r="E40" s="15"/>
      <c r="F40" s="24"/>
      <c r="G40" s="411"/>
      <c r="H40" s="17" t="str">
        <f t="shared" si="0"/>
        <v/>
      </c>
      <c r="I40" s="63"/>
      <c r="J40" s="62"/>
      <c r="K40" s="399"/>
      <c r="L40" s="420" t="str">
        <f t="shared" si="4"/>
        <v/>
      </c>
      <c r="M40" s="401" t="str">
        <f t="shared" si="5"/>
        <v/>
      </c>
    </row>
    <row r="41" spans="2:13" x14ac:dyDescent="0.25">
      <c r="B41" s="58"/>
      <c r="C41" s="65"/>
      <c r="D41" s="15"/>
      <c r="E41" s="15"/>
      <c r="F41" s="24"/>
      <c r="G41" s="411"/>
      <c r="H41" s="17" t="str">
        <f t="shared" si="0"/>
        <v/>
      </c>
      <c r="I41" s="63"/>
      <c r="J41" s="62"/>
      <c r="K41" s="399"/>
      <c r="L41" s="420" t="str">
        <f t="shared" si="4"/>
        <v/>
      </c>
      <c r="M41" s="401" t="str">
        <f t="shared" si="5"/>
        <v/>
      </c>
    </row>
    <row r="42" spans="2:13" x14ac:dyDescent="0.25">
      <c r="B42" s="58"/>
      <c r="C42" s="65"/>
      <c r="D42" s="15"/>
      <c r="E42" s="15"/>
      <c r="F42" s="24"/>
      <c r="G42" s="411"/>
      <c r="H42" s="17" t="str">
        <f t="shared" si="0"/>
        <v/>
      </c>
      <c r="I42" s="57"/>
      <c r="J42" s="62"/>
      <c r="K42" s="399"/>
      <c r="L42" s="420" t="str">
        <f t="shared" si="4"/>
        <v/>
      </c>
      <c r="M42" s="401" t="str">
        <f t="shared" si="5"/>
        <v/>
      </c>
    </row>
    <row r="43" spans="2:13" x14ac:dyDescent="0.25">
      <c r="B43" s="58"/>
      <c r="C43" s="65"/>
      <c r="D43" s="15"/>
      <c r="E43" s="15"/>
      <c r="F43" s="24"/>
      <c r="G43" s="411"/>
      <c r="H43" s="17" t="str">
        <f t="shared" si="0"/>
        <v/>
      </c>
      <c r="I43" s="18"/>
      <c r="J43" s="62"/>
      <c r="K43" s="399"/>
      <c r="L43" s="420" t="str">
        <f t="shared" si="4"/>
        <v/>
      </c>
      <c r="M43" s="401" t="str">
        <f t="shared" si="5"/>
        <v/>
      </c>
    </row>
    <row r="44" spans="2:13" s="36" customFormat="1" x14ac:dyDescent="0.25">
      <c r="B44" s="58"/>
      <c r="C44" s="65"/>
      <c r="D44" s="15"/>
      <c r="E44" s="15"/>
      <c r="F44" s="24"/>
      <c r="G44" s="411"/>
      <c r="H44" s="17" t="str">
        <f t="shared" si="0"/>
        <v/>
      </c>
      <c r="I44" s="18"/>
      <c r="J44" s="62"/>
      <c r="K44" s="399"/>
      <c r="L44" s="420" t="str">
        <f t="shared" si="4"/>
        <v/>
      </c>
      <c r="M44" s="401" t="str">
        <f t="shared" si="5"/>
        <v/>
      </c>
    </row>
    <row r="45" spans="2:13" x14ac:dyDescent="0.25">
      <c r="B45" s="58"/>
      <c r="C45" s="65"/>
      <c r="D45" s="15"/>
      <c r="E45" s="15"/>
      <c r="F45" s="24"/>
      <c r="G45" s="411"/>
      <c r="H45" s="17" t="str">
        <f t="shared" si="0"/>
        <v/>
      </c>
      <c r="I45" s="57"/>
      <c r="J45" s="62"/>
      <c r="K45" s="399"/>
      <c r="L45" s="420" t="str">
        <f t="shared" si="4"/>
        <v/>
      </c>
      <c r="M45" s="401" t="str">
        <f t="shared" si="5"/>
        <v/>
      </c>
    </row>
    <row r="46" spans="2:13" x14ac:dyDescent="0.25">
      <c r="B46" s="58"/>
      <c r="C46" s="65"/>
      <c r="D46" s="15"/>
      <c r="E46" s="15"/>
      <c r="F46" s="24"/>
      <c r="G46" s="411"/>
      <c r="H46" s="17" t="str">
        <f t="shared" si="0"/>
        <v/>
      </c>
      <c r="I46" s="57"/>
      <c r="J46" s="62"/>
      <c r="K46" s="399"/>
      <c r="L46" s="420" t="str">
        <f t="shared" si="4"/>
        <v/>
      </c>
      <c r="M46" s="401" t="str">
        <f t="shared" si="5"/>
        <v/>
      </c>
    </row>
    <row r="47" spans="2:13" x14ac:dyDescent="0.25">
      <c r="B47" s="58"/>
      <c r="C47" s="65"/>
      <c r="D47" s="15"/>
      <c r="E47" s="15"/>
      <c r="F47" s="24"/>
      <c r="G47" s="411"/>
      <c r="H47" s="17" t="str">
        <f t="shared" si="0"/>
        <v/>
      </c>
      <c r="I47" s="18"/>
      <c r="J47" s="62"/>
      <c r="K47" s="399"/>
      <c r="L47" s="420" t="str">
        <f t="shared" si="4"/>
        <v/>
      </c>
      <c r="M47" s="401" t="str">
        <f t="shared" si="5"/>
        <v/>
      </c>
    </row>
    <row r="48" spans="2:13" x14ac:dyDescent="0.25">
      <c r="B48" s="58"/>
      <c r="C48" s="65"/>
      <c r="D48" s="15"/>
      <c r="E48" s="15"/>
      <c r="F48" s="24"/>
      <c r="G48" s="411"/>
      <c r="H48" s="17" t="str">
        <f t="shared" si="0"/>
        <v/>
      </c>
      <c r="I48" s="18"/>
      <c r="J48" s="62"/>
      <c r="K48" s="399"/>
      <c r="L48" s="420" t="str">
        <f t="shared" si="4"/>
        <v/>
      </c>
      <c r="M48" s="401" t="str">
        <f t="shared" si="5"/>
        <v/>
      </c>
    </row>
    <row r="49" spans="2:13" x14ac:dyDescent="0.25">
      <c r="B49" s="58"/>
      <c r="C49" s="65"/>
      <c r="D49" s="15"/>
      <c r="E49" s="15"/>
      <c r="F49" s="24"/>
      <c r="G49" s="411"/>
      <c r="H49" s="17" t="str">
        <f t="shared" ref="H49:H68" si="6">IF(D49="","",F49*G49)</f>
        <v/>
      </c>
      <c r="I49" s="18"/>
      <c r="J49" s="62"/>
      <c r="K49" s="399"/>
      <c r="L49" s="420" t="str">
        <f t="shared" ref="L49:L68" si="7">IF(J49="","",F49*K49)</f>
        <v/>
      </c>
      <c r="M49" s="401" t="str">
        <f t="shared" ref="M49:M68" si="8">IF(J49="","",IF(SUM(H49)=0,"",L49/H49))</f>
        <v/>
      </c>
    </row>
    <row r="50" spans="2:13" x14ac:dyDescent="0.25">
      <c r="B50" s="58"/>
      <c r="C50" s="65"/>
      <c r="D50" s="15"/>
      <c r="E50" s="15"/>
      <c r="F50" s="24"/>
      <c r="G50" s="411"/>
      <c r="H50" s="17" t="str">
        <f t="shared" si="6"/>
        <v/>
      </c>
      <c r="I50" s="18"/>
      <c r="J50" s="62"/>
      <c r="K50" s="399"/>
      <c r="L50" s="420" t="str">
        <f t="shared" si="7"/>
        <v/>
      </c>
      <c r="M50" s="401" t="str">
        <f t="shared" si="8"/>
        <v/>
      </c>
    </row>
    <row r="51" spans="2:13" x14ac:dyDescent="0.25">
      <c r="B51" s="58"/>
      <c r="C51" s="65"/>
      <c r="D51" s="15"/>
      <c r="E51" s="15"/>
      <c r="F51" s="15"/>
      <c r="G51" s="411"/>
      <c r="H51" s="17" t="str">
        <f t="shared" si="6"/>
        <v/>
      </c>
      <c r="I51" s="18"/>
      <c r="J51" s="62"/>
      <c r="K51" s="399"/>
      <c r="L51" s="420" t="str">
        <f t="shared" si="7"/>
        <v/>
      </c>
      <c r="M51" s="401" t="str">
        <f t="shared" si="8"/>
        <v/>
      </c>
    </row>
    <row r="52" spans="2:13" x14ac:dyDescent="0.25">
      <c r="B52" s="58"/>
      <c r="C52" s="65"/>
      <c r="D52" s="15"/>
      <c r="E52" s="15"/>
      <c r="F52" s="15"/>
      <c r="G52" s="411"/>
      <c r="H52" s="17" t="str">
        <f t="shared" si="6"/>
        <v/>
      </c>
      <c r="I52" s="18"/>
      <c r="J52" s="62"/>
      <c r="K52" s="399"/>
      <c r="L52" s="420" t="str">
        <f t="shared" si="7"/>
        <v/>
      </c>
      <c r="M52" s="401" t="str">
        <f t="shared" si="8"/>
        <v/>
      </c>
    </row>
    <row r="53" spans="2:13" x14ac:dyDescent="0.25">
      <c r="B53" s="58"/>
      <c r="C53" s="65"/>
      <c r="D53" s="15"/>
      <c r="E53" s="15"/>
      <c r="F53" s="15"/>
      <c r="G53" s="411"/>
      <c r="H53" s="17" t="str">
        <f t="shared" si="6"/>
        <v/>
      </c>
      <c r="I53" s="18"/>
      <c r="J53" s="62"/>
      <c r="K53" s="399"/>
      <c r="L53" s="420" t="str">
        <f t="shared" si="7"/>
        <v/>
      </c>
      <c r="M53" s="401" t="str">
        <f t="shared" si="8"/>
        <v/>
      </c>
    </row>
    <row r="54" spans="2:13" x14ac:dyDescent="0.25">
      <c r="B54" s="58"/>
      <c r="C54" s="65"/>
      <c r="D54" s="15"/>
      <c r="E54" s="15"/>
      <c r="F54" s="15"/>
      <c r="G54" s="411"/>
      <c r="H54" s="17" t="str">
        <f t="shared" si="6"/>
        <v/>
      </c>
      <c r="I54" s="18"/>
      <c r="J54" s="62"/>
      <c r="K54" s="399"/>
      <c r="L54" s="420" t="str">
        <f t="shared" si="7"/>
        <v/>
      </c>
      <c r="M54" s="401" t="str">
        <f t="shared" si="8"/>
        <v/>
      </c>
    </row>
    <row r="55" spans="2:13" x14ac:dyDescent="0.25">
      <c r="B55" s="58"/>
      <c r="C55" s="65"/>
      <c r="D55" s="15"/>
      <c r="E55" s="15"/>
      <c r="F55" s="15"/>
      <c r="G55" s="411"/>
      <c r="H55" s="17" t="str">
        <f t="shared" si="6"/>
        <v/>
      </c>
      <c r="I55" s="18"/>
      <c r="J55" s="62"/>
      <c r="K55" s="399"/>
      <c r="L55" s="420" t="str">
        <f t="shared" si="7"/>
        <v/>
      </c>
      <c r="M55" s="401" t="str">
        <f t="shared" si="8"/>
        <v/>
      </c>
    </row>
    <row r="56" spans="2:13" x14ac:dyDescent="0.25">
      <c r="B56" s="58"/>
      <c r="C56" s="65"/>
      <c r="D56" s="15"/>
      <c r="E56" s="15"/>
      <c r="F56" s="15"/>
      <c r="G56" s="411"/>
      <c r="H56" s="17" t="str">
        <f t="shared" si="6"/>
        <v/>
      </c>
      <c r="I56" s="18"/>
      <c r="J56" s="62"/>
      <c r="K56" s="399"/>
      <c r="L56" s="420" t="str">
        <f t="shared" si="7"/>
        <v/>
      </c>
      <c r="M56" s="401" t="str">
        <f t="shared" si="8"/>
        <v/>
      </c>
    </row>
    <row r="57" spans="2:13" x14ac:dyDescent="0.25">
      <c r="B57" s="58"/>
      <c r="C57" s="65"/>
      <c r="D57" s="15"/>
      <c r="E57" s="15"/>
      <c r="F57" s="15"/>
      <c r="G57" s="411"/>
      <c r="H57" s="17" t="str">
        <f t="shared" si="6"/>
        <v/>
      </c>
      <c r="I57" s="18"/>
      <c r="J57" s="62"/>
      <c r="K57" s="399"/>
      <c r="L57" s="420" t="str">
        <f t="shared" si="7"/>
        <v/>
      </c>
      <c r="M57" s="401" t="str">
        <f t="shared" si="8"/>
        <v/>
      </c>
    </row>
    <row r="58" spans="2:13" x14ac:dyDescent="0.25">
      <c r="B58" s="58"/>
      <c r="C58" s="65"/>
      <c r="D58" s="15"/>
      <c r="E58" s="15"/>
      <c r="F58" s="15"/>
      <c r="G58" s="411"/>
      <c r="H58" s="17" t="str">
        <f t="shared" si="6"/>
        <v/>
      </c>
      <c r="I58" s="18"/>
      <c r="J58" s="62"/>
      <c r="K58" s="399"/>
      <c r="L58" s="420" t="str">
        <f t="shared" si="7"/>
        <v/>
      </c>
      <c r="M58" s="401" t="str">
        <f t="shared" si="8"/>
        <v/>
      </c>
    </row>
    <row r="59" spans="2:13" x14ac:dyDescent="0.25">
      <c r="B59" s="58"/>
      <c r="C59" s="65"/>
      <c r="D59" s="15"/>
      <c r="E59" s="15"/>
      <c r="F59" s="15"/>
      <c r="G59" s="411"/>
      <c r="H59" s="17" t="str">
        <f t="shared" si="6"/>
        <v/>
      </c>
      <c r="I59" s="18"/>
      <c r="J59" s="62"/>
      <c r="K59" s="399"/>
      <c r="L59" s="420" t="str">
        <f t="shared" si="7"/>
        <v/>
      </c>
      <c r="M59" s="401" t="str">
        <f t="shared" si="8"/>
        <v/>
      </c>
    </row>
    <row r="60" spans="2:13" x14ac:dyDescent="0.25">
      <c r="B60" s="58"/>
      <c r="C60" s="65"/>
      <c r="D60" s="15"/>
      <c r="E60" s="15"/>
      <c r="F60" s="15"/>
      <c r="G60" s="411"/>
      <c r="H60" s="17" t="str">
        <f t="shared" si="6"/>
        <v/>
      </c>
      <c r="I60" s="18"/>
      <c r="J60" s="62"/>
      <c r="K60" s="399"/>
      <c r="L60" s="420" t="str">
        <f t="shared" si="7"/>
        <v/>
      </c>
      <c r="M60" s="401" t="str">
        <f t="shared" si="8"/>
        <v/>
      </c>
    </row>
    <row r="61" spans="2:13" x14ac:dyDescent="0.25">
      <c r="B61" s="58"/>
      <c r="C61" s="65"/>
      <c r="D61" s="15"/>
      <c r="E61" s="15"/>
      <c r="F61" s="15"/>
      <c r="G61" s="411"/>
      <c r="H61" s="17" t="str">
        <f t="shared" si="6"/>
        <v/>
      </c>
      <c r="I61" s="18"/>
      <c r="J61" s="62"/>
      <c r="K61" s="399"/>
      <c r="L61" s="420" t="str">
        <f t="shared" si="7"/>
        <v/>
      </c>
      <c r="M61" s="401" t="str">
        <f t="shared" si="8"/>
        <v/>
      </c>
    </row>
    <row r="62" spans="2:13" x14ac:dyDescent="0.25">
      <c r="B62" s="58"/>
      <c r="C62" s="65"/>
      <c r="D62" s="15"/>
      <c r="E62" s="15"/>
      <c r="F62" s="15"/>
      <c r="G62" s="411"/>
      <c r="H62" s="17" t="str">
        <f t="shared" si="6"/>
        <v/>
      </c>
      <c r="I62" s="18"/>
      <c r="J62" s="62"/>
      <c r="K62" s="399"/>
      <c r="L62" s="420" t="str">
        <f t="shared" si="7"/>
        <v/>
      </c>
      <c r="M62" s="401" t="str">
        <f t="shared" si="8"/>
        <v/>
      </c>
    </row>
    <row r="63" spans="2:13" x14ac:dyDescent="0.25">
      <c r="B63" s="58"/>
      <c r="C63" s="65"/>
      <c r="D63" s="15"/>
      <c r="E63" s="15"/>
      <c r="F63" s="15"/>
      <c r="G63" s="411"/>
      <c r="H63" s="17" t="str">
        <f t="shared" si="6"/>
        <v/>
      </c>
      <c r="I63" s="18"/>
      <c r="J63" s="62"/>
      <c r="K63" s="399"/>
      <c r="L63" s="420" t="str">
        <f t="shared" si="7"/>
        <v/>
      </c>
      <c r="M63" s="401" t="str">
        <f t="shared" si="8"/>
        <v/>
      </c>
    </row>
    <row r="64" spans="2:13" x14ac:dyDescent="0.25">
      <c r="B64" s="58"/>
      <c r="C64" s="65"/>
      <c r="D64" s="15"/>
      <c r="E64" s="15"/>
      <c r="F64" s="15"/>
      <c r="G64" s="411"/>
      <c r="H64" s="17" t="str">
        <f t="shared" si="6"/>
        <v/>
      </c>
      <c r="I64" s="18"/>
      <c r="J64" s="62"/>
      <c r="K64" s="399"/>
      <c r="L64" s="420" t="str">
        <f t="shared" si="7"/>
        <v/>
      </c>
      <c r="M64" s="401" t="str">
        <f t="shared" si="8"/>
        <v/>
      </c>
    </row>
    <row r="65" spans="2:13" x14ac:dyDescent="0.25">
      <c r="B65" s="58"/>
      <c r="C65" s="65"/>
      <c r="D65" s="15"/>
      <c r="E65" s="15"/>
      <c r="F65" s="15"/>
      <c r="G65" s="411"/>
      <c r="H65" s="17" t="str">
        <f t="shared" si="6"/>
        <v/>
      </c>
      <c r="I65" s="18"/>
      <c r="J65" s="62"/>
      <c r="K65" s="399"/>
      <c r="L65" s="420" t="str">
        <f t="shared" si="7"/>
        <v/>
      </c>
      <c r="M65" s="401" t="str">
        <f t="shared" si="8"/>
        <v/>
      </c>
    </row>
    <row r="66" spans="2:13" x14ac:dyDescent="0.25">
      <c r="B66" s="58"/>
      <c r="C66" s="65"/>
      <c r="D66" s="15"/>
      <c r="E66" s="15"/>
      <c r="F66" s="15"/>
      <c r="G66" s="411"/>
      <c r="H66" s="17" t="str">
        <f t="shared" si="6"/>
        <v/>
      </c>
      <c r="I66" s="18"/>
      <c r="J66" s="62"/>
      <c r="K66" s="399"/>
      <c r="L66" s="420" t="str">
        <f t="shared" si="7"/>
        <v/>
      </c>
      <c r="M66" s="401" t="str">
        <f t="shared" si="8"/>
        <v/>
      </c>
    </row>
    <row r="67" spans="2:13" x14ac:dyDescent="0.25">
      <c r="B67" s="58"/>
      <c r="C67" s="65"/>
      <c r="D67" s="15"/>
      <c r="E67" s="15"/>
      <c r="F67" s="15"/>
      <c r="G67" s="411"/>
      <c r="H67" s="17" t="str">
        <f t="shared" si="6"/>
        <v/>
      </c>
      <c r="I67" s="18"/>
      <c r="J67" s="62"/>
      <c r="K67" s="399"/>
      <c r="L67" s="420" t="str">
        <f t="shared" si="7"/>
        <v/>
      </c>
      <c r="M67" s="401" t="str">
        <f t="shared" si="8"/>
        <v/>
      </c>
    </row>
    <row r="68" spans="2:13" x14ac:dyDescent="0.25">
      <c r="B68" s="58"/>
      <c r="C68" s="65"/>
      <c r="D68" s="15"/>
      <c r="E68" s="15"/>
      <c r="F68" s="15"/>
      <c r="G68" s="411"/>
      <c r="H68" s="17" t="str">
        <f t="shared" si="6"/>
        <v/>
      </c>
      <c r="I68" s="18"/>
      <c r="J68" s="62"/>
      <c r="K68" s="399"/>
      <c r="L68" s="420" t="str">
        <f t="shared" si="7"/>
        <v/>
      </c>
      <c r="M68" s="401" t="str">
        <f t="shared" si="8"/>
        <v/>
      </c>
    </row>
    <row r="69" spans="2:13" x14ac:dyDescent="0.25">
      <c r="B69" s="58"/>
      <c r="C69" s="65"/>
      <c r="D69" s="15"/>
      <c r="E69" s="15"/>
      <c r="F69" s="15"/>
      <c r="G69" s="411"/>
      <c r="H69" s="17" t="str">
        <f t="shared" si="0"/>
        <v/>
      </c>
      <c r="I69" s="18"/>
      <c r="J69" s="711"/>
      <c r="K69" s="399" t="str">
        <f>IF(D54="","",ROUND(Labour_perc_structures*H54,1))</f>
        <v/>
      </c>
      <c r="L69" s="420" t="str">
        <f t="shared" si="4"/>
        <v/>
      </c>
      <c r="M69" s="401" t="str">
        <f t="shared" si="5"/>
        <v/>
      </c>
    </row>
    <row r="70" spans="2:13" s="28" customFormat="1" ht="19.5" customHeight="1" x14ac:dyDescent="0.25">
      <c r="B70" s="135" t="str">
        <f>$B$12</f>
        <v>C13.4</v>
      </c>
      <c r="C70" s="30" t="s">
        <v>12</v>
      </c>
      <c r="D70" s="31"/>
      <c r="E70" s="31"/>
      <c r="F70" s="32"/>
      <c r="G70" s="31"/>
      <c r="H70" s="33">
        <f>SUM(H11:H69)</f>
        <v>0</v>
      </c>
      <c r="I70" s="34"/>
      <c r="J70" s="600"/>
      <c r="K70" s="601"/>
      <c r="L70" s="418">
        <f>SUM(L10:L69)</f>
        <v>0</v>
      </c>
      <c r="M70" s="410" t="str">
        <f t="shared" si="5"/>
        <v/>
      </c>
    </row>
    <row r="71" spans="2:13" ht="13" x14ac:dyDescent="0.25">
      <c r="B71" s="1108" t="str">
        <f>Client1</f>
        <v>Province of KwaZulu-Natal</v>
      </c>
      <c r="C71" s="1108"/>
      <c r="D71" s="1108"/>
      <c r="E71" s="87"/>
      <c r="F71" s="1109" t="str">
        <f>"Contract No. "&amp;ContractNo</f>
        <v>Contract No. ZNB 00399/00000/HOD/INF/21/T</v>
      </c>
      <c r="G71" s="1109"/>
      <c r="H71" s="1109"/>
    </row>
    <row r="72" spans="2:13" ht="13" x14ac:dyDescent="0.25">
      <c r="B72" s="1108" t="str">
        <f>Client2</f>
        <v>Department of Transport</v>
      </c>
      <c r="C72" s="1108"/>
      <c r="D72" s="1108"/>
      <c r="E72" s="87"/>
      <c r="F72" s="1109"/>
      <c r="G72" s="1109"/>
      <c r="H72" s="1109"/>
    </row>
    <row r="73" spans="2:13" x14ac:dyDescent="0.25">
      <c r="B73" s="1111"/>
      <c r="C73" s="1111"/>
      <c r="D73" s="1111"/>
      <c r="E73" s="78"/>
      <c r="F73" s="1110"/>
      <c r="G73" s="1110"/>
      <c r="H73" s="1110"/>
    </row>
    <row r="74" spans="2:13" ht="13" x14ac:dyDescent="0.25">
      <c r="B74" s="1112" t="s">
        <v>1773</v>
      </c>
      <c r="C74" s="1113"/>
      <c r="D74" s="1113"/>
      <c r="E74" s="1113"/>
      <c r="F74" s="1113"/>
      <c r="G74" s="1113"/>
      <c r="H74" s="1125" t="str">
        <f>$H$6</f>
        <v>CHAPTER C13.4</v>
      </c>
      <c r="I74" s="6"/>
    </row>
    <row r="75" spans="2:13" ht="35.25" customHeight="1" x14ac:dyDescent="0.25">
      <c r="B75" s="1117" t="str">
        <f>ContractDescription</f>
        <v>THE CONSTRUCTION OF EARTHWORKS, LAYERWORKS, SURFACING, CULVERTS AND CWAKA RIVER BRIDGE FROM KM 11.600 TO KM 14.000 ON MAIN ROAD P494 IN THE KING CETSHWAYO DISTRICT UNDER EMPANGENI REGION</v>
      </c>
      <c r="C75" s="1148"/>
      <c r="D75" s="1148"/>
      <c r="E75" s="1148"/>
      <c r="F75" s="1148"/>
      <c r="G75" s="1148"/>
      <c r="H75" s="1126"/>
      <c r="I75" s="8"/>
    </row>
    <row r="76" spans="2:13" ht="24.75" customHeight="1" x14ac:dyDescent="0.25">
      <c r="B76" s="1149" t="s">
        <v>1772</v>
      </c>
      <c r="C76" s="1150"/>
      <c r="D76" s="1150"/>
      <c r="E76" s="1150"/>
      <c r="F76" s="1150"/>
      <c r="G76" s="1150"/>
      <c r="H76" s="1126"/>
      <c r="I76" s="8"/>
    </row>
    <row r="77" spans="2:13" ht="13" x14ac:dyDescent="0.25">
      <c r="B77" s="611"/>
      <c r="C77" s="612"/>
      <c r="D77" s="612"/>
      <c r="E77" s="612"/>
      <c r="F77" s="612"/>
      <c r="G77" s="612"/>
      <c r="H77" s="1127"/>
      <c r="I77" s="8"/>
    </row>
    <row r="78" spans="2:13" s="9" customFormat="1" ht="25" customHeight="1" x14ac:dyDescent="0.25">
      <c r="B78" s="74" t="s">
        <v>0</v>
      </c>
      <c r="C78" s="11" t="s">
        <v>1</v>
      </c>
      <c r="D78" s="11" t="s">
        <v>2</v>
      </c>
      <c r="E78" s="11"/>
      <c r="F78" s="11" t="s">
        <v>3</v>
      </c>
      <c r="G78" s="11" t="s">
        <v>4</v>
      </c>
      <c r="H78" s="11" t="s">
        <v>5</v>
      </c>
      <c r="I78" s="12"/>
      <c r="J78" s="408" t="s">
        <v>996</v>
      </c>
      <c r="K78" s="253" t="s">
        <v>997</v>
      </c>
      <c r="L78" s="253" t="s">
        <v>998</v>
      </c>
      <c r="M78" s="253" t="s">
        <v>999</v>
      </c>
    </row>
    <row r="79" spans="2:13" s="28" customFormat="1" ht="19.5" customHeight="1" x14ac:dyDescent="0.25">
      <c r="B79" s="80"/>
      <c r="C79" s="30" t="s">
        <v>27</v>
      </c>
      <c r="D79" s="31"/>
      <c r="E79" s="31"/>
      <c r="F79" s="32"/>
      <c r="G79" s="31"/>
      <c r="H79" s="33">
        <f>H70</f>
        <v>0</v>
      </c>
      <c r="I79" s="34"/>
      <c r="J79" s="602"/>
      <c r="K79" s="409" t="str">
        <f t="shared" ref="K79" si="9">IF(D79="","",ROUND(Labour_perc_structures*H79,1))</f>
        <v/>
      </c>
      <c r="L79" s="419">
        <f>L70</f>
        <v>0</v>
      </c>
      <c r="M79" s="603" t="str">
        <f t="shared" ref="M79" si="10">IF(F79="","",G79*L79)</f>
        <v/>
      </c>
    </row>
    <row r="80" spans="2:13" x14ac:dyDescent="0.25">
      <c r="B80" s="46"/>
      <c r="C80" s="14"/>
      <c r="D80" s="15"/>
      <c r="E80" s="15"/>
      <c r="F80" s="15"/>
      <c r="G80" s="64"/>
      <c r="H80" s="17" t="str">
        <f t="shared" ref="H80:H128" si="11">IF(D80="","",F80*G80)</f>
        <v/>
      </c>
      <c r="I80" s="18"/>
      <c r="J80" s="62"/>
      <c r="K80" s="399"/>
      <c r="L80" s="420" t="str">
        <f t="shared" ref="L80:L128" si="12">IF(J80="","",F80*K80)</f>
        <v/>
      </c>
      <c r="M80" s="401" t="str">
        <f t="shared" ref="M80:M129" si="13">IF(J80="","",IF(SUM(H80)=0,"",L80/H80))</f>
        <v/>
      </c>
    </row>
    <row r="81" spans="2:13" x14ac:dyDescent="0.25">
      <c r="B81" s="46"/>
      <c r="C81" s="14"/>
      <c r="D81" s="15"/>
      <c r="E81" s="15"/>
      <c r="F81" s="15"/>
      <c r="G81" s="64"/>
      <c r="H81" s="17" t="str">
        <f t="shared" si="11"/>
        <v/>
      </c>
      <c r="I81" s="18"/>
      <c r="J81" s="62"/>
      <c r="K81" s="399"/>
      <c r="L81" s="420" t="str">
        <f t="shared" si="12"/>
        <v/>
      </c>
      <c r="M81" s="401" t="str">
        <f t="shared" si="13"/>
        <v/>
      </c>
    </row>
    <row r="82" spans="2:13" x14ac:dyDescent="0.25">
      <c r="B82" s="46"/>
      <c r="C82" s="14"/>
      <c r="D82" s="15"/>
      <c r="E82" s="15"/>
      <c r="F82" s="15"/>
      <c r="G82" s="64"/>
      <c r="H82" s="17" t="str">
        <f t="shared" si="11"/>
        <v/>
      </c>
      <c r="I82" s="18"/>
      <c r="J82" s="62"/>
      <c r="K82" s="399"/>
      <c r="L82" s="420" t="str">
        <f t="shared" si="12"/>
        <v/>
      </c>
      <c r="M82" s="401" t="str">
        <f t="shared" si="13"/>
        <v/>
      </c>
    </row>
    <row r="83" spans="2:13" x14ac:dyDescent="0.25">
      <c r="B83" s="46"/>
      <c r="C83" s="14"/>
      <c r="D83" s="15"/>
      <c r="E83" s="15"/>
      <c r="F83" s="15"/>
      <c r="G83" s="64"/>
      <c r="H83" s="17" t="str">
        <f t="shared" si="11"/>
        <v/>
      </c>
      <c r="I83" s="18"/>
      <c r="J83" s="62"/>
      <c r="K83" s="399"/>
      <c r="L83" s="420" t="str">
        <f t="shared" si="12"/>
        <v/>
      </c>
      <c r="M83" s="401" t="str">
        <f t="shared" si="13"/>
        <v/>
      </c>
    </row>
    <row r="84" spans="2:13" x14ac:dyDescent="0.25">
      <c r="B84" s="46"/>
      <c r="C84" s="14"/>
      <c r="D84" s="61"/>
      <c r="E84" s="61"/>
      <c r="F84" s="61"/>
      <c r="G84" s="64"/>
      <c r="H84" s="17" t="str">
        <f t="shared" si="11"/>
        <v/>
      </c>
      <c r="I84" s="63"/>
      <c r="J84" s="62"/>
      <c r="K84" s="399"/>
      <c r="L84" s="420" t="str">
        <f t="shared" si="12"/>
        <v/>
      </c>
      <c r="M84" s="401" t="str">
        <f t="shared" si="13"/>
        <v/>
      </c>
    </row>
    <row r="85" spans="2:13" x14ac:dyDescent="0.25">
      <c r="B85" s="46"/>
      <c r="C85" s="14"/>
      <c r="D85" s="15"/>
      <c r="E85" s="15"/>
      <c r="F85" s="15"/>
      <c r="G85" s="64"/>
      <c r="H85" s="17" t="str">
        <f t="shared" si="11"/>
        <v/>
      </c>
      <c r="I85" s="18"/>
      <c r="J85" s="62"/>
      <c r="K85" s="399"/>
      <c r="L85" s="420" t="str">
        <f t="shared" si="12"/>
        <v/>
      </c>
      <c r="M85" s="401" t="str">
        <f t="shared" si="13"/>
        <v/>
      </c>
    </row>
    <row r="86" spans="2:13" x14ac:dyDescent="0.25">
      <c r="B86" s="46"/>
      <c r="C86" s="14"/>
      <c r="D86" s="61"/>
      <c r="E86" s="61"/>
      <c r="F86" s="61"/>
      <c r="G86" s="64"/>
      <c r="H86" s="17" t="str">
        <f t="shared" si="11"/>
        <v/>
      </c>
      <c r="I86" s="69"/>
      <c r="J86" s="62"/>
      <c r="K86" s="399"/>
      <c r="L86" s="420" t="str">
        <f t="shared" si="12"/>
        <v/>
      </c>
      <c r="M86" s="401" t="str">
        <f t="shared" si="13"/>
        <v/>
      </c>
    </row>
    <row r="87" spans="2:13" x14ac:dyDescent="0.25">
      <c r="B87" s="46"/>
      <c r="C87" s="14"/>
      <c r="D87" s="61"/>
      <c r="E87" s="61"/>
      <c r="F87" s="61"/>
      <c r="G87" s="64"/>
      <c r="H87" s="17" t="str">
        <f t="shared" si="11"/>
        <v/>
      </c>
      <c r="I87" s="63"/>
      <c r="J87" s="62"/>
      <c r="K87" s="399"/>
      <c r="L87" s="420" t="str">
        <f t="shared" si="12"/>
        <v/>
      </c>
      <c r="M87" s="401" t="str">
        <f t="shared" si="13"/>
        <v/>
      </c>
    </row>
    <row r="88" spans="2:13" x14ac:dyDescent="0.25">
      <c r="B88" s="46"/>
      <c r="C88" s="14"/>
      <c r="D88" s="15"/>
      <c r="E88" s="15"/>
      <c r="F88" s="15"/>
      <c r="G88" s="64"/>
      <c r="H88" s="17" t="str">
        <f t="shared" si="11"/>
        <v/>
      </c>
      <c r="I88" s="18"/>
      <c r="J88" s="62"/>
      <c r="K88" s="399"/>
      <c r="L88" s="420" t="str">
        <f t="shared" si="12"/>
        <v/>
      </c>
      <c r="M88" s="401" t="str">
        <f t="shared" si="13"/>
        <v/>
      </c>
    </row>
    <row r="89" spans="2:13" x14ac:dyDescent="0.25">
      <c r="B89" s="46"/>
      <c r="C89" s="14"/>
      <c r="D89" s="15"/>
      <c r="E89" s="15"/>
      <c r="F89" s="15"/>
      <c r="G89" s="64"/>
      <c r="H89" s="17" t="str">
        <f t="shared" si="11"/>
        <v/>
      </c>
      <c r="I89" s="18"/>
      <c r="J89" s="62"/>
      <c r="K89" s="399"/>
      <c r="L89" s="420" t="str">
        <f t="shared" si="12"/>
        <v/>
      </c>
      <c r="M89" s="401" t="str">
        <f t="shared" si="13"/>
        <v/>
      </c>
    </row>
    <row r="90" spans="2:13" x14ac:dyDescent="0.25">
      <c r="B90" s="46"/>
      <c r="C90" s="14"/>
      <c r="D90" s="15"/>
      <c r="E90" s="15"/>
      <c r="F90" s="15"/>
      <c r="G90" s="64"/>
      <c r="H90" s="17" t="str">
        <f t="shared" si="11"/>
        <v/>
      </c>
      <c r="I90" s="18"/>
      <c r="J90" s="62"/>
      <c r="K90" s="399"/>
      <c r="L90" s="420" t="str">
        <f t="shared" si="12"/>
        <v/>
      </c>
      <c r="M90" s="401" t="str">
        <f t="shared" si="13"/>
        <v/>
      </c>
    </row>
    <row r="91" spans="2:13" x14ac:dyDescent="0.25">
      <c r="B91" s="46"/>
      <c r="C91" s="14"/>
      <c r="D91" s="15"/>
      <c r="E91" s="15"/>
      <c r="F91" s="15"/>
      <c r="G91" s="64"/>
      <c r="H91" s="17" t="str">
        <f t="shared" si="11"/>
        <v/>
      </c>
      <c r="I91" s="18"/>
      <c r="J91" s="62"/>
      <c r="K91" s="399"/>
      <c r="L91" s="420" t="str">
        <f t="shared" si="12"/>
        <v/>
      </c>
      <c r="M91" s="401" t="str">
        <f t="shared" si="13"/>
        <v/>
      </c>
    </row>
    <row r="92" spans="2:13" x14ac:dyDescent="0.25">
      <c r="B92" s="46"/>
      <c r="C92" s="14"/>
      <c r="D92" s="15"/>
      <c r="E92" s="15"/>
      <c r="F92" s="15"/>
      <c r="G92" s="64"/>
      <c r="H92" s="17" t="str">
        <f t="shared" si="11"/>
        <v/>
      </c>
      <c r="I92" s="18"/>
      <c r="J92" s="62"/>
      <c r="K92" s="399"/>
      <c r="L92" s="420" t="str">
        <f t="shared" si="12"/>
        <v/>
      </c>
      <c r="M92" s="401" t="str">
        <f t="shared" si="13"/>
        <v/>
      </c>
    </row>
    <row r="93" spans="2:13" x14ac:dyDescent="0.25">
      <c r="B93" s="46"/>
      <c r="C93" s="14"/>
      <c r="D93" s="15"/>
      <c r="E93" s="15"/>
      <c r="F93" s="15"/>
      <c r="G93" s="64"/>
      <c r="H93" s="17" t="str">
        <f t="shared" si="11"/>
        <v/>
      </c>
      <c r="I93" s="18"/>
      <c r="J93" s="62"/>
      <c r="K93" s="399"/>
      <c r="L93" s="420" t="str">
        <f t="shared" si="12"/>
        <v/>
      </c>
      <c r="M93" s="401" t="str">
        <f t="shared" si="13"/>
        <v/>
      </c>
    </row>
    <row r="94" spans="2:13" x14ac:dyDescent="0.25">
      <c r="B94" s="46"/>
      <c r="C94" s="14"/>
      <c r="D94" s="15"/>
      <c r="E94" s="15"/>
      <c r="F94" s="15"/>
      <c r="G94" s="64"/>
      <c r="H94" s="17" t="str">
        <f t="shared" si="11"/>
        <v/>
      </c>
      <c r="I94" s="18"/>
      <c r="J94" s="62"/>
      <c r="K94" s="399"/>
      <c r="L94" s="420" t="str">
        <f t="shared" si="12"/>
        <v/>
      </c>
      <c r="M94" s="401" t="str">
        <f t="shared" si="13"/>
        <v/>
      </c>
    </row>
    <row r="95" spans="2:13" x14ac:dyDescent="0.25">
      <c r="B95" s="46"/>
      <c r="C95" s="14"/>
      <c r="D95" s="15"/>
      <c r="E95" s="15"/>
      <c r="F95" s="15"/>
      <c r="G95" s="64"/>
      <c r="H95" s="17" t="str">
        <f t="shared" si="11"/>
        <v/>
      </c>
      <c r="I95" s="18"/>
      <c r="J95" s="62"/>
      <c r="K95" s="399"/>
      <c r="L95" s="420" t="str">
        <f t="shared" si="12"/>
        <v/>
      </c>
      <c r="M95" s="401" t="str">
        <f t="shared" si="13"/>
        <v/>
      </c>
    </row>
    <row r="96" spans="2:13" x14ac:dyDescent="0.25">
      <c r="B96" s="46"/>
      <c r="C96" s="14"/>
      <c r="D96" s="15"/>
      <c r="E96" s="15"/>
      <c r="F96" s="15"/>
      <c r="G96" s="64"/>
      <c r="H96" s="17" t="str">
        <f t="shared" si="11"/>
        <v/>
      </c>
      <c r="I96" s="18"/>
      <c r="J96" s="62"/>
      <c r="K96" s="399"/>
      <c r="L96" s="420" t="str">
        <f t="shared" si="12"/>
        <v/>
      </c>
      <c r="M96" s="401" t="str">
        <f t="shared" si="13"/>
        <v/>
      </c>
    </row>
    <row r="97" spans="2:13" ht="27.75" customHeight="1" x14ac:dyDescent="0.25">
      <c r="B97" s="46"/>
      <c r="C97" s="14"/>
      <c r="D97" s="15"/>
      <c r="E97" s="15"/>
      <c r="F97" s="15"/>
      <c r="G97" s="64"/>
      <c r="H97" s="17" t="str">
        <f t="shared" si="11"/>
        <v/>
      </c>
      <c r="I97" s="18"/>
      <c r="J97" s="62"/>
      <c r="K97" s="399"/>
      <c r="L97" s="420" t="str">
        <f t="shared" si="12"/>
        <v/>
      </c>
      <c r="M97" s="401" t="str">
        <f t="shared" si="13"/>
        <v/>
      </c>
    </row>
    <row r="98" spans="2:13" x14ac:dyDescent="0.25">
      <c r="B98" s="46"/>
      <c r="C98" s="14"/>
      <c r="D98" s="15"/>
      <c r="E98" s="15"/>
      <c r="F98" s="15"/>
      <c r="G98" s="64"/>
      <c r="H98" s="17" t="str">
        <f t="shared" si="11"/>
        <v/>
      </c>
      <c r="I98" s="18"/>
      <c r="J98" s="62"/>
      <c r="K98" s="399"/>
      <c r="L98" s="420" t="str">
        <f t="shared" si="12"/>
        <v/>
      </c>
      <c r="M98" s="401" t="str">
        <f t="shared" si="13"/>
        <v/>
      </c>
    </row>
    <row r="99" spans="2:13" x14ac:dyDescent="0.25">
      <c r="B99" s="46"/>
      <c r="C99" s="14"/>
      <c r="D99" s="15"/>
      <c r="E99" s="15"/>
      <c r="F99" s="15"/>
      <c r="G99" s="64"/>
      <c r="H99" s="17" t="str">
        <f t="shared" si="11"/>
        <v/>
      </c>
      <c r="I99" s="18"/>
      <c r="J99" s="62"/>
      <c r="K99" s="399"/>
      <c r="L99" s="420" t="str">
        <f t="shared" si="12"/>
        <v/>
      </c>
      <c r="M99" s="401" t="str">
        <f t="shared" si="13"/>
        <v/>
      </c>
    </row>
    <row r="100" spans="2:13" x14ac:dyDescent="0.25">
      <c r="B100" s="46"/>
      <c r="C100" s="14"/>
      <c r="D100" s="15"/>
      <c r="E100" s="15"/>
      <c r="F100" s="15"/>
      <c r="G100" s="64"/>
      <c r="H100" s="17" t="str">
        <f t="shared" si="11"/>
        <v/>
      </c>
      <c r="I100" s="18"/>
      <c r="J100" s="62"/>
      <c r="K100" s="399"/>
      <c r="L100" s="420" t="str">
        <f t="shared" si="12"/>
        <v/>
      </c>
      <c r="M100" s="401" t="str">
        <f t="shared" si="13"/>
        <v/>
      </c>
    </row>
    <row r="101" spans="2:13" x14ac:dyDescent="0.25">
      <c r="B101" s="46"/>
      <c r="C101" s="14"/>
      <c r="D101" s="15"/>
      <c r="E101" s="15"/>
      <c r="F101" s="15"/>
      <c r="G101" s="64"/>
      <c r="H101" s="17" t="str">
        <f t="shared" si="11"/>
        <v/>
      </c>
      <c r="I101" s="18"/>
      <c r="J101" s="62"/>
      <c r="K101" s="399"/>
      <c r="L101" s="420" t="str">
        <f t="shared" si="12"/>
        <v/>
      </c>
      <c r="M101" s="401" t="str">
        <f t="shared" si="13"/>
        <v/>
      </c>
    </row>
    <row r="102" spans="2:13" x14ac:dyDescent="0.25">
      <c r="B102" s="46"/>
      <c r="C102" s="14"/>
      <c r="D102" s="15"/>
      <c r="E102" s="15"/>
      <c r="F102" s="15"/>
      <c r="G102" s="64"/>
      <c r="H102" s="17" t="str">
        <f t="shared" si="11"/>
        <v/>
      </c>
      <c r="I102" s="18"/>
      <c r="J102" s="62"/>
      <c r="K102" s="399"/>
      <c r="L102" s="420" t="str">
        <f t="shared" si="12"/>
        <v/>
      </c>
      <c r="M102" s="401" t="str">
        <f t="shared" si="13"/>
        <v/>
      </c>
    </row>
    <row r="103" spans="2:13" x14ac:dyDescent="0.25">
      <c r="B103" s="46"/>
      <c r="C103" s="14"/>
      <c r="D103" s="15"/>
      <c r="E103" s="15"/>
      <c r="F103" s="15"/>
      <c r="G103" s="64"/>
      <c r="H103" s="17" t="str">
        <f t="shared" si="11"/>
        <v/>
      </c>
      <c r="I103" s="18"/>
      <c r="J103" s="62"/>
      <c r="K103" s="399"/>
      <c r="L103" s="420" t="str">
        <f t="shared" si="12"/>
        <v/>
      </c>
      <c r="M103" s="401" t="str">
        <f t="shared" si="13"/>
        <v/>
      </c>
    </row>
    <row r="104" spans="2:13" x14ac:dyDescent="0.25">
      <c r="B104" s="46"/>
      <c r="C104" s="14"/>
      <c r="D104" s="15"/>
      <c r="E104" s="15"/>
      <c r="F104" s="15"/>
      <c r="G104" s="64"/>
      <c r="H104" s="17" t="str">
        <f t="shared" si="11"/>
        <v/>
      </c>
      <c r="I104" s="18"/>
      <c r="J104" s="62"/>
      <c r="K104" s="399"/>
      <c r="L104" s="420" t="str">
        <f t="shared" si="12"/>
        <v/>
      </c>
      <c r="M104" s="401" t="str">
        <f t="shared" si="13"/>
        <v/>
      </c>
    </row>
    <row r="105" spans="2:13" x14ac:dyDescent="0.25">
      <c r="B105" s="46"/>
      <c r="C105" s="14"/>
      <c r="D105" s="15"/>
      <c r="E105" s="15"/>
      <c r="F105" s="15"/>
      <c r="G105" s="64"/>
      <c r="H105" s="17" t="str">
        <f t="shared" si="11"/>
        <v/>
      </c>
      <c r="I105" s="18"/>
      <c r="J105" s="62"/>
      <c r="K105" s="402"/>
      <c r="L105" s="420" t="str">
        <f t="shared" si="12"/>
        <v/>
      </c>
      <c r="M105" s="401" t="str">
        <f t="shared" si="13"/>
        <v/>
      </c>
    </row>
    <row r="106" spans="2:13" x14ac:dyDescent="0.25">
      <c r="B106" s="46"/>
      <c r="C106" s="14"/>
      <c r="D106" s="15"/>
      <c r="E106" s="15"/>
      <c r="F106" s="15"/>
      <c r="G106" s="64"/>
      <c r="H106" s="17" t="str">
        <f t="shared" si="11"/>
        <v/>
      </c>
      <c r="I106" s="18"/>
      <c r="J106" s="62"/>
      <c r="K106" s="399"/>
      <c r="L106" s="420" t="str">
        <f t="shared" si="12"/>
        <v/>
      </c>
      <c r="M106" s="401" t="str">
        <f t="shared" si="13"/>
        <v/>
      </c>
    </row>
    <row r="107" spans="2:13" x14ac:dyDescent="0.25">
      <c r="B107" s="46"/>
      <c r="C107" s="14"/>
      <c r="D107" s="15"/>
      <c r="E107" s="15"/>
      <c r="F107" s="15"/>
      <c r="G107" s="64"/>
      <c r="H107" s="17" t="str">
        <f t="shared" si="11"/>
        <v/>
      </c>
      <c r="I107" s="18"/>
      <c r="J107" s="62"/>
      <c r="K107" s="399"/>
      <c r="L107" s="420" t="str">
        <f t="shared" si="12"/>
        <v/>
      </c>
      <c r="M107" s="401" t="str">
        <f t="shared" si="13"/>
        <v/>
      </c>
    </row>
    <row r="108" spans="2:13" x14ac:dyDescent="0.25">
      <c r="B108" s="46"/>
      <c r="C108" s="14"/>
      <c r="D108" s="15"/>
      <c r="E108" s="15"/>
      <c r="F108" s="15"/>
      <c r="G108" s="64"/>
      <c r="H108" s="17" t="str">
        <f t="shared" si="11"/>
        <v/>
      </c>
      <c r="I108" s="18"/>
      <c r="J108" s="62"/>
      <c r="K108" s="399"/>
      <c r="L108" s="420" t="str">
        <f t="shared" si="12"/>
        <v/>
      </c>
      <c r="M108" s="401" t="str">
        <f t="shared" si="13"/>
        <v/>
      </c>
    </row>
    <row r="109" spans="2:13" x14ac:dyDescent="0.25">
      <c r="B109" s="46"/>
      <c r="C109" s="14"/>
      <c r="D109" s="15"/>
      <c r="E109" s="15"/>
      <c r="F109" s="15"/>
      <c r="G109" s="64"/>
      <c r="H109" s="17" t="str">
        <f t="shared" si="11"/>
        <v/>
      </c>
      <c r="I109" s="18"/>
      <c r="J109" s="62"/>
      <c r="K109" s="399"/>
      <c r="L109" s="420" t="str">
        <f t="shared" si="12"/>
        <v/>
      </c>
      <c r="M109" s="401" t="str">
        <f t="shared" si="13"/>
        <v/>
      </c>
    </row>
    <row r="110" spans="2:13" x14ac:dyDescent="0.25">
      <c r="B110" s="46"/>
      <c r="C110" s="14"/>
      <c r="D110" s="15"/>
      <c r="E110" s="15"/>
      <c r="F110" s="15"/>
      <c r="G110" s="64"/>
      <c r="H110" s="17" t="str">
        <f t="shared" si="11"/>
        <v/>
      </c>
      <c r="I110" s="18"/>
      <c r="J110" s="62"/>
      <c r="K110" s="399"/>
      <c r="L110" s="420" t="str">
        <f t="shared" si="12"/>
        <v/>
      </c>
      <c r="M110" s="401" t="str">
        <f t="shared" si="13"/>
        <v/>
      </c>
    </row>
    <row r="111" spans="2:13" x14ac:dyDescent="0.25">
      <c r="B111" s="46"/>
      <c r="C111" s="14"/>
      <c r="D111" s="15"/>
      <c r="E111" s="15"/>
      <c r="F111" s="15"/>
      <c r="G111" s="64"/>
      <c r="H111" s="17" t="str">
        <f t="shared" si="11"/>
        <v/>
      </c>
      <c r="I111" s="18"/>
      <c r="J111" s="62"/>
      <c r="K111" s="399"/>
      <c r="L111" s="420" t="str">
        <f t="shared" si="12"/>
        <v/>
      </c>
      <c r="M111" s="401" t="str">
        <f t="shared" si="13"/>
        <v/>
      </c>
    </row>
    <row r="112" spans="2:13" x14ac:dyDescent="0.25">
      <c r="B112" s="46"/>
      <c r="C112" s="14"/>
      <c r="D112" s="15"/>
      <c r="E112" s="15"/>
      <c r="F112" s="15"/>
      <c r="G112" s="64"/>
      <c r="H112" s="17" t="str">
        <f t="shared" si="11"/>
        <v/>
      </c>
      <c r="I112" s="18"/>
      <c r="J112" s="62"/>
      <c r="K112" s="399"/>
      <c r="L112" s="420" t="str">
        <f t="shared" si="12"/>
        <v/>
      </c>
      <c r="M112" s="401" t="str">
        <f t="shared" si="13"/>
        <v/>
      </c>
    </row>
    <row r="113" spans="2:13" x14ac:dyDescent="0.25">
      <c r="B113" s="46"/>
      <c r="C113" s="14"/>
      <c r="D113" s="15"/>
      <c r="E113" s="15"/>
      <c r="F113" s="15"/>
      <c r="G113" s="64"/>
      <c r="H113" s="17" t="str">
        <f t="shared" si="11"/>
        <v/>
      </c>
      <c r="I113" s="18"/>
      <c r="J113" s="62"/>
      <c r="K113" s="399"/>
      <c r="L113" s="420" t="str">
        <f t="shared" si="12"/>
        <v/>
      </c>
      <c r="M113" s="401" t="str">
        <f t="shared" si="13"/>
        <v/>
      </c>
    </row>
    <row r="114" spans="2:13" x14ac:dyDescent="0.25">
      <c r="B114" s="46"/>
      <c r="C114" s="14"/>
      <c r="D114" s="15"/>
      <c r="E114" s="15"/>
      <c r="F114" s="15"/>
      <c r="G114" s="64"/>
      <c r="H114" s="17" t="str">
        <f t="shared" si="11"/>
        <v/>
      </c>
      <c r="I114" s="18"/>
      <c r="J114" s="62"/>
      <c r="K114" s="399"/>
      <c r="L114" s="420" t="str">
        <f t="shared" si="12"/>
        <v/>
      </c>
      <c r="M114" s="401" t="str">
        <f t="shared" si="13"/>
        <v/>
      </c>
    </row>
    <row r="115" spans="2:13" x14ac:dyDescent="0.25">
      <c r="B115" s="46"/>
      <c r="C115" s="14"/>
      <c r="D115" s="15"/>
      <c r="E115" s="15"/>
      <c r="F115" s="15"/>
      <c r="G115" s="64"/>
      <c r="H115" s="17" t="str">
        <f t="shared" si="11"/>
        <v/>
      </c>
      <c r="I115" s="18"/>
      <c r="J115" s="62"/>
      <c r="K115" s="62"/>
      <c r="L115" s="420" t="str">
        <f t="shared" si="12"/>
        <v/>
      </c>
      <c r="M115" s="401" t="str">
        <f t="shared" si="13"/>
        <v/>
      </c>
    </row>
    <row r="116" spans="2:13" x14ac:dyDescent="0.25">
      <c r="B116" s="46"/>
      <c r="C116" s="14"/>
      <c r="D116" s="15"/>
      <c r="E116" s="15"/>
      <c r="F116" s="15"/>
      <c r="G116" s="64"/>
      <c r="H116" s="17" t="str">
        <f t="shared" si="11"/>
        <v/>
      </c>
      <c r="I116" s="18"/>
      <c r="J116" s="62"/>
      <c r="K116" s="62"/>
      <c r="L116" s="420" t="str">
        <f t="shared" si="12"/>
        <v/>
      </c>
      <c r="M116" s="401" t="str">
        <f t="shared" si="13"/>
        <v/>
      </c>
    </row>
    <row r="117" spans="2:13" x14ac:dyDescent="0.25">
      <c r="B117" s="46"/>
      <c r="C117" s="14"/>
      <c r="D117" s="15"/>
      <c r="E117" s="15"/>
      <c r="F117" s="15"/>
      <c r="G117" s="64"/>
      <c r="H117" s="17" t="str">
        <f t="shared" si="11"/>
        <v/>
      </c>
      <c r="I117" s="18"/>
      <c r="J117" s="62"/>
      <c r="K117" s="62"/>
      <c r="L117" s="420" t="str">
        <f t="shared" si="12"/>
        <v/>
      </c>
      <c r="M117" s="401" t="str">
        <f t="shared" si="13"/>
        <v/>
      </c>
    </row>
    <row r="118" spans="2:13" x14ac:dyDescent="0.25">
      <c r="B118" s="46"/>
      <c r="C118" s="14"/>
      <c r="D118" s="15"/>
      <c r="E118" s="15"/>
      <c r="F118" s="15"/>
      <c r="G118" s="64"/>
      <c r="H118" s="17" t="str">
        <f t="shared" si="11"/>
        <v/>
      </c>
      <c r="I118" s="18"/>
      <c r="J118" s="62"/>
      <c r="K118" s="62"/>
      <c r="L118" s="420" t="str">
        <f t="shared" si="12"/>
        <v/>
      </c>
      <c r="M118" s="401" t="str">
        <f t="shared" si="13"/>
        <v/>
      </c>
    </row>
    <row r="119" spans="2:13" x14ac:dyDescent="0.25">
      <c r="B119" s="46"/>
      <c r="C119" s="14"/>
      <c r="D119" s="15"/>
      <c r="E119" s="15"/>
      <c r="F119" s="15"/>
      <c r="G119" s="64"/>
      <c r="H119" s="17" t="str">
        <f t="shared" si="11"/>
        <v/>
      </c>
      <c r="I119" s="18"/>
      <c r="J119" s="62"/>
      <c r="K119" s="62"/>
      <c r="L119" s="420" t="str">
        <f t="shared" si="12"/>
        <v/>
      </c>
      <c r="M119" s="401" t="str">
        <f t="shared" si="13"/>
        <v/>
      </c>
    </row>
    <row r="120" spans="2:13" x14ac:dyDescent="0.25">
      <c r="B120" s="46"/>
      <c r="C120" s="14"/>
      <c r="D120" s="15"/>
      <c r="E120" s="15"/>
      <c r="F120" s="15"/>
      <c r="G120" s="64"/>
      <c r="H120" s="17" t="str">
        <f t="shared" si="11"/>
        <v/>
      </c>
      <c r="I120" s="18"/>
      <c r="J120" s="62"/>
      <c r="K120" s="62"/>
      <c r="L120" s="420" t="str">
        <f t="shared" si="12"/>
        <v/>
      </c>
      <c r="M120" s="401" t="str">
        <f t="shared" si="13"/>
        <v/>
      </c>
    </row>
    <row r="121" spans="2:13" x14ac:dyDescent="0.25">
      <c r="B121" s="46"/>
      <c r="C121" s="14"/>
      <c r="D121" s="15"/>
      <c r="E121" s="15"/>
      <c r="F121" s="15"/>
      <c r="G121" s="64"/>
      <c r="H121" s="17" t="str">
        <f t="shared" si="11"/>
        <v/>
      </c>
      <c r="I121" s="18"/>
      <c r="J121" s="62"/>
      <c r="K121" s="62"/>
      <c r="L121" s="420" t="str">
        <f t="shared" si="12"/>
        <v/>
      </c>
      <c r="M121" s="401" t="str">
        <f t="shared" si="13"/>
        <v/>
      </c>
    </row>
    <row r="122" spans="2:13" x14ac:dyDescent="0.25">
      <c r="B122" s="46"/>
      <c r="C122" s="14"/>
      <c r="D122" s="15"/>
      <c r="E122" s="15"/>
      <c r="F122" s="15"/>
      <c r="G122" s="64"/>
      <c r="H122" s="17" t="str">
        <f t="shared" si="11"/>
        <v/>
      </c>
      <c r="I122" s="18"/>
      <c r="J122" s="62"/>
      <c r="K122" s="62"/>
      <c r="L122" s="420" t="str">
        <f t="shared" si="12"/>
        <v/>
      </c>
      <c r="M122" s="401" t="str">
        <f t="shared" si="13"/>
        <v/>
      </c>
    </row>
    <row r="123" spans="2:13" x14ac:dyDescent="0.25">
      <c r="B123" s="46"/>
      <c r="C123" s="14"/>
      <c r="D123" s="15"/>
      <c r="E123" s="15"/>
      <c r="F123" s="15"/>
      <c r="G123" s="64"/>
      <c r="H123" s="17" t="str">
        <f t="shared" si="11"/>
        <v/>
      </c>
      <c r="I123" s="18"/>
      <c r="J123" s="62"/>
      <c r="K123" s="62"/>
      <c r="L123" s="420" t="str">
        <f t="shared" si="12"/>
        <v/>
      </c>
      <c r="M123" s="401" t="str">
        <f t="shared" si="13"/>
        <v/>
      </c>
    </row>
    <row r="124" spans="2:13" x14ac:dyDescent="0.25">
      <c r="B124" s="46"/>
      <c r="C124" s="14"/>
      <c r="D124" s="15"/>
      <c r="E124" s="15"/>
      <c r="F124" s="15"/>
      <c r="G124" s="64"/>
      <c r="H124" s="17" t="str">
        <f t="shared" si="11"/>
        <v/>
      </c>
      <c r="I124" s="18"/>
      <c r="J124" s="62"/>
      <c r="K124" s="62"/>
      <c r="L124" s="420" t="str">
        <f t="shared" si="12"/>
        <v/>
      </c>
      <c r="M124" s="401" t="str">
        <f t="shared" si="13"/>
        <v/>
      </c>
    </row>
    <row r="125" spans="2:13" x14ac:dyDescent="0.25">
      <c r="B125" s="46"/>
      <c r="C125" s="14"/>
      <c r="D125" s="15"/>
      <c r="E125" s="15"/>
      <c r="F125" s="15"/>
      <c r="G125" s="64"/>
      <c r="H125" s="17" t="str">
        <f t="shared" si="11"/>
        <v/>
      </c>
      <c r="I125" s="18"/>
      <c r="J125" s="62"/>
      <c r="K125" s="399"/>
      <c r="L125" s="420" t="str">
        <f t="shared" si="12"/>
        <v/>
      </c>
      <c r="M125" s="401" t="str">
        <f t="shared" si="13"/>
        <v/>
      </c>
    </row>
    <row r="126" spans="2:13" x14ac:dyDescent="0.25">
      <c r="B126" s="46"/>
      <c r="C126" s="14"/>
      <c r="D126" s="15"/>
      <c r="E126" s="15"/>
      <c r="F126" s="15"/>
      <c r="G126" s="64"/>
      <c r="H126" s="17" t="str">
        <f t="shared" si="11"/>
        <v/>
      </c>
      <c r="I126" s="18"/>
      <c r="J126" s="62"/>
      <c r="K126" s="399"/>
      <c r="L126" s="420" t="str">
        <f t="shared" si="12"/>
        <v/>
      </c>
      <c r="M126" s="401" t="str">
        <f t="shared" si="13"/>
        <v/>
      </c>
    </row>
    <row r="127" spans="2:13" x14ac:dyDescent="0.25">
      <c r="B127" s="46"/>
      <c r="C127" s="14"/>
      <c r="D127" s="15"/>
      <c r="E127" s="15"/>
      <c r="F127" s="15"/>
      <c r="G127" s="64"/>
      <c r="H127" s="17" t="str">
        <f t="shared" si="11"/>
        <v/>
      </c>
      <c r="I127" s="18"/>
      <c r="J127" s="62"/>
      <c r="K127" s="399"/>
      <c r="L127" s="420" t="str">
        <f t="shared" si="12"/>
        <v/>
      </c>
      <c r="M127" s="401" t="str">
        <f t="shared" si="13"/>
        <v/>
      </c>
    </row>
    <row r="128" spans="2:13" x14ac:dyDescent="0.25">
      <c r="B128" s="46"/>
      <c r="C128" s="14"/>
      <c r="D128" s="15"/>
      <c r="E128" s="15"/>
      <c r="F128" s="15"/>
      <c r="G128" s="64"/>
      <c r="H128" s="17" t="str">
        <f t="shared" si="11"/>
        <v/>
      </c>
      <c r="I128" s="18"/>
      <c r="J128" s="711"/>
      <c r="K128" s="399"/>
      <c r="L128" s="420" t="str">
        <f t="shared" si="12"/>
        <v/>
      </c>
      <c r="M128" s="401" t="str">
        <f t="shared" si="13"/>
        <v/>
      </c>
    </row>
    <row r="129" spans="2:13" s="28" customFormat="1" ht="19.5" customHeight="1" x14ac:dyDescent="0.25">
      <c r="B129" s="135" t="str">
        <f>$B$12</f>
        <v>C13.4</v>
      </c>
      <c r="C129" s="30" t="s">
        <v>12</v>
      </c>
      <c r="D129" s="31"/>
      <c r="E129" s="31"/>
      <c r="F129" s="32"/>
      <c r="G129" s="31"/>
      <c r="H129" s="33">
        <f>SUM(H79:H128)</f>
        <v>0</v>
      </c>
      <c r="I129" s="34"/>
      <c r="J129" s="600"/>
      <c r="K129" s="601"/>
      <c r="L129" s="418">
        <f>SUM(L79:L128)</f>
        <v>0</v>
      </c>
      <c r="M129" s="410" t="str">
        <f t="shared" si="13"/>
        <v/>
      </c>
    </row>
    <row r="130" spans="2:13" ht="13" x14ac:dyDescent="0.25">
      <c r="B130" s="1108" t="str">
        <f>Client1</f>
        <v>Province of KwaZulu-Natal</v>
      </c>
      <c r="C130" s="1108"/>
      <c r="D130" s="1108"/>
      <c r="E130" s="87"/>
      <c r="F130" s="1109" t="str">
        <f>"Contract No. "&amp;ContractNo</f>
        <v>Contract No. ZNB 00399/00000/HOD/INF/21/T</v>
      </c>
      <c r="G130" s="1109"/>
      <c r="H130" s="1109"/>
    </row>
    <row r="131" spans="2:13" ht="13" x14ac:dyDescent="0.25">
      <c r="B131" s="1108" t="str">
        <f>Client2</f>
        <v>Department of Transport</v>
      </c>
      <c r="C131" s="1108"/>
      <c r="D131" s="1108"/>
      <c r="E131" s="87"/>
      <c r="F131" s="1109"/>
      <c r="G131" s="1109"/>
      <c r="H131" s="1109"/>
    </row>
    <row r="132" spans="2:13" x14ac:dyDescent="0.25">
      <c r="B132" s="1111"/>
      <c r="C132" s="1111"/>
      <c r="D132" s="1111"/>
      <c r="E132" s="78"/>
      <c r="F132" s="1110"/>
      <c r="G132" s="1110"/>
      <c r="H132" s="1110"/>
    </row>
    <row r="133" spans="2:13" ht="13" x14ac:dyDescent="0.25">
      <c r="B133" s="1112" t="s">
        <v>8</v>
      </c>
      <c r="C133" s="1113"/>
      <c r="D133" s="1113"/>
      <c r="E133" s="1113"/>
      <c r="F133" s="1113"/>
      <c r="G133" s="1113"/>
      <c r="H133" s="1125" t="str">
        <f>$H$6</f>
        <v>CHAPTER C13.4</v>
      </c>
      <c r="I133" s="6"/>
    </row>
    <row r="134" spans="2:13" ht="13" x14ac:dyDescent="0.25">
      <c r="B134" s="1117" t="str">
        <f>ContractDescription</f>
        <v>THE CONSTRUCTION OF EARTHWORKS, LAYERWORKS, SURFACING, CULVERTS AND CWAKA RIVER BRIDGE FROM KM 11.600 TO KM 14.000 ON MAIN ROAD P494 IN THE KING CETSHWAYO DISTRICT UNDER EMPANGENI REGION</v>
      </c>
      <c r="C134" s="1118"/>
      <c r="D134" s="1118"/>
      <c r="E134" s="1118"/>
      <c r="F134" s="1118"/>
      <c r="G134" s="1118"/>
      <c r="H134" s="1126"/>
      <c r="I134" s="8"/>
    </row>
    <row r="135" spans="2:13" ht="13" x14ac:dyDescent="0.25">
      <c r="B135" s="1117"/>
      <c r="C135" s="1118"/>
      <c r="D135" s="1118"/>
      <c r="E135" s="1118"/>
      <c r="F135" s="1118"/>
      <c r="G135" s="1118"/>
      <c r="H135" s="1126"/>
      <c r="I135" s="8"/>
    </row>
    <row r="136" spans="2:13" ht="13" x14ac:dyDescent="0.25">
      <c r="B136" s="1119"/>
      <c r="C136" s="1120"/>
      <c r="D136" s="1120"/>
      <c r="E136" s="1120"/>
      <c r="F136" s="1120"/>
      <c r="G136" s="1120"/>
      <c r="H136" s="1127"/>
      <c r="I136" s="8"/>
    </row>
    <row r="137" spans="2:13" s="9" customFormat="1" ht="25" customHeight="1" x14ac:dyDescent="0.25">
      <c r="B137" s="74" t="s">
        <v>0</v>
      </c>
      <c r="C137" s="11" t="s">
        <v>1</v>
      </c>
      <c r="D137" s="11" t="s">
        <v>2</v>
      </c>
      <c r="E137" s="11"/>
      <c r="F137" s="11" t="s">
        <v>3</v>
      </c>
      <c r="G137" s="11" t="s">
        <v>4</v>
      </c>
      <c r="H137" s="11" t="s">
        <v>5</v>
      </c>
      <c r="I137" s="12"/>
      <c r="J137" s="408" t="s">
        <v>996</v>
      </c>
      <c r="K137" s="253" t="s">
        <v>997</v>
      </c>
      <c r="L137" s="253" t="s">
        <v>998</v>
      </c>
      <c r="M137" s="253" t="s">
        <v>999</v>
      </c>
    </row>
    <row r="138" spans="2:13" s="28" customFormat="1" ht="19.5" customHeight="1" x14ac:dyDescent="0.25">
      <c r="B138" s="80"/>
      <c r="C138" s="30" t="s">
        <v>27</v>
      </c>
      <c r="D138" s="31"/>
      <c r="E138" s="31"/>
      <c r="F138" s="32"/>
      <c r="G138" s="31"/>
      <c r="H138" s="33">
        <f>H129</f>
        <v>0</v>
      </c>
      <c r="I138" s="34"/>
      <c r="J138" s="602"/>
      <c r="K138" s="409"/>
      <c r="L138" s="419">
        <f>L129</f>
        <v>0</v>
      </c>
      <c r="M138" s="603"/>
    </row>
    <row r="139" spans="2:13" x14ac:dyDescent="0.25">
      <c r="B139" s="46"/>
      <c r="C139" s="14"/>
      <c r="D139" s="15"/>
      <c r="E139" s="15"/>
      <c r="F139" s="15"/>
      <c r="G139" s="64"/>
      <c r="H139" s="17" t="str">
        <f t="shared" ref="H139:H189" si="14">IF(D139="","",F139*G139)</f>
        <v/>
      </c>
      <c r="I139" s="18"/>
      <c r="J139" s="62"/>
      <c r="K139" s="399"/>
      <c r="L139" s="420" t="str">
        <f t="shared" ref="L139:L189" si="15">IF(J139="","",F139*K139)</f>
        <v/>
      </c>
      <c r="M139" s="401" t="str">
        <f t="shared" ref="M139:M190" si="16">IF(J139="","",IF(SUM(H139)=0,"",L139/H139))</f>
        <v/>
      </c>
    </row>
    <row r="140" spans="2:13" x14ac:dyDescent="0.25">
      <c r="B140" s="46"/>
      <c r="C140" s="14"/>
      <c r="D140" s="15"/>
      <c r="E140" s="15"/>
      <c r="F140" s="15"/>
      <c r="G140" s="64"/>
      <c r="H140" s="17" t="str">
        <f t="shared" si="14"/>
        <v/>
      </c>
      <c r="I140" s="18"/>
      <c r="J140" s="62"/>
      <c r="K140" s="399"/>
      <c r="L140" s="420" t="str">
        <f t="shared" si="15"/>
        <v/>
      </c>
      <c r="M140" s="401" t="str">
        <f t="shared" si="16"/>
        <v/>
      </c>
    </row>
    <row r="141" spans="2:13" x14ac:dyDescent="0.25">
      <c r="B141" s="46"/>
      <c r="C141" s="14"/>
      <c r="D141" s="15"/>
      <c r="E141" s="15"/>
      <c r="F141" s="15"/>
      <c r="G141" s="64"/>
      <c r="H141" s="17" t="str">
        <f t="shared" si="14"/>
        <v/>
      </c>
      <c r="I141" s="18"/>
      <c r="J141" s="62"/>
      <c r="K141" s="399"/>
      <c r="L141" s="420" t="str">
        <f t="shared" si="15"/>
        <v/>
      </c>
      <c r="M141" s="401" t="str">
        <f t="shared" si="16"/>
        <v/>
      </c>
    </row>
    <row r="142" spans="2:13" x14ac:dyDescent="0.25">
      <c r="B142" s="46"/>
      <c r="C142" s="14"/>
      <c r="D142" s="15"/>
      <c r="E142" s="15"/>
      <c r="F142" s="15"/>
      <c r="G142" s="64"/>
      <c r="H142" s="17" t="str">
        <f t="shared" si="14"/>
        <v/>
      </c>
      <c r="I142" s="18"/>
      <c r="J142" s="62"/>
      <c r="K142" s="399"/>
      <c r="L142" s="420" t="str">
        <f t="shared" si="15"/>
        <v/>
      </c>
      <c r="M142" s="401" t="str">
        <f t="shared" si="16"/>
        <v/>
      </c>
    </row>
    <row r="143" spans="2:13" x14ac:dyDescent="0.25">
      <c r="B143" s="46"/>
      <c r="C143" s="14"/>
      <c r="D143" s="15"/>
      <c r="E143" s="15"/>
      <c r="F143" s="15"/>
      <c r="G143" s="64"/>
      <c r="H143" s="17" t="str">
        <f t="shared" si="14"/>
        <v/>
      </c>
      <c r="I143" s="18"/>
      <c r="J143" s="62"/>
      <c r="K143" s="399"/>
      <c r="L143" s="420" t="str">
        <f t="shared" si="15"/>
        <v/>
      </c>
      <c r="M143" s="401" t="str">
        <f t="shared" si="16"/>
        <v/>
      </c>
    </row>
    <row r="144" spans="2:13" x14ac:dyDescent="0.25">
      <c r="B144" s="46"/>
      <c r="C144" s="14"/>
      <c r="D144" s="15"/>
      <c r="E144" s="15"/>
      <c r="F144" s="15"/>
      <c r="G144" s="64"/>
      <c r="H144" s="17" t="str">
        <f t="shared" si="14"/>
        <v/>
      </c>
      <c r="I144" s="18"/>
      <c r="J144" s="62"/>
      <c r="K144" s="399"/>
      <c r="L144" s="420" t="str">
        <f t="shared" si="15"/>
        <v/>
      </c>
      <c r="M144" s="401" t="str">
        <f t="shared" si="16"/>
        <v/>
      </c>
    </row>
    <row r="145" spans="2:13" x14ac:dyDescent="0.25">
      <c r="B145" s="46"/>
      <c r="C145" s="14"/>
      <c r="D145" s="15"/>
      <c r="E145" s="15"/>
      <c r="F145" s="15"/>
      <c r="G145" s="64"/>
      <c r="H145" s="17" t="str">
        <f t="shared" si="14"/>
        <v/>
      </c>
      <c r="I145" s="18"/>
      <c r="J145" s="62"/>
      <c r="K145" s="399"/>
      <c r="L145" s="420" t="str">
        <f t="shared" si="15"/>
        <v/>
      </c>
      <c r="M145" s="401" t="str">
        <f t="shared" si="16"/>
        <v/>
      </c>
    </row>
    <row r="146" spans="2:13" x14ac:dyDescent="0.25">
      <c r="B146" s="46"/>
      <c r="C146" s="238"/>
      <c r="D146" s="15"/>
      <c r="E146" s="15"/>
      <c r="F146" s="15"/>
      <c r="G146" s="64"/>
      <c r="H146" s="17" t="str">
        <f t="shared" si="14"/>
        <v/>
      </c>
      <c r="I146" s="18"/>
      <c r="J146" s="62"/>
      <c r="K146" s="402"/>
      <c r="L146" s="420" t="str">
        <f t="shared" si="15"/>
        <v/>
      </c>
      <c r="M146" s="401" t="str">
        <f t="shared" si="16"/>
        <v/>
      </c>
    </row>
    <row r="147" spans="2:13" x14ac:dyDescent="0.25">
      <c r="B147" s="46"/>
      <c r="C147" s="14"/>
      <c r="D147" s="15"/>
      <c r="E147" s="15"/>
      <c r="F147" s="15"/>
      <c r="G147" s="64"/>
      <c r="H147" s="17" t="str">
        <f t="shared" si="14"/>
        <v/>
      </c>
      <c r="I147" s="18"/>
      <c r="J147" s="62"/>
      <c r="K147" s="399"/>
      <c r="L147" s="420" t="str">
        <f t="shared" si="15"/>
        <v/>
      </c>
      <c r="M147" s="401" t="str">
        <f t="shared" si="16"/>
        <v/>
      </c>
    </row>
    <row r="148" spans="2:13" x14ac:dyDescent="0.25">
      <c r="B148" s="46"/>
      <c r="C148" s="14"/>
      <c r="D148" s="15"/>
      <c r="E148" s="15"/>
      <c r="F148" s="15"/>
      <c r="G148" s="64"/>
      <c r="H148" s="17" t="str">
        <f t="shared" si="14"/>
        <v/>
      </c>
      <c r="I148" s="18"/>
      <c r="J148" s="62"/>
      <c r="K148" s="399"/>
      <c r="L148" s="420" t="str">
        <f t="shared" si="15"/>
        <v/>
      </c>
      <c r="M148" s="401" t="str">
        <f t="shared" si="16"/>
        <v/>
      </c>
    </row>
    <row r="149" spans="2:13" x14ac:dyDescent="0.25">
      <c r="B149" s="46"/>
      <c r="C149" s="14"/>
      <c r="D149" s="15"/>
      <c r="E149" s="15"/>
      <c r="F149" s="15"/>
      <c r="G149" s="64"/>
      <c r="H149" s="17" t="str">
        <f t="shared" si="14"/>
        <v/>
      </c>
      <c r="I149" s="18"/>
      <c r="J149" s="62"/>
      <c r="K149" s="399"/>
      <c r="L149" s="420" t="str">
        <f t="shared" si="15"/>
        <v/>
      </c>
      <c r="M149" s="401" t="str">
        <f t="shared" si="16"/>
        <v/>
      </c>
    </row>
    <row r="150" spans="2:13" x14ac:dyDescent="0.25">
      <c r="B150" s="46"/>
      <c r="C150" s="14"/>
      <c r="D150" s="15"/>
      <c r="E150" s="15"/>
      <c r="F150" s="15"/>
      <c r="G150" s="64"/>
      <c r="H150" s="17" t="str">
        <f t="shared" si="14"/>
        <v/>
      </c>
      <c r="I150" s="18"/>
      <c r="J150" s="62"/>
      <c r="K150" s="399"/>
      <c r="L150" s="420" t="str">
        <f t="shared" si="15"/>
        <v/>
      </c>
      <c r="M150" s="401" t="str">
        <f t="shared" si="16"/>
        <v/>
      </c>
    </row>
    <row r="151" spans="2:13" x14ac:dyDescent="0.25">
      <c r="B151" s="46"/>
      <c r="C151" s="14"/>
      <c r="D151" s="15"/>
      <c r="E151" s="15"/>
      <c r="F151" s="15"/>
      <c r="G151" s="64"/>
      <c r="H151" s="17" t="str">
        <f t="shared" si="14"/>
        <v/>
      </c>
      <c r="I151" s="18"/>
      <c r="J151" s="62"/>
      <c r="K151" s="399"/>
      <c r="L151" s="420" t="str">
        <f t="shared" si="15"/>
        <v/>
      </c>
      <c r="M151" s="401" t="str">
        <f t="shared" si="16"/>
        <v/>
      </c>
    </row>
    <row r="152" spans="2:13" x14ac:dyDescent="0.25">
      <c r="B152" s="46"/>
      <c r="C152" s="14"/>
      <c r="D152" s="15"/>
      <c r="E152" s="15"/>
      <c r="F152" s="15"/>
      <c r="G152" s="64"/>
      <c r="H152" s="17" t="str">
        <f t="shared" si="14"/>
        <v/>
      </c>
      <c r="I152" s="18"/>
      <c r="J152" s="62"/>
      <c r="K152" s="399"/>
      <c r="L152" s="420" t="str">
        <f t="shared" si="15"/>
        <v/>
      </c>
      <c r="M152" s="401" t="str">
        <f t="shared" si="16"/>
        <v/>
      </c>
    </row>
    <row r="153" spans="2:13" x14ac:dyDescent="0.25">
      <c r="B153" s="46"/>
      <c r="C153" s="14"/>
      <c r="D153" s="15"/>
      <c r="E153" s="15"/>
      <c r="F153" s="15"/>
      <c r="G153" s="64"/>
      <c r="H153" s="17" t="str">
        <f t="shared" si="14"/>
        <v/>
      </c>
      <c r="I153" s="18"/>
      <c r="J153" s="62"/>
      <c r="K153" s="399"/>
      <c r="L153" s="420" t="str">
        <f t="shared" si="15"/>
        <v/>
      </c>
      <c r="M153" s="401" t="str">
        <f t="shared" si="16"/>
        <v/>
      </c>
    </row>
    <row r="154" spans="2:13" x14ac:dyDescent="0.25">
      <c r="B154" s="46"/>
      <c r="C154" s="14"/>
      <c r="D154" s="15"/>
      <c r="E154" s="15"/>
      <c r="F154" s="15"/>
      <c r="G154" s="64"/>
      <c r="H154" s="17" t="str">
        <f t="shared" si="14"/>
        <v/>
      </c>
      <c r="I154" s="18"/>
      <c r="J154" s="62"/>
      <c r="K154" s="399"/>
      <c r="L154" s="420" t="str">
        <f t="shared" si="15"/>
        <v/>
      </c>
      <c r="M154" s="401" t="str">
        <f t="shared" si="16"/>
        <v/>
      </c>
    </row>
    <row r="155" spans="2:13" x14ac:dyDescent="0.25">
      <c r="B155" s="46"/>
      <c r="C155" s="14"/>
      <c r="D155" s="15"/>
      <c r="E155" s="15"/>
      <c r="F155" s="15"/>
      <c r="G155" s="64"/>
      <c r="H155" s="17" t="str">
        <f t="shared" si="14"/>
        <v/>
      </c>
      <c r="I155" s="18"/>
      <c r="J155" s="62"/>
      <c r="K155" s="399"/>
      <c r="L155" s="420" t="str">
        <f t="shared" si="15"/>
        <v/>
      </c>
      <c r="M155" s="401" t="str">
        <f t="shared" si="16"/>
        <v/>
      </c>
    </row>
    <row r="156" spans="2:13" x14ac:dyDescent="0.25">
      <c r="B156" s="594"/>
      <c r="C156" s="599"/>
      <c r="D156" s="587"/>
      <c r="E156" s="587"/>
      <c r="F156" s="103"/>
      <c r="G156" s="722"/>
      <c r="H156" s="112" t="str">
        <f t="shared" si="14"/>
        <v/>
      </c>
      <c r="I156" s="18"/>
      <c r="J156" s="62"/>
      <c r="K156" s="399"/>
      <c r="L156" s="420" t="str">
        <f t="shared" si="15"/>
        <v/>
      </c>
      <c r="M156" s="401" t="str">
        <f t="shared" si="16"/>
        <v/>
      </c>
    </row>
    <row r="157" spans="2:13" x14ac:dyDescent="0.25">
      <c r="B157" s="46"/>
      <c r="C157" s="14"/>
      <c r="D157" s="15"/>
      <c r="E157" s="15"/>
      <c r="F157" s="15"/>
      <c r="G157" s="64"/>
      <c r="H157" s="17" t="str">
        <f t="shared" si="14"/>
        <v/>
      </c>
      <c r="I157" s="18"/>
      <c r="J157" s="62"/>
      <c r="K157" s="399"/>
      <c r="L157" s="420" t="str">
        <f t="shared" si="15"/>
        <v/>
      </c>
      <c r="M157" s="401" t="str">
        <f t="shared" si="16"/>
        <v/>
      </c>
    </row>
    <row r="158" spans="2:13" x14ac:dyDescent="0.25">
      <c r="B158" s="594"/>
      <c r="C158" s="599"/>
      <c r="D158" s="587"/>
      <c r="E158" s="587"/>
      <c r="F158" s="103"/>
      <c r="G158" s="722"/>
      <c r="H158" s="112" t="str">
        <f t="shared" si="14"/>
        <v/>
      </c>
      <c r="I158" s="18"/>
      <c r="J158" s="62"/>
      <c r="K158" s="399"/>
      <c r="L158" s="420" t="str">
        <f t="shared" si="15"/>
        <v/>
      </c>
      <c r="M158" s="401" t="str">
        <f t="shared" si="16"/>
        <v/>
      </c>
    </row>
    <row r="159" spans="2:13" x14ac:dyDescent="0.25">
      <c r="B159" s="46"/>
      <c r="C159" s="14"/>
      <c r="D159" s="15"/>
      <c r="E159" s="15"/>
      <c r="F159" s="15"/>
      <c r="G159" s="64"/>
      <c r="H159" s="17" t="str">
        <f t="shared" si="14"/>
        <v/>
      </c>
      <c r="I159" s="18"/>
      <c r="J159" s="62"/>
      <c r="K159" s="399"/>
      <c r="L159" s="420" t="str">
        <f t="shared" si="15"/>
        <v/>
      </c>
      <c r="M159" s="401" t="str">
        <f t="shared" si="16"/>
        <v/>
      </c>
    </row>
    <row r="160" spans="2:13" x14ac:dyDescent="0.25">
      <c r="B160" s="46"/>
      <c r="C160" s="14"/>
      <c r="D160" s="15"/>
      <c r="E160" s="15"/>
      <c r="F160" s="15"/>
      <c r="G160" s="64"/>
      <c r="H160" s="17" t="str">
        <f t="shared" si="14"/>
        <v/>
      </c>
      <c r="I160" s="18"/>
      <c r="J160" s="62"/>
      <c r="K160" s="399"/>
      <c r="L160" s="420" t="str">
        <f t="shared" si="15"/>
        <v/>
      </c>
      <c r="M160" s="401" t="str">
        <f t="shared" si="16"/>
        <v/>
      </c>
    </row>
    <row r="161" spans="2:13" x14ac:dyDescent="0.25">
      <c r="B161" s="46"/>
      <c r="C161" s="14"/>
      <c r="D161" s="15"/>
      <c r="E161" s="15"/>
      <c r="F161" s="15"/>
      <c r="G161" s="64"/>
      <c r="H161" s="17" t="str">
        <f t="shared" si="14"/>
        <v/>
      </c>
      <c r="I161" s="18"/>
      <c r="J161" s="62"/>
      <c r="K161" s="399"/>
      <c r="L161" s="420" t="str">
        <f t="shared" si="15"/>
        <v/>
      </c>
      <c r="M161" s="401" t="str">
        <f t="shared" si="16"/>
        <v/>
      </c>
    </row>
    <row r="162" spans="2:13" x14ac:dyDescent="0.25">
      <c r="B162" s="46"/>
      <c r="C162" s="14"/>
      <c r="D162" s="15"/>
      <c r="E162" s="15"/>
      <c r="F162" s="15"/>
      <c r="G162" s="64"/>
      <c r="H162" s="17" t="str">
        <f t="shared" si="14"/>
        <v/>
      </c>
      <c r="I162" s="18"/>
      <c r="J162" s="62"/>
      <c r="K162" s="399"/>
      <c r="L162" s="420" t="str">
        <f t="shared" si="15"/>
        <v/>
      </c>
      <c r="M162" s="401" t="str">
        <f t="shared" si="16"/>
        <v/>
      </c>
    </row>
    <row r="163" spans="2:13" x14ac:dyDescent="0.25">
      <c r="B163" s="46"/>
      <c r="C163" s="14"/>
      <c r="D163" s="15"/>
      <c r="E163" s="15"/>
      <c r="F163" s="15"/>
      <c r="G163" s="64"/>
      <c r="H163" s="17" t="str">
        <f t="shared" si="14"/>
        <v/>
      </c>
      <c r="I163" s="18"/>
      <c r="J163" s="62"/>
      <c r="K163" s="399"/>
      <c r="L163" s="420" t="str">
        <f t="shared" si="15"/>
        <v/>
      </c>
      <c r="M163" s="401" t="str">
        <f t="shared" si="16"/>
        <v/>
      </c>
    </row>
    <row r="164" spans="2:13" x14ac:dyDescent="0.25">
      <c r="B164" s="46"/>
      <c r="C164" s="14"/>
      <c r="D164" s="15"/>
      <c r="E164" s="15"/>
      <c r="F164" s="15"/>
      <c r="G164" s="64"/>
      <c r="H164" s="17" t="str">
        <f t="shared" si="14"/>
        <v/>
      </c>
      <c r="I164" s="18"/>
      <c r="J164" s="62"/>
      <c r="K164" s="399"/>
      <c r="L164" s="420" t="str">
        <f t="shared" si="15"/>
        <v/>
      </c>
      <c r="M164" s="401" t="str">
        <f t="shared" si="16"/>
        <v/>
      </c>
    </row>
    <row r="165" spans="2:13" x14ac:dyDescent="0.25">
      <c r="B165" s="46"/>
      <c r="C165" s="14"/>
      <c r="D165" s="15"/>
      <c r="E165" s="15"/>
      <c r="F165" s="15"/>
      <c r="G165" s="64"/>
      <c r="H165" s="17" t="str">
        <f t="shared" si="14"/>
        <v/>
      </c>
      <c r="I165" s="18"/>
      <c r="J165" s="62"/>
      <c r="K165" s="399"/>
      <c r="L165" s="420" t="str">
        <f t="shared" si="15"/>
        <v/>
      </c>
      <c r="M165" s="401" t="str">
        <f t="shared" si="16"/>
        <v/>
      </c>
    </row>
    <row r="166" spans="2:13" x14ac:dyDescent="0.25">
      <c r="B166" s="46"/>
      <c r="C166" s="14"/>
      <c r="D166" s="15"/>
      <c r="E166" s="15"/>
      <c r="F166" s="15"/>
      <c r="G166" s="64"/>
      <c r="H166" s="17" t="str">
        <f t="shared" si="14"/>
        <v/>
      </c>
      <c r="I166" s="18"/>
      <c r="J166" s="62"/>
      <c r="K166" s="399"/>
      <c r="L166" s="420" t="str">
        <f t="shared" si="15"/>
        <v/>
      </c>
      <c r="M166" s="401" t="str">
        <f t="shared" si="16"/>
        <v/>
      </c>
    </row>
    <row r="167" spans="2:13" x14ac:dyDescent="0.25">
      <c r="B167" s="46"/>
      <c r="C167" s="14"/>
      <c r="D167" s="15"/>
      <c r="E167" s="15"/>
      <c r="F167" s="15"/>
      <c r="G167" s="64"/>
      <c r="H167" s="17" t="str">
        <f t="shared" si="14"/>
        <v/>
      </c>
      <c r="I167" s="18"/>
      <c r="J167" s="62"/>
      <c r="K167" s="399"/>
      <c r="L167" s="420" t="str">
        <f t="shared" si="15"/>
        <v/>
      </c>
      <c r="M167" s="401" t="str">
        <f t="shared" si="16"/>
        <v/>
      </c>
    </row>
    <row r="168" spans="2:13" x14ac:dyDescent="0.25">
      <c r="B168" s="46"/>
      <c r="C168" s="14"/>
      <c r="D168" s="15"/>
      <c r="E168" s="15"/>
      <c r="F168" s="15"/>
      <c r="G168" s="64"/>
      <c r="H168" s="17" t="str">
        <f t="shared" si="14"/>
        <v/>
      </c>
      <c r="I168" s="18"/>
      <c r="J168" s="62"/>
      <c r="K168" s="399"/>
      <c r="L168" s="420" t="str">
        <f t="shared" si="15"/>
        <v/>
      </c>
      <c r="M168" s="401" t="str">
        <f t="shared" si="16"/>
        <v/>
      </c>
    </row>
    <row r="169" spans="2:13" x14ac:dyDescent="0.25">
      <c r="B169" s="46"/>
      <c r="C169" s="14"/>
      <c r="D169" s="15"/>
      <c r="E169" s="15"/>
      <c r="F169" s="15"/>
      <c r="G169" s="64"/>
      <c r="H169" s="17" t="str">
        <f t="shared" si="14"/>
        <v/>
      </c>
      <c r="I169" s="18"/>
      <c r="J169" s="62"/>
      <c r="K169" s="399"/>
      <c r="L169" s="420" t="str">
        <f t="shared" si="15"/>
        <v/>
      </c>
      <c r="M169" s="401" t="str">
        <f t="shared" si="16"/>
        <v/>
      </c>
    </row>
    <row r="170" spans="2:13" x14ac:dyDescent="0.25">
      <c r="B170" s="46"/>
      <c r="C170" s="14"/>
      <c r="D170" s="15"/>
      <c r="E170" s="15"/>
      <c r="F170" s="15"/>
      <c r="G170" s="64"/>
      <c r="H170" s="17" t="str">
        <f t="shared" si="14"/>
        <v/>
      </c>
      <c r="I170" s="18"/>
      <c r="J170" s="62"/>
      <c r="K170" s="399"/>
      <c r="L170" s="420" t="str">
        <f t="shared" si="15"/>
        <v/>
      </c>
      <c r="M170" s="401" t="str">
        <f t="shared" si="16"/>
        <v/>
      </c>
    </row>
    <row r="171" spans="2:13" x14ac:dyDescent="0.25">
      <c r="B171" s="46"/>
      <c r="C171" s="14"/>
      <c r="D171" s="15"/>
      <c r="E171" s="15"/>
      <c r="F171" s="15"/>
      <c r="G171" s="64"/>
      <c r="H171" s="17" t="str">
        <f t="shared" si="14"/>
        <v/>
      </c>
      <c r="I171" s="18"/>
      <c r="J171" s="62"/>
      <c r="K171" s="399"/>
      <c r="L171" s="420" t="str">
        <f t="shared" si="15"/>
        <v/>
      </c>
      <c r="M171" s="401" t="str">
        <f t="shared" si="16"/>
        <v/>
      </c>
    </row>
    <row r="172" spans="2:13" x14ac:dyDescent="0.25">
      <c r="B172" s="46"/>
      <c r="C172" s="14"/>
      <c r="D172" s="15"/>
      <c r="E172" s="15"/>
      <c r="F172" s="15"/>
      <c r="G172" s="64"/>
      <c r="H172" s="17" t="str">
        <f t="shared" si="14"/>
        <v/>
      </c>
      <c r="I172" s="18"/>
      <c r="J172" s="62"/>
      <c r="K172" s="399"/>
      <c r="L172" s="420" t="str">
        <f t="shared" si="15"/>
        <v/>
      </c>
      <c r="M172" s="401" t="str">
        <f t="shared" si="16"/>
        <v/>
      </c>
    </row>
    <row r="173" spans="2:13" x14ac:dyDescent="0.25">
      <c r="B173" s="46"/>
      <c r="C173" s="14"/>
      <c r="D173" s="15"/>
      <c r="E173" s="15"/>
      <c r="F173" s="15"/>
      <c r="G173" s="64"/>
      <c r="H173" s="17" t="str">
        <f t="shared" si="14"/>
        <v/>
      </c>
      <c r="I173" s="18"/>
      <c r="J173" s="62"/>
      <c r="K173" s="399"/>
      <c r="L173" s="420" t="str">
        <f t="shared" si="15"/>
        <v/>
      </c>
      <c r="M173" s="401" t="str">
        <f t="shared" si="16"/>
        <v/>
      </c>
    </row>
    <row r="174" spans="2:13" x14ac:dyDescent="0.25">
      <c r="B174" s="46"/>
      <c r="C174" s="14"/>
      <c r="D174" s="15"/>
      <c r="E174" s="15"/>
      <c r="F174" s="15"/>
      <c r="G174" s="64"/>
      <c r="H174" s="17" t="str">
        <f t="shared" si="14"/>
        <v/>
      </c>
      <c r="I174" s="18"/>
      <c r="J174" s="62"/>
      <c r="K174" s="399"/>
      <c r="L174" s="420" t="str">
        <f t="shared" si="15"/>
        <v/>
      </c>
      <c r="M174" s="401" t="str">
        <f t="shared" si="16"/>
        <v/>
      </c>
    </row>
    <row r="175" spans="2:13" x14ac:dyDescent="0.25">
      <c r="B175" s="46"/>
      <c r="C175" s="14"/>
      <c r="D175" s="15"/>
      <c r="E175" s="15"/>
      <c r="F175" s="15"/>
      <c r="G175" s="64"/>
      <c r="H175" s="17" t="str">
        <f t="shared" si="14"/>
        <v/>
      </c>
      <c r="I175" s="18"/>
      <c r="J175" s="62"/>
      <c r="K175" s="399"/>
      <c r="L175" s="420" t="str">
        <f t="shared" si="15"/>
        <v/>
      </c>
      <c r="M175" s="401" t="str">
        <f t="shared" si="16"/>
        <v/>
      </c>
    </row>
    <row r="176" spans="2:13" x14ac:dyDescent="0.25">
      <c r="B176" s="46"/>
      <c r="C176" s="14"/>
      <c r="D176" s="15"/>
      <c r="E176" s="15"/>
      <c r="F176" s="15"/>
      <c r="G176" s="64"/>
      <c r="H176" s="17" t="str">
        <f t="shared" si="14"/>
        <v/>
      </c>
      <c r="I176" s="18"/>
      <c r="J176" s="62"/>
      <c r="K176" s="399"/>
      <c r="L176" s="420" t="str">
        <f t="shared" si="15"/>
        <v/>
      </c>
      <c r="M176" s="401" t="str">
        <f t="shared" si="16"/>
        <v/>
      </c>
    </row>
    <row r="177" spans="2:13" x14ac:dyDescent="0.25">
      <c r="B177" s="46"/>
      <c r="C177" s="14"/>
      <c r="D177" s="15"/>
      <c r="E177" s="15"/>
      <c r="F177" s="15"/>
      <c r="G177" s="64"/>
      <c r="H177" s="17" t="str">
        <f t="shared" si="14"/>
        <v/>
      </c>
      <c r="I177" s="18"/>
      <c r="J177" s="62"/>
      <c r="K177" s="399"/>
      <c r="L177" s="420" t="str">
        <f t="shared" si="15"/>
        <v/>
      </c>
      <c r="M177" s="401" t="str">
        <f t="shared" si="16"/>
        <v/>
      </c>
    </row>
    <row r="178" spans="2:13" x14ac:dyDescent="0.25">
      <c r="B178" s="46"/>
      <c r="C178" s="14"/>
      <c r="D178" s="15"/>
      <c r="E178" s="15"/>
      <c r="F178" s="15"/>
      <c r="G178" s="64"/>
      <c r="H178" s="17" t="str">
        <f t="shared" si="14"/>
        <v/>
      </c>
      <c r="I178" s="18"/>
      <c r="J178" s="62"/>
      <c r="K178" s="399"/>
      <c r="L178" s="420" t="str">
        <f t="shared" si="15"/>
        <v/>
      </c>
      <c r="M178" s="401" t="str">
        <f t="shared" si="16"/>
        <v/>
      </c>
    </row>
    <row r="179" spans="2:13" x14ac:dyDescent="0.25">
      <c r="B179" s="46"/>
      <c r="C179" s="14"/>
      <c r="D179" s="15"/>
      <c r="E179" s="15"/>
      <c r="F179" s="15"/>
      <c r="G179" s="64"/>
      <c r="H179" s="17" t="str">
        <f t="shared" si="14"/>
        <v/>
      </c>
      <c r="I179" s="18"/>
      <c r="J179" s="62"/>
      <c r="K179" s="399"/>
      <c r="L179" s="420" t="str">
        <f t="shared" si="15"/>
        <v/>
      </c>
      <c r="M179" s="401" t="str">
        <f t="shared" si="16"/>
        <v/>
      </c>
    </row>
    <row r="180" spans="2:13" x14ac:dyDescent="0.25">
      <c r="B180" s="46"/>
      <c r="C180" s="14"/>
      <c r="D180" s="15"/>
      <c r="E180" s="15"/>
      <c r="F180" s="15"/>
      <c r="G180" s="64"/>
      <c r="H180" s="17" t="str">
        <f t="shared" si="14"/>
        <v/>
      </c>
      <c r="I180" s="18"/>
      <c r="J180" s="62"/>
      <c r="K180" s="399"/>
      <c r="L180" s="420" t="str">
        <f t="shared" si="15"/>
        <v/>
      </c>
      <c r="M180" s="401" t="str">
        <f t="shared" si="16"/>
        <v/>
      </c>
    </row>
    <row r="181" spans="2:13" x14ac:dyDescent="0.25">
      <c r="B181" s="46"/>
      <c r="C181" s="14"/>
      <c r="D181" s="15"/>
      <c r="E181" s="15"/>
      <c r="F181" s="15"/>
      <c r="G181" s="64"/>
      <c r="H181" s="17" t="str">
        <f t="shared" si="14"/>
        <v/>
      </c>
      <c r="I181" s="18"/>
      <c r="J181" s="62"/>
      <c r="K181" s="399"/>
      <c r="L181" s="420" t="str">
        <f t="shared" si="15"/>
        <v/>
      </c>
      <c r="M181" s="401" t="str">
        <f t="shared" si="16"/>
        <v/>
      </c>
    </row>
    <row r="182" spans="2:13" x14ac:dyDescent="0.25">
      <c r="B182" s="46"/>
      <c r="C182" s="14"/>
      <c r="D182" s="15"/>
      <c r="E182" s="15"/>
      <c r="F182" s="15"/>
      <c r="G182" s="64"/>
      <c r="H182" s="17" t="str">
        <f t="shared" si="14"/>
        <v/>
      </c>
      <c r="I182" s="18"/>
      <c r="J182" s="62"/>
      <c r="K182" s="399"/>
      <c r="L182" s="420" t="str">
        <f t="shared" si="15"/>
        <v/>
      </c>
      <c r="M182" s="401" t="str">
        <f t="shared" si="16"/>
        <v/>
      </c>
    </row>
    <row r="183" spans="2:13" x14ac:dyDescent="0.25">
      <c r="B183" s="46"/>
      <c r="C183" s="14"/>
      <c r="D183" s="15"/>
      <c r="E183" s="15"/>
      <c r="F183" s="15"/>
      <c r="G183" s="64"/>
      <c r="H183" s="17" t="str">
        <f t="shared" si="14"/>
        <v/>
      </c>
      <c r="I183" s="18"/>
      <c r="J183" s="62"/>
      <c r="K183" s="399"/>
      <c r="L183" s="420" t="str">
        <f t="shared" si="15"/>
        <v/>
      </c>
      <c r="M183" s="401" t="str">
        <f t="shared" si="16"/>
        <v/>
      </c>
    </row>
    <row r="184" spans="2:13" x14ac:dyDescent="0.25">
      <c r="B184" s="46"/>
      <c r="C184" s="14"/>
      <c r="D184" s="15"/>
      <c r="E184" s="15"/>
      <c r="F184" s="15"/>
      <c r="G184" s="64"/>
      <c r="H184" s="17" t="str">
        <f t="shared" si="14"/>
        <v/>
      </c>
      <c r="I184" s="18"/>
      <c r="J184" s="62"/>
      <c r="K184" s="399"/>
      <c r="L184" s="420" t="str">
        <f t="shared" si="15"/>
        <v/>
      </c>
      <c r="M184" s="401" t="str">
        <f t="shared" si="16"/>
        <v/>
      </c>
    </row>
    <row r="185" spans="2:13" x14ac:dyDescent="0.25">
      <c r="B185" s="46"/>
      <c r="C185" s="14"/>
      <c r="D185" s="15"/>
      <c r="E185" s="15"/>
      <c r="F185" s="15"/>
      <c r="G185" s="64"/>
      <c r="H185" s="17" t="str">
        <f t="shared" si="14"/>
        <v/>
      </c>
      <c r="I185" s="18"/>
      <c r="J185" s="62"/>
      <c r="K185" s="399"/>
      <c r="L185" s="420" t="str">
        <f t="shared" si="15"/>
        <v/>
      </c>
      <c r="M185" s="401" t="str">
        <f t="shared" si="16"/>
        <v/>
      </c>
    </row>
    <row r="186" spans="2:13" x14ac:dyDescent="0.25">
      <c r="B186" s="46"/>
      <c r="C186" s="14"/>
      <c r="D186" s="15"/>
      <c r="E186" s="15"/>
      <c r="F186" s="15"/>
      <c r="G186" s="64"/>
      <c r="H186" s="17" t="str">
        <f t="shared" si="14"/>
        <v/>
      </c>
      <c r="I186" s="18"/>
      <c r="J186" s="62"/>
      <c r="K186" s="399"/>
      <c r="L186" s="420" t="str">
        <f t="shared" si="15"/>
        <v/>
      </c>
      <c r="M186" s="401" t="str">
        <f t="shared" si="16"/>
        <v/>
      </c>
    </row>
    <row r="187" spans="2:13" x14ac:dyDescent="0.25">
      <c r="B187" s="46"/>
      <c r="C187" s="14"/>
      <c r="D187" s="15"/>
      <c r="E187" s="15"/>
      <c r="F187" s="15"/>
      <c r="G187" s="64"/>
      <c r="H187" s="17" t="str">
        <f t="shared" si="14"/>
        <v/>
      </c>
      <c r="I187" s="18"/>
      <c r="J187" s="62"/>
      <c r="K187" s="399"/>
      <c r="L187" s="420" t="str">
        <f t="shared" si="15"/>
        <v/>
      </c>
      <c r="M187" s="401" t="str">
        <f t="shared" si="16"/>
        <v/>
      </c>
    </row>
    <row r="188" spans="2:13" x14ac:dyDescent="0.25">
      <c r="B188" s="46"/>
      <c r="C188" s="14"/>
      <c r="D188" s="15"/>
      <c r="E188" s="15"/>
      <c r="F188" s="15"/>
      <c r="G188" s="64"/>
      <c r="H188" s="17" t="str">
        <f t="shared" si="14"/>
        <v/>
      </c>
      <c r="I188" s="18"/>
      <c r="J188" s="62"/>
      <c r="K188" s="399"/>
      <c r="L188" s="420" t="str">
        <f t="shared" si="15"/>
        <v/>
      </c>
      <c r="M188" s="401" t="str">
        <f t="shared" si="16"/>
        <v/>
      </c>
    </row>
    <row r="189" spans="2:13" x14ac:dyDescent="0.25">
      <c r="B189" s="46"/>
      <c r="C189" s="14"/>
      <c r="D189" s="15"/>
      <c r="E189" s="15"/>
      <c r="F189" s="15"/>
      <c r="G189" s="64"/>
      <c r="H189" s="17" t="str">
        <f t="shared" si="14"/>
        <v/>
      </c>
      <c r="I189" s="18"/>
      <c r="J189" s="711"/>
      <c r="K189" s="399"/>
      <c r="L189" s="420" t="str">
        <f t="shared" si="15"/>
        <v/>
      </c>
      <c r="M189" s="401" t="str">
        <f t="shared" si="16"/>
        <v/>
      </c>
    </row>
    <row r="190" spans="2:13" s="28" customFormat="1" ht="24.75" customHeight="1" x14ac:dyDescent="0.25">
      <c r="B190" s="144" t="str">
        <f>$B$12</f>
        <v>C13.4</v>
      </c>
      <c r="C190" s="30" t="s">
        <v>791</v>
      </c>
      <c r="D190" s="31"/>
      <c r="E190" s="31"/>
      <c r="F190" s="32"/>
      <c r="G190" s="31"/>
      <c r="H190" s="33">
        <f>SUM(H138:H189)</f>
        <v>0</v>
      </c>
      <c r="I190" s="34"/>
      <c r="J190" s="600"/>
      <c r="K190" s="601"/>
      <c r="L190" s="418">
        <f>SUM(L138:L189)</f>
        <v>0</v>
      </c>
      <c r="M190" s="410" t="str">
        <f t="shared" si="16"/>
        <v/>
      </c>
    </row>
  </sheetData>
  <mergeCells count="20">
    <mergeCell ref="F3:H3"/>
    <mergeCell ref="B6:G6"/>
    <mergeCell ref="H6:H9"/>
    <mergeCell ref="B71:D71"/>
    <mergeCell ref="F71:H73"/>
    <mergeCell ref="B72:D72"/>
    <mergeCell ref="B73:D73"/>
    <mergeCell ref="B7:G7"/>
    <mergeCell ref="B8:G8"/>
    <mergeCell ref="B133:G133"/>
    <mergeCell ref="H133:H136"/>
    <mergeCell ref="B134:G136"/>
    <mergeCell ref="B74:G74"/>
    <mergeCell ref="H74:H77"/>
    <mergeCell ref="B130:D130"/>
    <mergeCell ref="F130:H132"/>
    <mergeCell ref="B131:D131"/>
    <mergeCell ref="B132:D132"/>
    <mergeCell ref="B75:G75"/>
    <mergeCell ref="B76:G76"/>
  </mergeCells>
  <conditionalFormatting sqref="G11:H70">
    <cfRule type="expression" dxfId="47" priority="1">
      <formula>AND(_Show_Price=FALSE,$D11&lt;&gt;"PC Sum",$D11&lt;&gt;"P C Sum",$D11&lt;&gt;"Prov Sum",$D11&lt;&gt;"P Sum")</formula>
    </cfRule>
  </conditionalFormatting>
  <conditionalFormatting sqref="G79:H129 G138:H190">
    <cfRule type="expression" dxfId="46" priority="4">
      <formula>_Show_Price=FALSE</formula>
    </cfRule>
  </conditionalFormatting>
  <dataValidations count="1">
    <dataValidation type="custom" allowBlank="1" showInputMessage="1" showErrorMessage="1" errorTitle="Invalid rate" error="A value with an invalid decimal part_x000a_was entered." sqref="G18:G25 G29 G31:G34" xr:uid="{00000000-0002-0000-4700-000000000000}">
      <formula1>(G18)-TRUNC(G18,2)=0</formula1>
    </dataValidation>
  </dataValidations>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40">
    <tabColor rgb="FFFFFF00"/>
  </sheetPr>
  <dimension ref="A1:N147"/>
  <sheetViews>
    <sheetView view="pageBreakPreview" zoomScale="90" zoomScaleNormal="125" zoomScaleSheetLayoutView="90" zoomScalePageLayoutView="125" workbookViewId="0">
      <pane ySplit="2" topLeftCell="A3" activePane="bottomLeft" state="frozen"/>
      <selection activeCell="C28" sqref="C28"/>
      <selection pane="bottomLeft" activeCell="G16" sqref="G1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MAX(H2:H211)</f>
        <v>0</v>
      </c>
      <c r="I1" s="247">
        <f>MAX(I2:I211)</f>
        <v>0</v>
      </c>
      <c r="J1" s="248"/>
      <c r="K1" s="249"/>
      <c r="L1" s="247">
        <f>MAX(L2:L211)</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C13.7</v>
      </c>
      <c r="I6" s="6"/>
    </row>
    <row r="7" spans="1:14" ht="36"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1.75" customHeight="1" x14ac:dyDescent="0.25">
      <c r="B8" s="1152" t="s">
        <v>1772</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71" si="0">IF(D11="","",F11*G11)</f>
        <v/>
      </c>
      <c r="I11" s="18"/>
      <c r="J11" s="61"/>
      <c r="K11" s="399"/>
      <c r="L11" s="420" t="str">
        <f t="shared" ref="L11" si="1">IF(J11="","",F11*K11)</f>
        <v/>
      </c>
      <c r="M11" s="401" t="str">
        <f>IF(J11="","",IF(SUM(H11)=0,"",L11/H11))</f>
        <v/>
      </c>
    </row>
    <row r="12" spans="1:14" ht="13" x14ac:dyDescent="0.25">
      <c r="B12" s="146" t="s">
        <v>345</v>
      </c>
      <c r="C12" s="672" t="s">
        <v>344</v>
      </c>
      <c r="D12" s="15"/>
      <c r="E12" s="15"/>
      <c r="F12" s="15"/>
      <c r="G12" s="411"/>
      <c r="H12" s="17" t="str">
        <f t="shared" si="0"/>
        <v/>
      </c>
      <c r="I12" s="18"/>
      <c r="J12" s="61"/>
      <c r="K12" s="399"/>
      <c r="L12" s="420" t="str">
        <f t="shared" ref="L12:L71" si="2">IF(J12="","",F12*K12)</f>
        <v/>
      </c>
      <c r="M12" s="401" t="str">
        <f t="shared" ref="M12:M71" si="3">IF(J12="","",IF(SUM(H12)=0,"",L12/H12))</f>
        <v/>
      </c>
    </row>
    <row r="13" spans="1:14" x14ac:dyDescent="0.25">
      <c r="B13" s="58"/>
      <c r="C13" s="65"/>
      <c r="D13" s="15"/>
      <c r="E13" s="15"/>
      <c r="F13" s="15"/>
      <c r="G13" s="411"/>
      <c r="H13" s="17" t="str">
        <f t="shared" si="0"/>
        <v/>
      </c>
      <c r="I13" s="18"/>
      <c r="J13" s="61"/>
      <c r="K13" s="399"/>
      <c r="L13" s="420" t="str">
        <f t="shared" si="2"/>
        <v/>
      </c>
      <c r="M13" s="401" t="str">
        <f t="shared" si="3"/>
        <v/>
      </c>
    </row>
    <row r="14" spans="1:14" ht="13" x14ac:dyDescent="0.25">
      <c r="B14" s="146" t="s">
        <v>353</v>
      </c>
      <c r="C14" s="672" t="s">
        <v>348</v>
      </c>
      <c r="D14" s="15"/>
      <c r="E14" s="15"/>
      <c r="F14" s="24"/>
      <c r="G14" s="411"/>
      <c r="H14" s="17" t="str">
        <f t="shared" si="0"/>
        <v/>
      </c>
      <c r="I14" s="18"/>
      <c r="J14" s="61"/>
      <c r="K14" s="402"/>
      <c r="L14" s="420" t="str">
        <f t="shared" si="2"/>
        <v/>
      </c>
      <c r="M14" s="401" t="str">
        <f t="shared" si="3"/>
        <v/>
      </c>
    </row>
    <row r="15" spans="1:14" x14ac:dyDescent="0.25">
      <c r="B15" s="58"/>
      <c r="C15" s="65"/>
      <c r="D15" s="15"/>
      <c r="E15" s="15"/>
      <c r="F15" s="24"/>
      <c r="G15" s="411"/>
      <c r="H15" s="17" t="str">
        <f t="shared" si="0"/>
        <v/>
      </c>
      <c r="I15" s="18"/>
      <c r="J15" s="61"/>
      <c r="K15" s="402"/>
      <c r="L15" s="420" t="str">
        <f t="shared" si="2"/>
        <v/>
      </c>
      <c r="M15" s="401" t="str">
        <f t="shared" si="3"/>
        <v/>
      </c>
    </row>
    <row r="16" spans="1:14" ht="25" x14ac:dyDescent="0.25">
      <c r="B16" s="58" t="s">
        <v>352</v>
      </c>
      <c r="C16" s="668" t="s">
        <v>1762</v>
      </c>
      <c r="D16" s="15" t="s">
        <v>61</v>
      </c>
      <c r="E16" s="15" t="s">
        <v>996</v>
      </c>
      <c r="F16" s="582">
        <v>6.3</v>
      </c>
      <c r="G16" s="411"/>
      <c r="H16" s="17">
        <f t="shared" si="0"/>
        <v>0</v>
      </c>
      <c r="I16" s="63"/>
      <c r="J16" s="61" t="s">
        <v>1721</v>
      </c>
      <c r="K16" s="399">
        <f>IF(D16="","",ROUND(6%*G16,1))</f>
        <v>0</v>
      </c>
      <c r="L16" s="420">
        <f t="shared" si="2"/>
        <v>0</v>
      </c>
      <c r="M16" s="401" t="str">
        <f t="shared" si="3"/>
        <v/>
      </c>
    </row>
    <row r="17" spans="2:13" x14ac:dyDescent="0.25">
      <c r="B17" s="58"/>
      <c r="C17" s="802"/>
      <c r="D17" s="15"/>
      <c r="E17" s="15"/>
      <c r="F17" s="24"/>
      <c r="G17" s="411"/>
      <c r="H17" s="17" t="str">
        <f t="shared" si="0"/>
        <v/>
      </c>
      <c r="I17" s="63"/>
      <c r="J17" s="61"/>
      <c r="K17" s="402"/>
      <c r="L17" s="420" t="str">
        <f t="shared" si="2"/>
        <v/>
      </c>
      <c r="M17" s="401" t="str">
        <f t="shared" si="3"/>
        <v/>
      </c>
    </row>
    <row r="18" spans="2:13" ht="25" x14ac:dyDescent="0.25">
      <c r="B18" s="58" t="s">
        <v>354</v>
      </c>
      <c r="C18" s="668" t="s">
        <v>1763</v>
      </c>
      <c r="D18" s="15" t="s">
        <v>6</v>
      </c>
      <c r="E18" s="15" t="s">
        <v>996</v>
      </c>
      <c r="F18" s="582">
        <v>4.9000000000000004</v>
      </c>
      <c r="G18" s="411"/>
      <c r="H18" s="17">
        <f t="shared" si="0"/>
        <v>0</v>
      </c>
      <c r="I18" s="63"/>
      <c r="J18" s="61" t="s">
        <v>1721</v>
      </c>
      <c r="K18" s="399">
        <f>IF(D18="","",ROUND(6%*G18,1))</f>
        <v>0</v>
      </c>
      <c r="L18" s="420">
        <f t="shared" si="2"/>
        <v>0</v>
      </c>
      <c r="M18" s="401" t="str">
        <f t="shared" si="3"/>
        <v/>
      </c>
    </row>
    <row r="19" spans="2:13" x14ac:dyDescent="0.25">
      <c r="B19" s="58"/>
      <c r="C19" s="65"/>
      <c r="D19" s="15"/>
      <c r="E19" s="15"/>
      <c r="F19" s="24"/>
      <c r="G19" s="411"/>
      <c r="H19" s="17" t="str">
        <f t="shared" si="0"/>
        <v/>
      </c>
      <c r="I19" s="57"/>
      <c r="J19" s="61"/>
      <c r="K19" s="399"/>
      <c r="L19" s="420" t="str">
        <f t="shared" si="2"/>
        <v/>
      </c>
      <c r="M19" s="401" t="str">
        <f t="shared" si="3"/>
        <v/>
      </c>
    </row>
    <row r="20" spans="2:13" ht="13" x14ac:dyDescent="0.25">
      <c r="B20" s="146" t="s">
        <v>357</v>
      </c>
      <c r="C20" s="672" t="s">
        <v>350</v>
      </c>
      <c r="D20" s="15"/>
      <c r="E20" s="15"/>
      <c r="F20" s="24"/>
      <c r="G20" s="411"/>
      <c r="H20" s="17" t="str">
        <f t="shared" si="0"/>
        <v/>
      </c>
      <c r="I20" s="57"/>
      <c r="J20" s="61"/>
      <c r="K20" s="399"/>
      <c r="L20" s="420" t="str">
        <f t="shared" si="2"/>
        <v/>
      </c>
      <c r="M20" s="401" t="str">
        <f t="shared" si="3"/>
        <v/>
      </c>
    </row>
    <row r="21" spans="2:13" x14ac:dyDescent="0.25">
      <c r="B21" s="58"/>
      <c r="C21" s="65"/>
      <c r="D21" s="15"/>
      <c r="E21" s="15"/>
      <c r="F21" s="24"/>
      <c r="G21" s="411"/>
      <c r="H21" s="17" t="str">
        <f t="shared" si="0"/>
        <v/>
      </c>
      <c r="I21" s="18"/>
      <c r="J21" s="61"/>
      <c r="K21" s="399"/>
      <c r="L21" s="420" t="str">
        <f t="shared" si="2"/>
        <v/>
      </c>
      <c r="M21" s="401" t="str">
        <f t="shared" si="3"/>
        <v/>
      </c>
    </row>
    <row r="22" spans="2:13" ht="25" x14ac:dyDescent="0.25">
      <c r="B22" s="58" t="s">
        <v>358</v>
      </c>
      <c r="C22" s="65" t="s">
        <v>2150</v>
      </c>
      <c r="D22" s="15"/>
      <c r="E22" s="15"/>
      <c r="F22" s="24"/>
      <c r="G22" s="411"/>
      <c r="H22" s="17" t="str">
        <f t="shared" si="0"/>
        <v/>
      </c>
      <c r="I22" s="18"/>
      <c r="J22" s="61"/>
      <c r="K22" s="399"/>
      <c r="L22" s="420" t="str">
        <f t="shared" si="2"/>
        <v/>
      </c>
      <c r="M22" s="401" t="str">
        <f t="shared" si="3"/>
        <v/>
      </c>
    </row>
    <row r="23" spans="2:13" x14ac:dyDescent="0.25">
      <c r="B23" s="58"/>
      <c r="C23" s="65"/>
      <c r="D23" s="15"/>
      <c r="E23" s="15"/>
      <c r="F23" s="24"/>
      <c r="G23" s="411"/>
      <c r="H23" s="17" t="str">
        <f t="shared" si="0"/>
        <v/>
      </c>
      <c r="I23" s="18"/>
      <c r="J23" s="61"/>
      <c r="K23" s="399"/>
      <c r="L23" s="420" t="str">
        <f t="shared" si="2"/>
        <v/>
      </c>
      <c r="M23" s="401" t="str">
        <f t="shared" si="3"/>
        <v/>
      </c>
    </row>
    <row r="24" spans="2:13" x14ac:dyDescent="0.25">
      <c r="B24" s="58" t="s">
        <v>39</v>
      </c>
      <c r="C24" s="65" t="s">
        <v>1760</v>
      </c>
      <c r="D24" s="15" t="s">
        <v>6</v>
      </c>
      <c r="E24" s="15" t="s">
        <v>996</v>
      </c>
      <c r="F24" s="24">
        <v>12</v>
      </c>
      <c r="G24" s="411"/>
      <c r="H24" s="17">
        <f t="shared" si="0"/>
        <v>0</v>
      </c>
      <c r="I24" s="18"/>
      <c r="J24" s="61" t="s">
        <v>1721</v>
      </c>
      <c r="K24" s="399">
        <f>IF(D24="","",ROUND(6%*G24,1))</f>
        <v>0</v>
      </c>
      <c r="L24" s="420">
        <f t="shared" si="2"/>
        <v>0</v>
      </c>
      <c r="M24" s="401" t="str">
        <f t="shared" si="3"/>
        <v/>
      </c>
    </row>
    <row r="25" spans="2:13" x14ac:dyDescent="0.25">
      <c r="B25" s="58"/>
      <c r="C25" s="65"/>
      <c r="D25" s="15"/>
      <c r="E25" s="15"/>
      <c r="F25" s="24"/>
      <c r="G25" s="411"/>
      <c r="H25" s="17" t="str">
        <f t="shared" si="0"/>
        <v/>
      </c>
      <c r="I25" s="18"/>
      <c r="J25" s="61"/>
      <c r="K25" s="399" t="str">
        <f t="shared" ref="K25" si="4">IF(D25="","",ROUND(Labour_perc_structures*H25,1))</f>
        <v/>
      </c>
      <c r="L25" s="420" t="str">
        <f t="shared" si="2"/>
        <v/>
      </c>
      <c r="M25" s="401" t="str">
        <f t="shared" si="3"/>
        <v/>
      </c>
    </row>
    <row r="26" spans="2:13" x14ac:dyDescent="0.25">
      <c r="B26" s="58" t="s">
        <v>41</v>
      </c>
      <c r="C26" s="65" t="s">
        <v>1761</v>
      </c>
      <c r="D26" s="15" t="s">
        <v>6</v>
      </c>
      <c r="E26" s="15" t="s">
        <v>996</v>
      </c>
      <c r="F26" s="24">
        <v>31</v>
      </c>
      <c r="G26" s="411"/>
      <c r="H26" s="17">
        <f t="shared" si="0"/>
        <v>0</v>
      </c>
      <c r="I26" s="18"/>
      <c r="J26" s="61" t="s">
        <v>1721</v>
      </c>
      <c r="K26" s="399">
        <f>IF(D26="","",ROUND(6%*G26,1))</f>
        <v>0</v>
      </c>
      <c r="L26" s="420">
        <f t="shared" si="2"/>
        <v>0</v>
      </c>
      <c r="M26" s="401" t="str">
        <f t="shared" si="3"/>
        <v/>
      </c>
    </row>
    <row r="27" spans="2:13" x14ac:dyDescent="0.25">
      <c r="B27" s="58"/>
      <c r="C27" s="65"/>
      <c r="D27" s="15"/>
      <c r="E27" s="15"/>
      <c r="F27" s="647"/>
      <c r="G27" s="411"/>
      <c r="H27" s="17" t="str">
        <f t="shared" si="0"/>
        <v/>
      </c>
      <c r="I27" s="63"/>
      <c r="J27" s="61"/>
      <c r="K27" s="399"/>
      <c r="L27" s="420" t="str">
        <f t="shared" si="2"/>
        <v/>
      </c>
      <c r="M27" s="401" t="str">
        <f t="shared" si="3"/>
        <v/>
      </c>
    </row>
    <row r="28" spans="2:13" ht="39" x14ac:dyDescent="0.25">
      <c r="B28" s="146" t="s">
        <v>1900</v>
      </c>
      <c r="C28" s="807" t="s">
        <v>1768</v>
      </c>
      <c r="D28" s="666"/>
      <c r="E28" s="666"/>
      <c r="F28" s="15"/>
      <c r="G28" s="411"/>
      <c r="H28" s="17" t="str">
        <f t="shared" ref="H28:H30" si="5">IF(D28="","",F28*G28)</f>
        <v/>
      </c>
      <c r="I28" s="18"/>
      <c r="J28" s="61"/>
      <c r="K28" s="610" t="str">
        <f t="shared" ref="K28:K29" si="6">IF(D28="","",ROUND(Labour_perc_structures*H28,1))</f>
        <v/>
      </c>
      <c r="L28" s="420" t="str">
        <f t="shared" ref="L28:L30" si="7">IF(J28="","",F28*K28)</f>
        <v/>
      </c>
      <c r="M28" s="401" t="str">
        <f t="shared" ref="M28:M30" si="8">IF(J28="","",IF(SUM(H28)=0,"",L28/H28))</f>
        <v/>
      </c>
    </row>
    <row r="29" spans="2:13" x14ac:dyDescent="0.25">
      <c r="B29" s="58"/>
      <c r="C29" s="667"/>
      <c r="D29" s="666"/>
      <c r="E29" s="666"/>
      <c r="F29" s="15"/>
      <c r="G29" s="411"/>
      <c r="H29" s="17" t="str">
        <f t="shared" si="5"/>
        <v/>
      </c>
      <c r="I29" s="18"/>
      <c r="J29" s="61"/>
      <c r="K29" s="605" t="str">
        <f t="shared" si="6"/>
        <v/>
      </c>
      <c r="L29" s="420" t="str">
        <f t="shared" si="7"/>
        <v/>
      </c>
      <c r="M29" s="401" t="str">
        <f t="shared" si="8"/>
        <v/>
      </c>
    </row>
    <row r="30" spans="2:13" s="36" customFormat="1" x14ac:dyDescent="0.25">
      <c r="B30" s="58" t="s">
        <v>39</v>
      </c>
      <c r="C30" s="668" t="s">
        <v>1771</v>
      </c>
      <c r="D30" s="666" t="s">
        <v>6</v>
      </c>
      <c r="E30" s="666" t="s">
        <v>996</v>
      </c>
      <c r="F30" s="15">
        <v>8</v>
      </c>
      <c r="G30" s="411"/>
      <c r="H30" s="17">
        <f t="shared" si="5"/>
        <v>0</v>
      </c>
      <c r="I30" s="18"/>
      <c r="J30" s="61" t="s">
        <v>1721</v>
      </c>
      <c r="K30" s="399">
        <f>IF(D30="","",ROUND(6%*G30,1))</f>
        <v>0</v>
      </c>
      <c r="L30" s="420">
        <f t="shared" si="7"/>
        <v>0</v>
      </c>
      <c r="M30" s="401" t="str">
        <f t="shared" si="8"/>
        <v/>
      </c>
    </row>
    <row r="31" spans="2:13" x14ac:dyDescent="0.25">
      <c r="B31" s="58"/>
      <c r="C31" s="668"/>
      <c r="D31" s="666"/>
      <c r="E31" s="666"/>
      <c r="F31" s="15"/>
      <c r="G31" s="411"/>
      <c r="H31" s="17" t="str">
        <f t="shared" si="0"/>
        <v/>
      </c>
      <c r="I31" s="18"/>
      <c r="J31" s="61"/>
      <c r="K31" s="605"/>
      <c r="L31" s="420" t="str">
        <f t="shared" si="2"/>
        <v/>
      </c>
      <c r="M31" s="401" t="str">
        <f t="shared" si="3"/>
        <v/>
      </c>
    </row>
    <row r="32" spans="2:13" x14ac:dyDescent="0.25">
      <c r="B32" s="58"/>
      <c r="C32" s="668"/>
      <c r="D32" s="666"/>
      <c r="E32" s="666"/>
      <c r="F32" s="15"/>
      <c r="G32" s="411"/>
      <c r="H32" s="17" t="str">
        <f t="shared" si="0"/>
        <v/>
      </c>
      <c r="I32" s="18"/>
      <c r="J32" s="61"/>
      <c r="K32" s="605"/>
      <c r="L32" s="420" t="str">
        <f t="shared" si="2"/>
        <v/>
      </c>
      <c r="M32" s="401" t="str">
        <f t="shared" si="3"/>
        <v/>
      </c>
    </row>
    <row r="33" spans="2:13" x14ac:dyDescent="0.25">
      <c r="B33" s="58"/>
      <c r="C33" s="668"/>
      <c r="D33" s="666"/>
      <c r="E33" s="666"/>
      <c r="F33" s="15"/>
      <c r="G33" s="411"/>
      <c r="H33" s="17" t="str">
        <f t="shared" si="0"/>
        <v/>
      </c>
      <c r="I33" s="18"/>
      <c r="J33" s="61"/>
      <c r="K33" s="609"/>
      <c r="L33" s="420" t="str">
        <f t="shared" si="2"/>
        <v/>
      </c>
      <c r="M33" s="401" t="str">
        <f t="shared" si="3"/>
        <v/>
      </c>
    </row>
    <row r="34" spans="2:13" ht="13" x14ac:dyDescent="0.25">
      <c r="B34" s="146"/>
      <c r="C34" s="807"/>
      <c r="D34" s="666"/>
      <c r="E34" s="666"/>
      <c r="F34" s="15"/>
      <c r="G34" s="411"/>
      <c r="H34" s="17" t="str">
        <f t="shared" si="0"/>
        <v/>
      </c>
      <c r="I34" s="18"/>
      <c r="J34" s="61"/>
      <c r="K34" s="610" t="str">
        <f t="shared" ref="K34:K35" si="9">IF(D34="","",ROUND(Labour_perc_structures*H34,1))</f>
        <v/>
      </c>
      <c r="L34" s="420" t="str">
        <f t="shared" si="2"/>
        <v/>
      </c>
      <c r="M34" s="401" t="str">
        <f t="shared" si="3"/>
        <v/>
      </c>
    </row>
    <row r="35" spans="2:13" x14ac:dyDescent="0.25">
      <c r="B35" s="58"/>
      <c r="C35" s="667"/>
      <c r="D35" s="666"/>
      <c r="E35" s="666"/>
      <c r="F35" s="15"/>
      <c r="G35" s="411"/>
      <c r="H35" s="17" t="str">
        <f t="shared" si="0"/>
        <v/>
      </c>
      <c r="I35" s="18"/>
      <c r="J35" s="61"/>
      <c r="K35" s="605" t="str">
        <f t="shared" si="9"/>
        <v/>
      </c>
      <c r="L35" s="420" t="str">
        <f t="shared" si="2"/>
        <v/>
      </c>
      <c r="M35" s="401" t="str">
        <f t="shared" si="3"/>
        <v/>
      </c>
    </row>
    <row r="36" spans="2:13" x14ac:dyDescent="0.25">
      <c r="B36" s="58"/>
      <c r="C36" s="668"/>
      <c r="D36" s="666"/>
      <c r="E36" s="666"/>
      <c r="F36" s="15"/>
      <c r="G36" s="411"/>
      <c r="H36" s="17" t="str">
        <f t="shared" si="0"/>
        <v/>
      </c>
      <c r="I36" s="18"/>
      <c r="J36" s="61"/>
      <c r="K36" s="605"/>
      <c r="L36" s="420" t="str">
        <f t="shared" si="2"/>
        <v/>
      </c>
      <c r="M36" s="401" t="str">
        <f t="shared" si="3"/>
        <v/>
      </c>
    </row>
    <row r="37" spans="2:13" x14ac:dyDescent="0.25">
      <c r="B37" s="58"/>
      <c r="C37" s="65"/>
      <c r="D37" s="15"/>
      <c r="E37" s="15"/>
      <c r="F37" s="647"/>
      <c r="G37" s="411"/>
      <c r="H37" s="17" t="str">
        <f t="shared" si="0"/>
        <v/>
      </c>
      <c r="I37" s="18"/>
      <c r="J37" s="61"/>
      <c r="K37" s="399"/>
      <c r="L37" s="420" t="str">
        <f t="shared" si="2"/>
        <v/>
      </c>
      <c r="M37" s="401" t="str">
        <f t="shared" si="3"/>
        <v/>
      </c>
    </row>
    <row r="38" spans="2:13" x14ac:dyDescent="0.25">
      <c r="B38" s="58"/>
      <c r="C38" s="65"/>
      <c r="D38" s="15"/>
      <c r="E38" s="15"/>
      <c r="F38" s="647"/>
      <c r="G38" s="411"/>
      <c r="H38" s="17" t="str">
        <f t="shared" si="0"/>
        <v/>
      </c>
      <c r="I38" s="18"/>
      <c r="J38" s="61"/>
      <c r="K38" s="399"/>
      <c r="L38" s="420" t="str">
        <f t="shared" si="2"/>
        <v/>
      </c>
      <c r="M38" s="401" t="str">
        <f t="shared" si="3"/>
        <v/>
      </c>
    </row>
    <row r="39" spans="2:13" x14ac:dyDescent="0.25">
      <c r="B39" s="58"/>
      <c r="C39" s="65"/>
      <c r="D39" s="15"/>
      <c r="E39" s="15"/>
      <c r="F39" s="647"/>
      <c r="G39" s="411"/>
      <c r="H39" s="17" t="str">
        <f t="shared" si="0"/>
        <v/>
      </c>
      <c r="I39" s="18"/>
      <c r="J39" s="61"/>
      <c r="K39" s="399" t="str">
        <f t="shared" ref="K39:K41" si="10">IF(D39="","",ROUND(Labour_perc_structures*H39,1))</f>
        <v/>
      </c>
      <c r="L39" s="420" t="str">
        <f t="shared" si="2"/>
        <v/>
      </c>
      <c r="M39" s="401" t="str">
        <f t="shared" si="3"/>
        <v/>
      </c>
    </row>
    <row r="40" spans="2:13" x14ac:dyDescent="0.25">
      <c r="B40" s="58"/>
      <c r="C40" s="65"/>
      <c r="D40" s="15"/>
      <c r="E40" s="15"/>
      <c r="F40" s="647"/>
      <c r="G40" s="411"/>
      <c r="H40" s="17" t="str">
        <f t="shared" si="0"/>
        <v/>
      </c>
      <c r="I40" s="18"/>
      <c r="J40" s="61"/>
      <c r="K40" s="399" t="str">
        <f t="shared" si="10"/>
        <v/>
      </c>
      <c r="L40" s="420" t="str">
        <f t="shared" si="2"/>
        <v/>
      </c>
      <c r="M40" s="401" t="str">
        <f t="shared" si="3"/>
        <v/>
      </c>
    </row>
    <row r="41" spans="2:13" x14ac:dyDescent="0.25">
      <c r="B41" s="58"/>
      <c r="C41" s="65"/>
      <c r="D41" s="15"/>
      <c r="E41" s="15"/>
      <c r="F41" s="15"/>
      <c r="G41" s="411"/>
      <c r="H41" s="17" t="str">
        <f t="shared" si="0"/>
        <v/>
      </c>
      <c r="I41" s="18"/>
      <c r="J41" s="61"/>
      <c r="K41" s="399" t="str">
        <f t="shared" si="10"/>
        <v/>
      </c>
      <c r="L41" s="420" t="str">
        <f t="shared" si="2"/>
        <v/>
      </c>
      <c r="M41" s="401" t="str">
        <f t="shared" si="3"/>
        <v/>
      </c>
    </row>
    <row r="42" spans="2:13" x14ac:dyDescent="0.25">
      <c r="B42" s="58"/>
      <c r="C42" s="65"/>
      <c r="D42" s="15"/>
      <c r="E42" s="15"/>
      <c r="F42" s="15"/>
      <c r="G42" s="411"/>
      <c r="H42" s="17" t="str">
        <f t="shared" si="0"/>
        <v/>
      </c>
      <c r="I42" s="18"/>
      <c r="J42" s="61"/>
      <c r="K42" s="402"/>
      <c r="L42" s="420" t="str">
        <f t="shared" si="2"/>
        <v/>
      </c>
      <c r="M42" s="401" t="str">
        <f t="shared" si="3"/>
        <v/>
      </c>
    </row>
    <row r="43" spans="2:13" x14ac:dyDescent="0.25">
      <c r="B43" s="58"/>
      <c r="C43" s="65"/>
      <c r="D43" s="15"/>
      <c r="E43" s="15"/>
      <c r="F43" s="15"/>
      <c r="G43" s="411"/>
      <c r="H43" s="17" t="str">
        <f t="shared" si="0"/>
        <v/>
      </c>
      <c r="I43" s="18"/>
      <c r="J43" s="61"/>
      <c r="K43" s="399"/>
      <c r="L43" s="420" t="str">
        <f t="shared" si="2"/>
        <v/>
      </c>
      <c r="M43" s="401" t="str">
        <f t="shared" si="3"/>
        <v/>
      </c>
    </row>
    <row r="44" spans="2:13" x14ac:dyDescent="0.25">
      <c r="B44" s="58"/>
      <c r="C44" s="65"/>
      <c r="D44" s="15"/>
      <c r="E44" s="15"/>
      <c r="F44" s="15"/>
      <c r="G44" s="411"/>
      <c r="H44" s="17" t="str">
        <f t="shared" si="0"/>
        <v/>
      </c>
      <c r="I44" s="18"/>
      <c r="J44" s="61"/>
      <c r="K44" s="402"/>
      <c r="L44" s="420" t="str">
        <f t="shared" si="2"/>
        <v/>
      </c>
      <c r="M44" s="401" t="str">
        <f t="shared" si="3"/>
        <v/>
      </c>
    </row>
    <row r="45" spans="2:13" x14ac:dyDescent="0.25">
      <c r="B45" s="58"/>
      <c r="C45" s="65"/>
      <c r="D45" s="15"/>
      <c r="E45" s="15"/>
      <c r="F45" s="15"/>
      <c r="G45" s="411"/>
      <c r="H45" s="17" t="str">
        <f t="shared" si="0"/>
        <v/>
      </c>
      <c r="I45" s="18"/>
      <c r="J45" s="61"/>
      <c r="K45" s="399"/>
      <c r="L45" s="420" t="str">
        <f t="shared" si="2"/>
        <v/>
      </c>
      <c r="M45" s="401" t="str">
        <f t="shared" si="3"/>
        <v/>
      </c>
    </row>
    <row r="46" spans="2:13" x14ac:dyDescent="0.25">
      <c r="B46" s="58"/>
      <c r="C46" s="65"/>
      <c r="D46" s="15"/>
      <c r="E46" s="15"/>
      <c r="F46" s="15"/>
      <c r="G46" s="411"/>
      <c r="H46" s="17" t="str">
        <f t="shared" si="0"/>
        <v/>
      </c>
      <c r="I46" s="18"/>
      <c r="J46" s="61"/>
      <c r="K46" s="399"/>
      <c r="L46" s="420" t="str">
        <f t="shared" si="2"/>
        <v/>
      </c>
      <c r="M46" s="401" t="str">
        <f t="shared" si="3"/>
        <v/>
      </c>
    </row>
    <row r="47" spans="2:13" x14ac:dyDescent="0.25">
      <c r="B47" s="58"/>
      <c r="C47" s="65"/>
      <c r="D47" s="15"/>
      <c r="E47" s="15"/>
      <c r="F47" s="15"/>
      <c r="G47" s="411"/>
      <c r="H47" s="17" t="str">
        <f t="shared" si="0"/>
        <v/>
      </c>
      <c r="I47" s="18"/>
      <c r="J47" s="61"/>
      <c r="K47" s="399"/>
      <c r="L47" s="420" t="str">
        <f t="shared" si="2"/>
        <v/>
      </c>
      <c r="M47" s="401" t="str">
        <f t="shared" si="3"/>
        <v/>
      </c>
    </row>
    <row r="48" spans="2:13" x14ac:dyDescent="0.25">
      <c r="B48" s="58"/>
      <c r="C48" s="65"/>
      <c r="D48" s="15"/>
      <c r="E48" s="15"/>
      <c r="F48" s="15"/>
      <c r="G48" s="411"/>
      <c r="H48" s="17" t="str">
        <f t="shared" si="0"/>
        <v/>
      </c>
      <c r="I48" s="18"/>
      <c r="J48" s="61"/>
      <c r="K48" s="399"/>
      <c r="L48" s="420" t="str">
        <f t="shared" si="2"/>
        <v/>
      </c>
      <c r="M48" s="401" t="str">
        <f t="shared" si="3"/>
        <v/>
      </c>
    </row>
    <row r="49" spans="2:13" x14ac:dyDescent="0.25">
      <c r="B49" s="58"/>
      <c r="C49" s="65"/>
      <c r="D49" s="15"/>
      <c r="E49" s="15"/>
      <c r="F49" s="15"/>
      <c r="G49" s="411"/>
      <c r="H49" s="17" t="str">
        <f t="shared" si="0"/>
        <v/>
      </c>
      <c r="I49" s="18"/>
      <c r="J49" s="62"/>
      <c r="K49" s="62"/>
      <c r="L49" s="420" t="str">
        <f t="shared" si="2"/>
        <v/>
      </c>
      <c r="M49" s="401" t="str">
        <f t="shared" si="3"/>
        <v/>
      </c>
    </row>
    <row r="50" spans="2:13" x14ac:dyDescent="0.25">
      <c r="B50" s="58"/>
      <c r="C50" s="65"/>
      <c r="D50" s="15"/>
      <c r="E50" s="15"/>
      <c r="F50" s="15"/>
      <c r="G50" s="411"/>
      <c r="H50" s="17" t="str">
        <f t="shared" ref="H50:H69" si="11">IF(D50="","",F50*G50)</f>
        <v/>
      </c>
      <c r="I50" s="18"/>
      <c r="J50" s="62"/>
      <c r="K50" s="62"/>
      <c r="L50" s="420" t="str">
        <f t="shared" ref="L50:L69" si="12">IF(J50="","",F50*K50)</f>
        <v/>
      </c>
      <c r="M50" s="401" t="str">
        <f t="shared" ref="M50:M69" si="13">IF(J50="","",IF(SUM(H50)=0,"",L50/H50))</f>
        <v/>
      </c>
    </row>
    <row r="51" spans="2:13" x14ac:dyDescent="0.25">
      <c r="B51" s="58"/>
      <c r="C51" s="65"/>
      <c r="D51" s="15"/>
      <c r="E51" s="15"/>
      <c r="F51" s="15"/>
      <c r="G51" s="411"/>
      <c r="H51" s="17" t="str">
        <f t="shared" si="11"/>
        <v/>
      </c>
      <c r="I51" s="18"/>
      <c r="J51" s="62"/>
      <c r="K51" s="62"/>
      <c r="L51" s="420" t="str">
        <f t="shared" si="12"/>
        <v/>
      </c>
      <c r="M51" s="401" t="str">
        <f t="shared" si="13"/>
        <v/>
      </c>
    </row>
    <row r="52" spans="2:13" x14ac:dyDescent="0.25">
      <c r="B52" s="58"/>
      <c r="C52" s="65"/>
      <c r="D52" s="15"/>
      <c r="E52" s="15"/>
      <c r="F52" s="15"/>
      <c r="G52" s="411"/>
      <c r="H52" s="17" t="str">
        <f t="shared" si="11"/>
        <v/>
      </c>
      <c r="I52" s="18"/>
      <c r="J52" s="62"/>
      <c r="K52" s="62"/>
      <c r="L52" s="420" t="str">
        <f t="shared" si="12"/>
        <v/>
      </c>
      <c r="M52" s="401" t="str">
        <f t="shared" si="13"/>
        <v/>
      </c>
    </row>
    <row r="53" spans="2:13" x14ac:dyDescent="0.25">
      <c r="B53" s="58"/>
      <c r="C53" s="65"/>
      <c r="D53" s="15"/>
      <c r="E53" s="15"/>
      <c r="F53" s="15"/>
      <c r="G53" s="411"/>
      <c r="H53" s="17" t="str">
        <f t="shared" si="11"/>
        <v/>
      </c>
      <c r="I53" s="18"/>
      <c r="J53" s="62"/>
      <c r="K53" s="62"/>
      <c r="L53" s="420" t="str">
        <f t="shared" si="12"/>
        <v/>
      </c>
      <c r="M53" s="401" t="str">
        <f t="shared" si="13"/>
        <v/>
      </c>
    </row>
    <row r="54" spans="2:13" x14ac:dyDescent="0.25">
      <c r="B54" s="58"/>
      <c r="C54" s="65"/>
      <c r="D54" s="15"/>
      <c r="E54" s="15"/>
      <c r="F54" s="15"/>
      <c r="G54" s="411"/>
      <c r="H54" s="17" t="str">
        <f t="shared" si="11"/>
        <v/>
      </c>
      <c r="I54" s="18"/>
      <c r="J54" s="62"/>
      <c r="K54" s="62"/>
      <c r="L54" s="420" t="str">
        <f t="shared" si="12"/>
        <v/>
      </c>
      <c r="M54" s="401" t="str">
        <f t="shared" si="13"/>
        <v/>
      </c>
    </row>
    <row r="55" spans="2:13" x14ac:dyDescent="0.25">
      <c r="B55" s="58"/>
      <c r="C55" s="65"/>
      <c r="D55" s="15"/>
      <c r="E55" s="15"/>
      <c r="F55" s="15"/>
      <c r="G55" s="411"/>
      <c r="H55" s="17" t="str">
        <f t="shared" si="11"/>
        <v/>
      </c>
      <c r="I55" s="18"/>
      <c r="J55" s="62"/>
      <c r="K55" s="62"/>
      <c r="L55" s="420" t="str">
        <f t="shared" si="12"/>
        <v/>
      </c>
      <c r="M55" s="401" t="str">
        <f t="shared" si="13"/>
        <v/>
      </c>
    </row>
    <row r="56" spans="2:13" x14ac:dyDescent="0.25">
      <c r="B56" s="58"/>
      <c r="C56" s="65"/>
      <c r="D56" s="15"/>
      <c r="E56" s="15"/>
      <c r="F56" s="15"/>
      <c r="G56" s="411"/>
      <c r="H56" s="17" t="str">
        <f t="shared" si="11"/>
        <v/>
      </c>
      <c r="I56" s="18"/>
      <c r="J56" s="62"/>
      <c r="K56" s="62"/>
      <c r="L56" s="420" t="str">
        <f t="shared" si="12"/>
        <v/>
      </c>
      <c r="M56" s="401" t="str">
        <f t="shared" si="13"/>
        <v/>
      </c>
    </row>
    <row r="57" spans="2:13" x14ac:dyDescent="0.25">
      <c r="B57" s="58"/>
      <c r="C57" s="65"/>
      <c r="D57" s="15"/>
      <c r="E57" s="15"/>
      <c r="F57" s="15"/>
      <c r="G57" s="411"/>
      <c r="H57" s="17" t="str">
        <f t="shared" si="11"/>
        <v/>
      </c>
      <c r="I57" s="18"/>
      <c r="J57" s="62"/>
      <c r="K57" s="62"/>
      <c r="L57" s="420" t="str">
        <f t="shared" si="12"/>
        <v/>
      </c>
      <c r="M57" s="401" t="str">
        <f t="shared" si="13"/>
        <v/>
      </c>
    </row>
    <row r="58" spans="2:13" x14ac:dyDescent="0.25">
      <c r="B58" s="58"/>
      <c r="C58" s="65"/>
      <c r="D58" s="15"/>
      <c r="E58" s="15"/>
      <c r="F58" s="15"/>
      <c r="G58" s="411"/>
      <c r="H58" s="17" t="str">
        <f t="shared" si="11"/>
        <v/>
      </c>
      <c r="I58" s="18"/>
      <c r="J58" s="62"/>
      <c r="K58" s="62"/>
      <c r="L58" s="420" t="str">
        <f t="shared" si="12"/>
        <v/>
      </c>
      <c r="M58" s="401" t="str">
        <f t="shared" si="13"/>
        <v/>
      </c>
    </row>
    <row r="59" spans="2:13" x14ac:dyDescent="0.25">
      <c r="B59" s="58"/>
      <c r="C59" s="65"/>
      <c r="D59" s="15"/>
      <c r="E59" s="15"/>
      <c r="F59" s="15"/>
      <c r="G59" s="411"/>
      <c r="H59" s="17" t="str">
        <f t="shared" si="11"/>
        <v/>
      </c>
      <c r="I59" s="18"/>
      <c r="J59" s="62"/>
      <c r="K59" s="62"/>
      <c r="L59" s="420" t="str">
        <f t="shared" si="12"/>
        <v/>
      </c>
      <c r="M59" s="401" t="str">
        <f t="shared" si="13"/>
        <v/>
      </c>
    </row>
    <row r="60" spans="2:13" x14ac:dyDescent="0.25">
      <c r="B60" s="58"/>
      <c r="C60" s="65"/>
      <c r="D60" s="15"/>
      <c r="E60" s="15"/>
      <c r="F60" s="15"/>
      <c r="G60" s="411"/>
      <c r="H60" s="17" t="str">
        <f t="shared" si="11"/>
        <v/>
      </c>
      <c r="I60" s="18"/>
      <c r="J60" s="62"/>
      <c r="K60" s="62"/>
      <c r="L60" s="420" t="str">
        <f t="shared" si="12"/>
        <v/>
      </c>
      <c r="M60" s="401" t="str">
        <f t="shared" si="13"/>
        <v/>
      </c>
    </row>
    <row r="61" spans="2:13" x14ac:dyDescent="0.25">
      <c r="B61" s="58"/>
      <c r="C61" s="65"/>
      <c r="D61" s="15"/>
      <c r="E61" s="15"/>
      <c r="F61" s="15"/>
      <c r="G61" s="411"/>
      <c r="H61" s="17" t="str">
        <f t="shared" si="11"/>
        <v/>
      </c>
      <c r="I61" s="18"/>
      <c r="J61" s="62"/>
      <c r="K61" s="62"/>
      <c r="L61" s="420" t="str">
        <f t="shared" si="12"/>
        <v/>
      </c>
      <c r="M61" s="401" t="str">
        <f t="shared" si="13"/>
        <v/>
      </c>
    </row>
    <row r="62" spans="2:13" x14ac:dyDescent="0.25">
      <c r="B62" s="58"/>
      <c r="C62" s="65"/>
      <c r="D62" s="15"/>
      <c r="E62" s="15"/>
      <c r="F62" s="15"/>
      <c r="G62" s="411"/>
      <c r="H62" s="17" t="str">
        <f t="shared" si="11"/>
        <v/>
      </c>
      <c r="I62" s="18"/>
      <c r="J62" s="62"/>
      <c r="K62" s="62"/>
      <c r="L62" s="420" t="str">
        <f t="shared" si="12"/>
        <v/>
      </c>
      <c r="M62" s="401" t="str">
        <f t="shared" si="13"/>
        <v/>
      </c>
    </row>
    <row r="63" spans="2:13" x14ac:dyDescent="0.25">
      <c r="B63" s="58"/>
      <c r="C63" s="65"/>
      <c r="D63" s="15"/>
      <c r="E63" s="15"/>
      <c r="F63" s="15"/>
      <c r="G63" s="411"/>
      <c r="H63" s="17" t="str">
        <f t="shared" si="11"/>
        <v/>
      </c>
      <c r="I63" s="18"/>
      <c r="J63" s="62"/>
      <c r="K63" s="62"/>
      <c r="L63" s="420" t="str">
        <f t="shared" si="12"/>
        <v/>
      </c>
      <c r="M63" s="401" t="str">
        <f t="shared" si="13"/>
        <v/>
      </c>
    </row>
    <row r="64" spans="2:13" x14ac:dyDescent="0.25">
      <c r="B64" s="58"/>
      <c r="C64" s="65"/>
      <c r="D64" s="15"/>
      <c r="E64" s="15"/>
      <c r="F64" s="15"/>
      <c r="G64" s="411"/>
      <c r="H64" s="17" t="str">
        <f t="shared" si="11"/>
        <v/>
      </c>
      <c r="I64" s="18"/>
      <c r="J64" s="62"/>
      <c r="K64" s="62"/>
      <c r="L64" s="420" t="str">
        <f t="shared" si="12"/>
        <v/>
      </c>
      <c r="M64" s="401" t="str">
        <f t="shared" si="13"/>
        <v/>
      </c>
    </row>
    <row r="65" spans="2:13" x14ac:dyDescent="0.25">
      <c r="B65" s="58"/>
      <c r="C65" s="65"/>
      <c r="D65" s="15"/>
      <c r="E65" s="15"/>
      <c r="F65" s="15"/>
      <c r="G65" s="411"/>
      <c r="H65" s="17" t="str">
        <f t="shared" si="11"/>
        <v/>
      </c>
      <c r="I65" s="18"/>
      <c r="J65" s="62"/>
      <c r="K65" s="62"/>
      <c r="L65" s="420" t="str">
        <f t="shared" si="12"/>
        <v/>
      </c>
      <c r="M65" s="401" t="str">
        <f t="shared" si="13"/>
        <v/>
      </c>
    </row>
    <row r="66" spans="2:13" x14ac:dyDescent="0.25">
      <c r="B66" s="58"/>
      <c r="C66" s="65"/>
      <c r="D66" s="15"/>
      <c r="E66" s="15"/>
      <c r="F66" s="15"/>
      <c r="G66" s="411"/>
      <c r="H66" s="17" t="str">
        <f t="shared" si="11"/>
        <v/>
      </c>
      <c r="I66" s="18"/>
      <c r="J66" s="62"/>
      <c r="K66" s="62"/>
      <c r="L66" s="420" t="str">
        <f t="shared" si="12"/>
        <v/>
      </c>
      <c r="M66" s="401" t="str">
        <f t="shared" si="13"/>
        <v/>
      </c>
    </row>
    <row r="67" spans="2:13" x14ac:dyDescent="0.25">
      <c r="B67" s="58"/>
      <c r="C67" s="65"/>
      <c r="D67" s="15"/>
      <c r="E67" s="15"/>
      <c r="F67" s="15"/>
      <c r="G67" s="411"/>
      <c r="H67" s="17" t="str">
        <f t="shared" si="11"/>
        <v/>
      </c>
      <c r="I67" s="18"/>
      <c r="J67" s="62"/>
      <c r="K67" s="62"/>
      <c r="L67" s="420" t="str">
        <f t="shared" si="12"/>
        <v/>
      </c>
      <c r="M67" s="401" t="str">
        <f t="shared" si="13"/>
        <v/>
      </c>
    </row>
    <row r="68" spans="2:13" x14ac:dyDescent="0.25">
      <c r="B68" s="58"/>
      <c r="C68" s="65"/>
      <c r="D68" s="15"/>
      <c r="E68" s="15"/>
      <c r="F68" s="15"/>
      <c r="G68" s="411"/>
      <c r="H68" s="17" t="str">
        <f t="shared" si="11"/>
        <v/>
      </c>
      <c r="I68" s="18"/>
      <c r="J68" s="62"/>
      <c r="K68" s="62"/>
      <c r="L68" s="420" t="str">
        <f t="shared" si="12"/>
        <v/>
      </c>
      <c r="M68" s="401" t="str">
        <f t="shared" si="13"/>
        <v/>
      </c>
    </row>
    <row r="69" spans="2:13" x14ac:dyDescent="0.25">
      <c r="B69" s="58"/>
      <c r="C69" s="65"/>
      <c r="D69" s="15"/>
      <c r="E69" s="15"/>
      <c r="F69" s="15"/>
      <c r="G69" s="411"/>
      <c r="H69" s="17" t="str">
        <f t="shared" si="11"/>
        <v/>
      </c>
      <c r="I69" s="18"/>
      <c r="J69" s="62"/>
      <c r="K69" s="62"/>
      <c r="L69" s="420" t="str">
        <f t="shared" si="12"/>
        <v/>
      </c>
      <c r="M69" s="401" t="str">
        <f t="shared" si="13"/>
        <v/>
      </c>
    </row>
    <row r="70" spans="2:13" x14ac:dyDescent="0.25">
      <c r="B70" s="58"/>
      <c r="C70" s="65"/>
      <c r="D70" s="15"/>
      <c r="E70" s="15"/>
      <c r="F70" s="15"/>
      <c r="G70" s="411"/>
      <c r="H70" s="17" t="str">
        <f t="shared" si="0"/>
        <v/>
      </c>
      <c r="I70" s="18"/>
      <c r="J70" s="61"/>
      <c r="K70" s="695"/>
      <c r="L70" s="420" t="str">
        <f t="shared" si="2"/>
        <v/>
      </c>
      <c r="M70" s="401" t="str">
        <f t="shared" si="3"/>
        <v/>
      </c>
    </row>
    <row r="71" spans="2:13" x14ac:dyDescent="0.25">
      <c r="B71" s="58"/>
      <c r="C71" s="65"/>
      <c r="D71" s="15"/>
      <c r="E71" s="15"/>
      <c r="F71" s="15"/>
      <c r="G71" s="411"/>
      <c r="H71" s="17" t="str">
        <f t="shared" si="0"/>
        <v/>
      </c>
      <c r="I71" s="18"/>
      <c r="J71" s="61"/>
      <c r="K71" s="696"/>
      <c r="L71" s="420" t="str">
        <f t="shared" si="2"/>
        <v/>
      </c>
      <c r="M71" s="401" t="str">
        <f t="shared" si="3"/>
        <v/>
      </c>
    </row>
    <row r="72" spans="2:13" s="28" customFormat="1" ht="19.5" customHeight="1" x14ac:dyDescent="0.25">
      <c r="B72" s="135" t="str">
        <f>$B$12</f>
        <v>C13.7</v>
      </c>
      <c r="C72" s="30" t="s">
        <v>12</v>
      </c>
      <c r="D72" s="31"/>
      <c r="E72" s="31"/>
      <c r="F72" s="32"/>
      <c r="G72" s="31"/>
      <c r="H72" s="33">
        <f>SUM(H11:H71)</f>
        <v>0</v>
      </c>
      <c r="I72" s="34"/>
      <c r="J72" s="408"/>
      <c r="K72" s="406"/>
      <c r="L72" s="418">
        <f>SUM(L11:L71)</f>
        <v>0</v>
      </c>
      <c r="M72" s="407" t="str">
        <f t="shared" ref="M72" si="14">IF(J72="","",IF(SUM(H72)=0,"",L72/H72))</f>
        <v/>
      </c>
    </row>
    <row r="73" spans="2:13" ht="13" x14ac:dyDescent="0.25">
      <c r="B73" s="1108" t="str">
        <f>Client1</f>
        <v>Province of KwaZulu-Natal</v>
      </c>
      <c r="C73" s="1108"/>
      <c r="D73" s="1108"/>
      <c r="E73" s="87"/>
      <c r="F73" s="1109" t="str">
        <f>"Contract No. "&amp;ContractNo</f>
        <v>Contract No. ZNB 00399/00000/HOD/INF/21/T</v>
      </c>
      <c r="G73" s="1109"/>
      <c r="H73" s="1109"/>
    </row>
    <row r="74" spans="2:13" ht="13" x14ac:dyDescent="0.25">
      <c r="B74" s="1108" t="str">
        <f>Client2</f>
        <v>Department of Transport</v>
      </c>
      <c r="C74" s="1108"/>
      <c r="D74" s="1108"/>
      <c r="E74" s="87"/>
      <c r="F74" s="1109"/>
      <c r="G74" s="1109"/>
      <c r="H74" s="1109"/>
    </row>
    <row r="75" spans="2:13" x14ac:dyDescent="0.25">
      <c r="B75" s="1111"/>
      <c r="C75" s="1111"/>
      <c r="D75" s="1111"/>
      <c r="E75" s="78"/>
      <c r="F75" s="1110"/>
      <c r="G75" s="1110"/>
      <c r="H75" s="1110"/>
    </row>
    <row r="76" spans="2:13" ht="13" x14ac:dyDescent="0.25">
      <c r="B76" s="1112" t="s">
        <v>1773</v>
      </c>
      <c r="C76" s="1113"/>
      <c r="D76" s="1113"/>
      <c r="E76" s="1113"/>
      <c r="F76" s="1113"/>
      <c r="G76" s="1113"/>
      <c r="H76" s="1125" t="str">
        <f>$H$6</f>
        <v>CHAPTER C13.7</v>
      </c>
      <c r="I76" s="6"/>
    </row>
    <row r="77" spans="2:13" ht="36" customHeight="1" x14ac:dyDescent="0.25">
      <c r="B77" s="1117" t="str">
        <f>ContractDescription</f>
        <v>THE CONSTRUCTION OF EARTHWORKS, LAYERWORKS, SURFACING, CULVERTS AND CWAKA RIVER BRIDGE FROM KM 11.600 TO KM 14.000 ON MAIN ROAD P494 IN THE KING CETSHWAYO DISTRICT UNDER EMPANGENI REGION</v>
      </c>
      <c r="C77" s="1148"/>
      <c r="D77" s="1148"/>
      <c r="E77" s="1148"/>
      <c r="F77" s="1148"/>
      <c r="G77" s="1148"/>
      <c r="H77" s="1126"/>
      <c r="I77" s="8"/>
    </row>
    <row r="78" spans="2:13" ht="24" customHeight="1" x14ac:dyDescent="0.25">
      <c r="B78" s="1149" t="s">
        <v>1772</v>
      </c>
      <c r="C78" s="1150"/>
      <c r="D78" s="1150"/>
      <c r="E78" s="1150"/>
      <c r="F78" s="1150"/>
      <c r="G78" s="1150"/>
      <c r="H78" s="1126"/>
      <c r="I78" s="8"/>
    </row>
    <row r="79" spans="2:13" ht="13" x14ac:dyDescent="0.25">
      <c r="B79" s="611"/>
      <c r="C79" s="612"/>
      <c r="D79" s="612"/>
      <c r="E79" s="612"/>
      <c r="F79" s="612"/>
      <c r="G79" s="612"/>
      <c r="H79" s="1127"/>
      <c r="I79" s="8"/>
    </row>
    <row r="80" spans="2:13" s="9" customFormat="1" ht="25" customHeight="1" x14ac:dyDescent="0.25">
      <c r="B80" s="74" t="s">
        <v>0</v>
      </c>
      <c r="C80" s="11" t="s">
        <v>1</v>
      </c>
      <c r="D80" s="11" t="s">
        <v>2</v>
      </c>
      <c r="E80" s="11"/>
      <c r="F80" s="11" t="s">
        <v>3</v>
      </c>
      <c r="G80" s="11" t="s">
        <v>4</v>
      </c>
      <c r="H80" s="11" t="s">
        <v>5</v>
      </c>
      <c r="I80" s="12"/>
      <c r="J80" s="408" t="s">
        <v>996</v>
      </c>
      <c r="K80" s="253" t="s">
        <v>997</v>
      </c>
      <c r="L80" s="253" t="s">
        <v>998</v>
      </c>
      <c r="M80" s="253" t="s">
        <v>999</v>
      </c>
    </row>
    <row r="81" spans="2:13" s="28" customFormat="1" ht="19.5" customHeight="1" x14ac:dyDescent="0.25">
      <c r="B81" s="80"/>
      <c r="C81" s="30" t="s">
        <v>27</v>
      </c>
      <c r="D81" s="31"/>
      <c r="E81" s="31"/>
      <c r="F81" s="32"/>
      <c r="G81" s="31"/>
      <c r="H81" s="33">
        <f>H72</f>
        <v>0</v>
      </c>
      <c r="I81" s="34"/>
      <c r="J81" s="416"/>
      <c r="K81" s="409"/>
      <c r="L81" s="419">
        <f>L72</f>
        <v>0</v>
      </c>
      <c r="M81" s="410" t="str">
        <f>IF(J81="","",IF(SUM(H81)=0,"",L81/H81))</f>
        <v/>
      </c>
    </row>
    <row r="82" spans="2:13" x14ac:dyDescent="0.25">
      <c r="B82" s="46"/>
      <c r="C82" s="14"/>
      <c r="D82" s="15"/>
      <c r="E82" s="15"/>
      <c r="F82" s="15"/>
      <c r="G82" s="422"/>
      <c r="H82" s="17" t="str">
        <f t="shared" ref="H82" si="15">IF(D82="","",F82*G82)</f>
        <v/>
      </c>
      <c r="I82" s="18"/>
      <c r="J82" s="61"/>
      <c r="K82" s="399"/>
      <c r="L82" s="420" t="str">
        <f t="shared" ref="L82" si="16">IF(J82="","",F82*K82)</f>
        <v/>
      </c>
      <c r="M82" s="401" t="str">
        <f t="shared" ref="M82" si="17">IF(J82="","",IF(SUM(H82)=0,"",L82/H82))</f>
        <v/>
      </c>
    </row>
    <row r="83" spans="2:13" x14ac:dyDescent="0.25">
      <c r="B83" s="46"/>
      <c r="C83" s="14"/>
      <c r="D83" s="15"/>
      <c r="E83" s="15"/>
      <c r="F83" s="15"/>
      <c r="G83" s="422"/>
      <c r="H83" s="17" t="str">
        <f t="shared" ref="H83" si="18">IF(D83="","",F83*G83)</f>
        <v/>
      </c>
      <c r="I83" s="18"/>
      <c r="J83" s="61"/>
      <c r="K83" s="399"/>
      <c r="L83" s="420" t="str">
        <f t="shared" ref="L83" si="19">IF(J83="","",F83*K83)</f>
        <v/>
      </c>
      <c r="M83" s="401" t="str">
        <f t="shared" ref="M83" si="20">IF(J83="","",IF(SUM(H83)=0,"",L83/H83))</f>
        <v/>
      </c>
    </row>
    <row r="84" spans="2:13" x14ac:dyDescent="0.25">
      <c r="B84" s="46"/>
      <c r="C84" s="14"/>
      <c r="D84" s="15"/>
      <c r="E84" s="15"/>
      <c r="F84" s="15"/>
      <c r="G84" s="422"/>
      <c r="H84" s="17" t="str">
        <f t="shared" ref="H84:H146" si="21">IF(D84="","",F84*G84)</f>
        <v/>
      </c>
      <c r="I84" s="18"/>
      <c r="J84" s="61"/>
      <c r="K84" s="399"/>
      <c r="L84" s="420" t="str">
        <f t="shared" ref="L84:L146" si="22">IF(J84="","",F84*K84)</f>
        <v/>
      </c>
      <c r="M84" s="401" t="str">
        <f t="shared" ref="M84:M146" si="23">IF(J84="","",IF(SUM(H84)=0,"",L84/H84))</f>
        <v/>
      </c>
    </row>
    <row r="85" spans="2:13" x14ac:dyDescent="0.25">
      <c r="B85" s="46"/>
      <c r="C85" s="14"/>
      <c r="D85" s="15"/>
      <c r="E85" s="15"/>
      <c r="F85" s="15"/>
      <c r="G85" s="422"/>
      <c r="H85" s="17" t="str">
        <f t="shared" si="21"/>
        <v/>
      </c>
      <c r="I85" s="18"/>
      <c r="J85" s="61"/>
      <c r="K85" s="399"/>
      <c r="L85" s="420" t="str">
        <f t="shared" si="22"/>
        <v/>
      </c>
      <c r="M85" s="401" t="str">
        <f t="shared" si="23"/>
        <v/>
      </c>
    </row>
    <row r="86" spans="2:13" x14ac:dyDescent="0.25">
      <c r="B86" s="46"/>
      <c r="C86" s="14"/>
      <c r="D86" s="15"/>
      <c r="E86" s="15"/>
      <c r="F86" s="15"/>
      <c r="G86" s="422"/>
      <c r="H86" s="17" t="str">
        <f t="shared" si="21"/>
        <v/>
      </c>
      <c r="I86" s="18"/>
      <c r="J86" s="61"/>
      <c r="K86" s="400"/>
      <c r="L86" s="420" t="str">
        <f t="shared" si="22"/>
        <v/>
      </c>
      <c r="M86" s="401" t="str">
        <f t="shared" si="23"/>
        <v/>
      </c>
    </row>
    <row r="87" spans="2:13" x14ac:dyDescent="0.25">
      <c r="B87" s="46"/>
      <c r="C87" s="14"/>
      <c r="D87" s="15"/>
      <c r="E87" s="15"/>
      <c r="F87" s="15"/>
      <c r="G87" s="422"/>
      <c r="H87" s="17" t="str">
        <f t="shared" si="21"/>
        <v/>
      </c>
      <c r="I87" s="18"/>
      <c r="J87" s="61"/>
      <c r="K87" s="399"/>
      <c r="L87" s="420" t="str">
        <f t="shared" si="22"/>
        <v/>
      </c>
      <c r="M87" s="401" t="str">
        <f t="shared" si="23"/>
        <v/>
      </c>
    </row>
    <row r="88" spans="2:13" x14ac:dyDescent="0.25">
      <c r="B88" s="46"/>
      <c r="C88" s="14"/>
      <c r="D88" s="15"/>
      <c r="E88" s="15"/>
      <c r="F88" s="15"/>
      <c r="G88" s="422"/>
      <c r="H88" s="17" t="str">
        <f t="shared" si="21"/>
        <v/>
      </c>
      <c r="I88" s="18"/>
      <c r="J88" s="61"/>
      <c r="K88" s="400"/>
      <c r="L88" s="420" t="str">
        <f t="shared" si="22"/>
        <v/>
      </c>
      <c r="M88" s="401" t="str">
        <f t="shared" si="23"/>
        <v/>
      </c>
    </row>
    <row r="89" spans="2:13" x14ac:dyDescent="0.25">
      <c r="B89" s="46"/>
      <c r="C89" s="14"/>
      <c r="D89" s="15"/>
      <c r="E89" s="15"/>
      <c r="F89" s="15"/>
      <c r="G89" s="422"/>
      <c r="H89" s="17" t="str">
        <f t="shared" si="21"/>
        <v/>
      </c>
      <c r="I89" s="18"/>
      <c r="J89" s="61"/>
      <c r="K89" s="399"/>
      <c r="L89" s="420" t="str">
        <f t="shared" si="22"/>
        <v/>
      </c>
      <c r="M89" s="401" t="str">
        <f t="shared" si="23"/>
        <v/>
      </c>
    </row>
    <row r="90" spans="2:13" x14ac:dyDescent="0.25">
      <c r="B90" s="46"/>
      <c r="C90" s="14"/>
      <c r="D90" s="15"/>
      <c r="E90" s="15"/>
      <c r="F90" s="15"/>
      <c r="G90" s="422"/>
      <c r="H90" s="17" t="str">
        <f t="shared" si="21"/>
        <v/>
      </c>
      <c r="I90" s="18"/>
      <c r="J90" s="61"/>
      <c r="K90" s="402"/>
      <c r="L90" s="420" t="str">
        <f t="shared" si="22"/>
        <v/>
      </c>
      <c r="M90" s="401" t="str">
        <f t="shared" si="23"/>
        <v/>
      </c>
    </row>
    <row r="91" spans="2:13" x14ac:dyDescent="0.25">
      <c r="B91" s="46"/>
      <c r="C91" s="14"/>
      <c r="D91" s="15"/>
      <c r="E91" s="15"/>
      <c r="F91" s="15"/>
      <c r="G91" s="422"/>
      <c r="H91" s="17" t="str">
        <f t="shared" si="21"/>
        <v/>
      </c>
      <c r="I91" s="18"/>
      <c r="J91" s="61"/>
      <c r="K91" s="402"/>
      <c r="L91" s="420" t="str">
        <f t="shared" si="22"/>
        <v/>
      </c>
      <c r="M91" s="401" t="str">
        <f t="shared" si="23"/>
        <v/>
      </c>
    </row>
    <row r="92" spans="2:13" x14ac:dyDescent="0.25">
      <c r="B92" s="46"/>
      <c r="C92" s="14"/>
      <c r="D92" s="15"/>
      <c r="E92" s="15"/>
      <c r="F92" s="15"/>
      <c r="G92" s="422"/>
      <c r="H92" s="17" t="str">
        <f t="shared" si="21"/>
        <v/>
      </c>
      <c r="I92" s="18"/>
      <c r="J92" s="61"/>
      <c r="K92" s="400"/>
      <c r="L92" s="420" t="str">
        <f t="shared" si="22"/>
        <v/>
      </c>
      <c r="M92" s="401" t="str">
        <f t="shared" si="23"/>
        <v/>
      </c>
    </row>
    <row r="93" spans="2:13" x14ac:dyDescent="0.25">
      <c r="B93" s="46"/>
      <c r="C93" s="14"/>
      <c r="D93" s="15"/>
      <c r="E93" s="15"/>
      <c r="F93" s="15"/>
      <c r="G93" s="422"/>
      <c r="H93" s="17" t="str">
        <f t="shared" si="21"/>
        <v/>
      </c>
      <c r="I93" s="18"/>
      <c r="J93" s="61"/>
      <c r="K93" s="402"/>
      <c r="L93" s="420" t="str">
        <f t="shared" si="22"/>
        <v/>
      </c>
      <c r="M93" s="401" t="str">
        <f t="shared" si="23"/>
        <v/>
      </c>
    </row>
    <row r="94" spans="2:13" x14ac:dyDescent="0.25">
      <c r="B94" s="46"/>
      <c r="C94" s="14"/>
      <c r="D94" s="15"/>
      <c r="E94" s="15"/>
      <c r="F94" s="15"/>
      <c r="G94" s="422"/>
      <c r="H94" s="17" t="str">
        <f t="shared" si="21"/>
        <v/>
      </c>
      <c r="I94" s="18"/>
      <c r="J94" s="61"/>
      <c r="K94" s="402"/>
      <c r="L94" s="420" t="str">
        <f t="shared" si="22"/>
        <v/>
      </c>
      <c r="M94" s="401" t="str">
        <f t="shared" si="23"/>
        <v/>
      </c>
    </row>
    <row r="95" spans="2:13" x14ac:dyDescent="0.25">
      <c r="B95" s="46"/>
      <c r="C95" s="14"/>
      <c r="D95" s="15"/>
      <c r="E95" s="15"/>
      <c r="F95" s="15"/>
      <c r="G95" s="422"/>
      <c r="H95" s="17" t="str">
        <f t="shared" si="21"/>
        <v/>
      </c>
      <c r="I95" s="18"/>
      <c r="J95" s="61"/>
      <c r="K95" s="402"/>
      <c r="L95" s="420" t="str">
        <f t="shared" si="22"/>
        <v/>
      </c>
      <c r="M95" s="401" t="str">
        <f t="shared" si="23"/>
        <v/>
      </c>
    </row>
    <row r="96" spans="2:13" x14ac:dyDescent="0.25">
      <c r="B96" s="46"/>
      <c r="C96" s="14"/>
      <c r="D96" s="15"/>
      <c r="E96" s="15"/>
      <c r="F96" s="15"/>
      <c r="G96" s="422"/>
      <c r="H96" s="17" t="str">
        <f t="shared" si="21"/>
        <v/>
      </c>
      <c r="I96" s="18"/>
      <c r="J96" s="61"/>
      <c r="K96" s="399"/>
      <c r="L96" s="420" t="str">
        <f t="shared" si="22"/>
        <v/>
      </c>
      <c r="M96" s="401" t="str">
        <f t="shared" si="23"/>
        <v/>
      </c>
    </row>
    <row r="97" spans="2:13" x14ac:dyDescent="0.25">
      <c r="B97" s="46"/>
      <c r="C97" s="14"/>
      <c r="D97" s="15"/>
      <c r="E97" s="15"/>
      <c r="F97" s="15"/>
      <c r="G97" s="422"/>
      <c r="H97" s="17" t="str">
        <f t="shared" si="21"/>
        <v/>
      </c>
      <c r="I97" s="18"/>
      <c r="J97" s="61"/>
      <c r="K97" s="399"/>
      <c r="L97" s="420" t="str">
        <f t="shared" si="22"/>
        <v/>
      </c>
      <c r="M97" s="401" t="str">
        <f t="shared" si="23"/>
        <v/>
      </c>
    </row>
    <row r="98" spans="2:13" x14ac:dyDescent="0.25">
      <c r="B98" s="46"/>
      <c r="C98" s="14"/>
      <c r="D98" s="15"/>
      <c r="E98" s="15"/>
      <c r="F98" s="15"/>
      <c r="G98" s="422"/>
      <c r="H98" s="17" t="str">
        <f t="shared" si="21"/>
        <v/>
      </c>
      <c r="I98" s="18"/>
      <c r="J98" s="61"/>
      <c r="K98" s="400"/>
      <c r="L98" s="420" t="str">
        <f t="shared" si="22"/>
        <v/>
      </c>
      <c r="M98" s="401" t="str">
        <f t="shared" si="23"/>
        <v/>
      </c>
    </row>
    <row r="99" spans="2:13" x14ac:dyDescent="0.25">
      <c r="B99" s="46"/>
      <c r="C99" s="14"/>
      <c r="D99" s="15"/>
      <c r="E99" s="15"/>
      <c r="F99" s="15"/>
      <c r="G99" s="422"/>
      <c r="H99" s="17" t="str">
        <f t="shared" si="21"/>
        <v/>
      </c>
      <c r="I99" s="18"/>
      <c r="J99" s="61"/>
      <c r="K99" s="399"/>
      <c r="L99" s="420" t="str">
        <f t="shared" si="22"/>
        <v/>
      </c>
      <c r="M99" s="401" t="str">
        <f t="shared" si="23"/>
        <v/>
      </c>
    </row>
    <row r="100" spans="2:13" x14ac:dyDescent="0.25">
      <c r="B100" s="46"/>
      <c r="C100" s="14"/>
      <c r="D100" s="15"/>
      <c r="E100" s="15"/>
      <c r="F100" s="15"/>
      <c r="G100" s="422"/>
      <c r="H100" s="17" t="str">
        <f t="shared" si="21"/>
        <v/>
      </c>
      <c r="I100" s="18"/>
      <c r="J100" s="61"/>
      <c r="K100" s="399"/>
      <c r="L100" s="420" t="str">
        <f t="shared" si="22"/>
        <v/>
      </c>
      <c r="M100" s="401" t="str">
        <f t="shared" si="23"/>
        <v/>
      </c>
    </row>
    <row r="101" spans="2:13" x14ac:dyDescent="0.25">
      <c r="B101" s="46"/>
      <c r="C101" s="14"/>
      <c r="D101" s="15"/>
      <c r="E101" s="15"/>
      <c r="F101" s="15"/>
      <c r="G101" s="422"/>
      <c r="H101" s="17" t="str">
        <f t="shared" si="21"/>
        <v/>
      </c>
      <c r="I101" s="18"/>
      <c r="J101" s="61"/>
      <c r="K101" s="399"/>
      <c r="L101" s="420" t="str">
        <f t="shared" si="22"/>
        <v/>
      </c>
      <c r="M101" s="401" t="str">
        <f t="shared" si="23"/>
        <v/>
      </c>
    </row>
    <row r="102" spans="2:13" x14ac:dyDescent="0.25">
      <c r="B102" s="46"/>
      <c r="C102" s="14"/>
      <c r="D102" s="15"/>
      <c r="E102" s="15"/>
      <c r="F102" s="15"/>
      <c r="G102" s="422"/>
      <c r="H102" s="17" t="str">
        <f t="shared" si="21"/>
        <v/>
      </c>
      <c r="I102" s="18"/>
      <c r="J102" s="61"/>
      <c r="K102" s="399"/>
      <c r="L102" s="420" t="str">
        <f t="shared" si="22"/>
        <v/>
      </c>
      <c r="M102" s="401" t="str">
        <f t="shared" si="23"/>
        <v/>
      </c>
    </row>
    <row r="103" spans="2:13" x14ac:dyDescent="0.25">
      <c r="B103" s="46"/>
      <c r="C103" s="608"/>
      <c r="D103" s="15"/>
      <c r="E103" s="15"/>
      <c r="F103" s="15"/>
      <c r="G103" s="422"/>
      <c r="H103" s="17" t="str">
        <f t="shared" si="21"/>
        <v/>
      </c>
      <c r="I103" s="18"/>
      <c r="J103" s="61"/>
      <c r="K103" s="399"/>
      <c r="L103" s="420" t="str">
        <f t="shared" si="22"/>
        <v/>
      </c>
      <c r="M103" s="401" t="str">
        <f t="shared" si="23"/>
        <v/>
      </c>
    </row>
    <row r="104" spans="2:13" x14ac:dyDescent="0.25">
      <c r="B104" s="46"/>
      <c r="C104" s="14"/>
      <c r="D104" s="15"/>
      <c r="E104" s="15"/>
      <c r="F104" s="15"/>
      <c r="G104" s="422"/>
      <c r="H104" s="17" t="str">
        <f t="shared" si="21"/>
        <v/>
      </c>
      <c r="I104" s="18"/>
      <c r="J104" s="61"/>
      <c r="K104" s="400"/>
      <c r="L104" s="420" t="str">
        <f t="shared" si="22"/>
        <v/>
      </c>
      <c r="M104" s="401" t="str">
        <f t="shared" si="23"/>
        <v/>
      </c>
    </row>
    <row r="105" spans="2:13" x14ac:dyDescent="0.25">
      <c r="B105" s="46"/>
      <c r="C105" s="596"/>
      <c r="D105" s="587"/>
      <c r="E105" s="587"/>
      <c r="F105" s="15"/>
      <c r="G105" s="422"/>
      <c r="H105" s="17" t="str">
        <f t="shared" si="21"/>
        <v/>
      </c>
      <c r="I105" s="18"/>
      <c r="J105" s="61"/>
      <c r="K105" s="605"/>
      <c r="L105" s="420" t="str">
        <f t="shared" si="22"/>
        <v/>
      </c>
      <c r="M105" s="401" t="str">
        <f t="shared" si="23"/>
        <v/>
      </c>
    </row>
    <row r="106" spans="2:13" x14ac:dyDescent="0.25">
      <c r="B106" s="46"/>
      <c r="C106" s="586"/>
      <c r="D106" s="587"/>
      <c r="E106" s="587"/>
      <c r="F106" s="15"/>
      <c r="G106" s="422"/>
      <c r="H106" s="17" t="str">
        <f t="shared" si="21"/>
        <v/>
      </c>
      <c r="I106" s="18"/>
      <c r="J106" s="61"/>
      <c r="K106" s="605"/>
      <c r="L106" s="420" t="str">
        <f t="shared" si="22"/>
        <v/>
      </c>
      <c r="M106" s="401" t="str">
        <f t="shared" si="23"/>
        <v/>
      </c>
    </row>
    <row r="107" spans="2:13" x14ac:dyDescent="0.25">
      <c r="B107" s="46"/>
      <c r="C107" s="596"/>
      <c r="D107" s="587"/>
      <c r="E107" s="587"/>
      <c r="F107" s="15"/>
      <c r="G107" s="422"/>
      <c r="H107" s="17" t="str">
        <f t="shared" si="21"/>
        <v/>
      </c>
      <c r="I107" s="18"/>
      <c r="J107" s="61"/>
      <c r="K107" s="605"/>
      <c r="L107" s="420" t="str">
        <f t="shared" si="22"/>
        <v/>
      </c>
      <c r="M107" s="401" t="str">
        <f t="shared" si="23"/>
        <v/>
      </c>
    </row>
    <row r="108" spans="2:13" x14ac:dyDescent="0.25">
      <c r="B108" s="46"/>
      <c r="C108" s="586"/>
      <c r="D108" s="587"/>
      <c r="E108" s="587"/>
      <c r="F108" s="15"/>
      <c r="G108" s="422"/>
      <c r="H108" s="17" t="str">
        <f t="shared" si="21"/>
        <v/>
      </c>
      <c r="I108" s="18"/>
      <c r="J108" s="61"/>
      <c r="K108" s="609"/>
      <c r="L108" s="420" t="str">
        <f t="shared" si="22"/>
        <v/>
      </c>
      <c r="M108" s="401" t="str">
        <f t="shared" si="23"/>
        <v/>
      </c>
    </row>
    <row r="109" spans="2:13" x14ac:dyDescent="0.25">
      <c r="B109" s="46"/>
      <c r="C109" s="608"/>
      <c r="D109" s="587"/>
      <c r="E109" s="587"/>
      <c r="F109" s="15"/>
      <c r="G109" s="422"/>
      <c r="H109" s="17" t="str">
        <f t="shared" si="21"/>
        <v/>
      </c>
      <c r="I109" s="18"/>
      <c r="J109" s="61"/>
      <c r="K109" s="610"/>
      <c r="L109" s="420" t="str">
        <f t="shared" si="22"/>
        <v/>
      </c>
      <c r="M109" s="401" t="str">
        <f t="shared" si="23"/>
        <v/>
      </c>
    </row>
    <row r="110" spans="2:13" x14ac:dyDescent="0.25">
      <c r="B110" s="46"/>
      <c r="C110" s="583"/>
      <c r="D110" s="587"/>
      <c r="E110" s="587"/>
      <c r="F110" s="15"/>
      <c r="G110" s="422"/>
      <c r="H110" s="17" t="str">
        <f t="shared" si="21"/>
        <v/>
      </c>
      <c r="I110" s="18"/>
      <c r="J110" s="61"/>
      <c r="K110" s="605"/>
      <c r="L110" s="420" t="str">
        <f t="shared" si="22"/>
        <v/>
      </c>
      <c r="M110" s="401" t="str">
        <f t="shared" si="23"/>
        <v/>
      </c>
    </row>
    <row r="111" spans="2:13" x14ac:dyDescent="0.25">
      <c r="B111" s="46"/>
      <c r="C111" s="596"/>
      <c r="D111" s="587"/>
      <c r="E111" s="587"/>
      <c r="F111" s="15"/>
      <c r="G111" s="422"/>
      <c r="H111" s="17" t="str">
        <f t="shared" si="21"/>
        <v/>
      </c>
      <c r="I111" s="18"/>
      <c r="J111" s="61"/>
      <c r="K111" s="605"/>
      <c r="L111" s="420" t="str">
        <f t="shared" si="22"/>
        <v/>
      </c>
      <c r="M111" s="401" t="str">
        <f t="shared" si="23"/>
        <v/>
      </c>
    </row>
    <row r="112" spans="2:13" x14ac:dyDescent="0.25">
      <c r="B112" s="46"/>
      <c r="C112" s="14"/>
      <c r="D112" s="15"/>
      <c r="E112" s="15"/>
      <c r="F112" s="15"/>
      <c r="G112" s="422"/>
      <c r="H112" s="17" t="str">
        <f t="shared" si="21"/>
        <v/>
      </c>
      <c r="I112" s="18"/>
      <c r="J112" s="61"/>
      <c r="K112" s="399"/>
      <c r="L112" s="420" t="str">
        <f t="shared" si="22"/>
        <v/>
      </c>
      <c r="M112" s="401" t="str">
        <f t="shared" si="23"/>
        <v/>
      </c>
    </row>
    <row r="113" spans="2:13" x14ac:dyDescent="0.25">
      <c r="B113" s="46"/>
      <c r="C113" s="14"/>
      <c r="D113" s="15"/>
      <c r="E113" s="15"/>
      <c r="F113" s="15"/>
      <c r="G113" s="422"/>
      <c r="H113" s="17" t="str">
        <f t="shared" si="21"/>
        <v/>
      </c>
      <c r="I113" s="18"/>
      <c r="J113" s="61"/>
      <c r="K113" s="399"/>
      <c r="L113" s="420" t="str">
        <f t="shared" si="22"/>
        <v/>
      </c>
      <c r="M113" s="401" t="str">
        <f t="shared" si="23"/>
        <v/>
      </c>
    </row>
    <row r="114" spans="2:13" x14ac:dyDescent="0.25">
      <c r="B114" s="46"/>
      <c r="C114" s="14"/>
      <c r="D114" s="15"/>
      <c r="E114" s="15"/>
      <c r="F114" s="15"/>
      <c r="G114" s="422"/>
      <c r="H114" s="17" t="str">
        <f t="shared" si="21"/>
        <v/>
      </c>
      <c r="I114" s="18"/>
      <c r="J114" s="61"/>
      <c r="K114" s="399"/>
      <c r="L114" s="420" t="str">
        <f t="shared" si="22"/>
        <v/>
      </c>
      <c r="M114" s="401" t="str">
        <f t="shared" si="23"/>
        <v/>
      </c>
    </row>
    <row r="115" spans="2:13" x14ac:dyDescent="0.25">
      <c r="B115" s="46"/>
      <c r="C115" s="14"/>
      <c r="D115" s="15"/>
      <c r="E115" s="15"/>
      <c r="F115" s="15"/>
      <c r="G115" s="422"/>
      <c r="H115" s="17" t="str">
        <f t="shared" si="21"/>
        <v/>
      </c>
      <c r="I115" s="18"/>
      <c r="J115" s="61"/>
      <c r="K115" s="399"/>
      <c r="L115" s="420" t="str">
        <f t="shared" si="22"/>
        <v/>
      </c>
      <c r="M115" s="401" t="str">
        <f t="shared" si="23"/>
        <v/>
      </c>
    </row>
    <row r="116" spans="2:13" x14ac:dyDescent="0.25">
      <c r="B116" s="46"/>
      <c r="C116" s="14"/>
      <c r="D116" s="15"/>
      <c r="E116" s="15"/>
      <c r="F116" s="15"/>
      <c r="G116" s="422"/>
      <c r="H116" s="17" t="str">
        <f t="shared" si="21"/>
        <v/>
      </c>
      <c r="I116" s="18"/>
      <c r="J116" s="61"/>
      <c r="K116" s="402"/>
      <c r="L116" s="420" t="str">
        <f t="shared" si="22"/>
        <v/>
      </c>
      <c r="M116" s="401" t="str">
        <f t="shared" si="23"/>
        <v/>
      </c>
    </row>
    <row r="117" spans="2:13" x14ac:dyDescent="0.25">
      <c r="B117" s="46"/>
      <c r="C117" s="14"/>
      <c r="D117" s="15"/>
      <c r="E117" s="15"/>
      <c r="F117" s="15"/>
      <c r="G117" s="422"/>
      <c r="H117" s="17" t="str">
        <f t="shared" si="21"/>
        <v/>
      </c>
      <c r="I117" s="18"/>
      <c r="J117" s="61"/>
      <c r="K117" s="399"/>
      <c r="L117" s="420" t="str">
        <f t="shared" si="22"/>
        <v/>
      </c>
      <c r="M117" s="401" t="str">
        <f t="shared" si="23"/>
        <v/>
      </c>
    </row>
    <row r="118" spans="2:13" x14ac:dyDescent="0.25">
      <c r="B118" s="46"/>
      <c r="C118" s="14"/>
      <c r="D118" s="15"/>
      <c r="E118" s="15"/>
      <c r="F118" s="15"/>
      <c r="G118" s="422"/>
      <c r="H118" s="17" t="str">
        <f t="shared" si="21"/>
        <v/>
      </c>
      <c r="I118" s="18"/>
      <c r="J118" s="61"/>
      <c r="K118" s="402"/>
      <c r="L118" s="420" t="str">
        <f t="shared" si="22"/>
        <v/>
      </c>
      <c r="M118" s="401" t="str">
        <f t="shared" si="23"/>
        <v/>
      </c>
    </row>
    <row r="119" spans="2:13" x14ac:dyDescent="0.25">
      <c r="B119" s="46"/>
      <c r="C119" s="14"/>
      <c r="D119" s="15"/>
      <c r="E119" s="15"/>
      <c r="F119" s="15"/>
      <c r="G119" s="422"/>
      <c r="H119" s="17" t="str">
        <f t="shared" si="21"/>
        <v/>
      </c>
      <c r="I119" s="18"/>
      <c r="J119" s="61"/>
      <c r="K119" s="402"/>
      <c r="L119" s="420" t="str">
        <f t="shared" si="22"/>
        <v/>
      </c>
      <c r="M119" s="401" t="str">
        <f t="shared" si="23"/>
        <v/>
      </c>
    </row>
    <row r="120" spans="2:13" x14ac:dyDescent="0.25">
      <c r="B120" s="46"/>
      <c r="C120" s="14"/>
      <c r="D120" s="15"/>
      <c r="E120" s="15"/>
      <c r="F120" s="15"/>
      <c r="G120" s="422"/>
      <c r="H120" s="17" t="str">
        <f t="shared" si="21"/>
        <v/>
      </c>
      <c r="I120" s="18"/>
      <c r="J120" s="61"/>
      <c r="K120" s="399"/>
      <c r="L120" s="420" t="str">
        <f t="shared" si="22"/>
        <v/>
      </c>
      <c r="M120" s="401" t="str">
        <f t="shared" si="23"/>
        <v/>
      </c>
    </row>
    <row r="121" spans="2:13" x14ac:dyDescent="0.25">
      <c r="B121" s="46"/>
      <c r="C121" s="14"/>
      <c r="D121" s="15"/>
      <c r="E121" s="15"/>
      <c r="F121" s="15"/>
      <c r="G121" s="422"/>
      <c r="H121" s="17" t="str">
        <f t="shared" si="21"/>
        <v/>
      </c>
      <c r="I121" s="18"/>
      <c r="J121" s="61"/>
      <c r="K121" s="399"/>
      <c r="L121" s="420" t="str">
        <f t="shared" si="22"/>
        <v/>
      </c>
      <c r="M121" s="401" t="str">
        <f t="shared" si="23"/>
        <v/>
      </c>
    </row>
    <row r="122" spans="2:13" x14ac:dyDescent="0.25">
      <c r="B122" s="46"/>
      <c r="C122" s="14"/>
      <c r="D122" s="15"/>
      <c r="E122" s="15"/>
      <c r="F122" s="15"/>
      <c r="G122" s="422"/>
      <c r="H122" s="17" t="str">
        <f t="shared" si="21"/>
        <v/>
      </c>
      <c r="I122" s="18"/>
      <c r="J122" s="61"/>
      <c r="K122" s="399"/>
      <c r="L122" s="420" t="str">
        <f t="shared" si="22"/>
        <v/>
      </c>
      <c r="M122" s="401" t="str">
        <f t="shared" si="23"/>
        <v/>
      </c>
    </row>
    <row r="123" spans="2:13" ht="13" x14ac:dyDescent="0.25">
      <c r="B123" s="73"/>
      <c r="C123" s="19"/>
      <c r="D123" s="15"/>
      <c r="E123" s="15"/>
      <c r="F123" s="15"/>
      <c r="G123" s="422"/>
      <c r="H123" s="17" t="str">
        <f t="shared" si="21"/>
        <v/>
      </c>
      <c r="I123" s="18"/>
      <c r="J123" s="61"/>
      <c r="K123" s="399"/>
      <c r="L123" s="420" t="str">
        <f t="shared" si="22"/>
        <v/>
      </c>
      <c r="M123" s="401" t="str">
        <f t="shared" si="23"/>
        <v/>
      </c>
    </row>
    <row r="124" spans="2:13" x14ac:dyDescent="0.25">
      <c r="B124" s="46"/>
      <c r="C124" s="14"/>
      <c r="D124" s="15"/>
      <c r="E124" s="15"/>
      <c r="F124" s="15"/>
      <c r="G124" s="422"/>
      <c r="H124" s="17" t="str">
        <f t="shared" si="21"/>
        <v/>
      </c>
      <c r="I124" s="18"/>
      <c r="J124" s="62"/>
      <c r="K124" s="62"/>
      <c r="L124" s="420" t="str">
        <f t="shared" si="22"/>
        <v/>
      </c>
      <c r="M124" s="401" t="str">
        <f t="shared" si="23"/>
        <v/>
      </c>
    </row>
    <row r="125" spans="2:13" x14ac:dyDescent="0.25">
      <c r="B125" s="46"/>
      <c r="C125" s="14"/>
      <c r="D125" s="15"/>
      <c r="E125" s="15"/>
      <c r="F125" s="15"/>
      <c r="G125" s="422"/>
      <c r="H125" s="17" t="str">
        <f t="shared" si="21"/>
        <v/>
      </c>
      <c r="I125" s="18"/>
      <c r="J125" s="61"/>
      <c r="K125" s="62"/>
      <c r="L125" s="420" t="str">
        <f t="shared" si="22"/>
        <v/>
      </c>
      <c r="M125" s="401" t="str">
        <f t="shared" si="23"/>
        <v/>
      </c>
    </row>
    <row r="126" spans="2:13" x14ac:dyDescent="0.25">
      <c r="B126" s="46"/>
      <c r="C126" s="14"/>
      <c r="D126" s="15"/>
      <c r="E126" s="15"/>
      <c r="F126" s="15"/>
      <c r="G126" s="422"/>
      <c r="H126" s="17" t="str">
        <f t="shared" si="21"/>
        <v/>
      </c>
      <c r="I126" s="18"/>
      <c r="J126" s="61"/>
      <c r="K126" s="62"/>
      <c r="L126" s="420" t="str">
        <f t="shared" si="22"/>
        <v/>
      </c>
      <c r="M126" s="401" t="str">
        <f t="shared" si="23"/>
        <v/>
      </c>
    </row>
    <row r="127" spans="2:13" x14ac:dyDescent="0.25">
      <c r="B127" s="46"/>
      <c r="C127" s="14"/>
      <c r="D127" s="15"/>
      <c r="E127" s="15"/>
      <c r="F127" s="15"/>
      <c r="G127" s="422"/>
      <c r="H127" s="17" t="str">
        <f t="shared" si="21"/>
        <v/>
      </c>
      <c r="I127" s="18"/>
      <c r="J127" s="61"/>
      <c r="K127" s="62"/>
      <c r="L127" s="420" t="str">
        <f t="shared" si="22"/>
        <v/>
      </c>
      <c r="M127" s="401" t="str">
        <f t="shared" si="23"/>
        <v/>
      </c>
    </row>
    <row r="128" spans="2:13" x14ac:dyDescent="0.25">
      <c r="B128" s="46"/>
      <c r="C128" s="14"/>
      <c r="D128" s="15"/>
      <c r="E128" s="15"/>
      <c r="F128" s="15"/>
      <c r="G128" s="422"/>
      <c r="H128" s="17" t="str">
        <f t="shared" si="21"/>
        <v/>
      </c>
      <c r="I128" s="18"/>
      <c r="J128" s="61"/>
      <c r="K128" s="62"/>
      <c r="L128" s="420" t="str">
        <f t="shared" si="22"/>
        <v/>
      </c>
      <c r="M128" s="401" t="str">
        <f t="shared" si="23"/>
        <v/>
      </c>
    </row>
    <row r="129" spans="2:13" x14ac:dyDescent="0.25">
      <c r="B129" s="46"/>
      <c r="C129" s="14"/>
      <c r="D129" s="15"/>
      <c r="E129" s="15"/>
      <c r="F129" s="15"/>
      <c r="G129" s="422"/>
      <c r="H129" s="17" t="str">
        <f t="shared" si="21"/>
        <v/>
      </c>
      <c r="I129" s="18"/>
      <c r="J129" s="62"/>
      <c r="K129" s="62"/>
      <c r="L129" s="420" t="str">
        <f t="shared" si="22"/>
        <v/>
      </c>
      <c r="M129" s="401" t="str">
        <f t="shared" si="23"/>
        <v/>
      </c>
    </row>
    <row r="130" spans="2:13" x14ac:dyDescent="0.25">
      <c r="B130" s="46"/>
      <c r="C130" s="14"/>
      <c r="D130" s="15"/>
      <c r="E130" s="15"/>
      <c r="F130" s="15"/>
      <c r="G130" s="422"/>
      <c r="H130" s="17" t="str">
        <f t="shared" si="21"/>
        <v/>
      </c>
      <c r="I130" s="18"/>
      <c r="J130" s="62"/>
      <c r="K130" s="62"/>
      <c r="L130" s="420" t="str">
        <f t="shared" si="22"/>
        <v/>
      </c>
      <c r="M130" s="401" t="str">
        <f t="shared" si="23"/>
        <v/>
      </c>
    </row>
    <row r="131" spans="2:13" x14ac:dyDescent="0.25">
      <c r="B131" s="46"/>
      <c r="C131" s="14"/>
      <c r="D131" s="15"/>
      <c r="E131" s="15"/>
      <c r="F131" s="15"/>
      <c r="G131" s="422"/>
      <c r="H131" s="17" t="str">
        <f t="shared" si="21"/>
        <v/>
      </c>
      <c r="I131" s="18"/>
      <c r="J131" s="62"/>
      <c r="K131" s="62"/>
      <c r="L131" s="420" t="str">
        <f t="shared" si="22"/>
        <v/>
      </c>
      <c r="M131" s="401" t="str">
        <f t="shared" si="23"/>
        <v/>
      </c>
    </row>
    <row r="132" spans="2:13" x14ac:dyDescent="0.25">
      <c r="B132" s="46"/>
      <c r="C132" s="14"/>
      <c r="D132" s="15"/>
      <c r="E132" s="15"/>
      <c r="F132" s="15"/>
      <c r="G132" s="422"/>
      <c r="H132" s="17" t="str">
        <f t="shared" si="21"/>
        <v/>
      </c>
      <c r="I132" s="18"/>
      <c r="J132" s="62"/>
      <c r="K132" s="62"/>
      <c r="L132" s="420" t="str">
        <f t="shared" si="22"/>
        <v/>
      </c>
      <c r="M132" s="401" t="str">
        <f t="shared" si="23"/>
        <v/>
      </c>
    </row>
    <row r="133" spans="2:13" x14ac:dyDescent="0.25">
      <c r="B133" s="46"/>
      <c r="C133" s="14"/>
      <c r="D133" s="15"/>
      <c r="E133" s="15"/>
      <c r="F133" s="15"/>
      <c r="G133" s="422"/>
      <c r="H133" s="17" t="str">
        <f t="shared" si="21"/>
        <v/>
      </c>
      <c r="I133" s="18"/>
      <c r="J133" s="62"/>
      <c r="K133" s="62"/>
      <c r="L133" s="420" t="str">
        <f t="shared" si="22"/>
        <v/>
      </c>
      <c r="M133" s="401" t="str">
        <f t="shared" si="23"/>
        <v/>
      </c>
    </row>
    <row r="134" spans="2:13" x14ac:dyDescent="0.25">
      <c r="B134" s="46"/>
      <c r="C134" s="14"/>
      <c r="D134" s="15"/>
      <c r="E134" s="15"/>
      <c r="F134" s="15"/>
      <c r="G134" s="422"/>
      <c r="H134" s="17" t="str">
        <f t="shared" si="21"/>
        <v/>
      </c>
      <c r="I134" s="18"/>
      <c r="J134" s="62"/>
      <c r="K134" s="62"/>
      <c r="L134" s="420" t="str">
        <f t="shared" si="22"/>
        <v/>
      </c>
      <c r="M134" s="401" t="str">
        <f t="shared" si="23"/>
        <v/>
      </c>
    </row>
    <row r="135" spans="2:13" x14ac:dyDescent="0.25">
      <c r="B135" s="46"/>
      <c r="C135" s="14"/>
      <c r="D135" s="15"/>
      <c r="E135" s="15"/>
      <c r="F135" s="15"/>
      <c r="G135" s="422"/>
      <c r="H135" s="17" t="str">
        <f t="shared" si="21"/>
        <v/>
      </c>
      <c r="I135" s="18"/>
      <c r="J135" s="62"/>
      <c r="K135" s="62"/>
      <c r="L135" s="420" t="str">
        <f t="shared" si="22"/>
        <v/>
      </c>
      <c r="M135" s="401" t="str">
        <f t="shared" si="23"/>
        <v/>
      </c>
    </row>
    <row r="136" spans="2:13" x14ac:dyDescent="0.25">
      <c r="B136" s="46"/>
      <c r="C136" s="14"/>
      <c r="D136" s="15"/>
      <c r="E136" s="15"/>
      <c r="F136" s="15"/>
      <c r="G136" s="422"/>
      <c r="H136" s="17" t="str">
        <f t="shared" si="21"/>
        <v/>
      </c>
      <c r="I136" s="18"/>
      <c r="J136" s="62"/>
      <c r="K136" s="62"/>
      <c r="L136" s="420" t="str">
        <f t="shared" si="22"/>
        <v/>
      </c>
      <c r="M136" s="401" t="str">
        <f t="shared" si="23"/>
        <v/>
      </c>
    </row>
    <row r="137" spans="2:13" x14ac:dyDescent="0.25">
      <c r="B137" s="46"/>
      <c r="C137" s="14"/>
      <c r="D137" s="15"/>
      <c r="E137" s="15"/>
      <c r="F137" s="15"/>
      <c r="G137" s="422"/>
      <c r="H137" s="17" t="str">
        <f t="shared" si="21"/>
        <v/>
      </c>
      <c r="I137" s="18"/>
      <c r="J137" s="62"/>
      <c r="K137" s="62"/>
      <c r="L137" s="420" t="str">
        <f t="shared" si="22"/>
        <v/>
      </c>
      <c r="M137" s="401" t="str">
        <f t="shared" si="23"/>
        <v/>
      </c>
    </row>
    <row r="138" spans="2:13" x14ac:dyDescent="0.25">
      <c r="B138" s="46"/>
      <c r="C138" s="14"/>
      <c r="D138" s="15"/>
      <c r="E138" s="15"/>
      <c r="F138" s="15"/>
      <c r="G138" s="422"/>
      <c r="H138" s="17" t="str">
        <f t="shared" si="21"/>
        <v/>
      </c>
      <c r="I138" s="18"/>
      <c r="J138" s="62"/>
      <c r="K138" s="62"/>
      <c r="L138" s="420" t="str">
        <f t="shared" si="22"/>
        <v/>
      </c>
      <c r="M138" s="401" t="str">
        <f t="shared" si="23"/>
        <v/>
      </c>
    </row>
    <row r="139" spans="2:13" x14ac:dyDescent="0.25">
      <c r="B139" s="46"/>
      <c r="C139" s="14"/>
      <c r="D139" s="15"/>
      <c r="E139" s="15"/>
      <c r="F139" s="15"/>
      <c r="G139" s="422"/>
      <c r="H139" s="17" t="str">
        <f t="shared" si="21"/>
        <v/>
      </c>
      <c r="I139" s="18"/>
      <c r="J139" s="62"/>
      <c r="K139" s="62"/>
      <c r="L139" s="420" t="str">
        <f t="shared" si="22"/>
        <v/>
      </c>
      <c r="M139" s="401" t="str">
        <f t="shared" si="23"/>
        <v/>
      </c>
    </row>
    <row r="140" spans="2:13" x14ac:dyDescent="0.25">
      <c r="B140" s="46"/>
      <c r="C140" s="14"/>
      <c r="D140" s="15"/>
      <c r="E140" s="15"/>
      <c r="F140" s="15"/>
      <c r="G140" s="422"/>
      <c r="H140" s="17" t="str">
        <f t="shared" si="21"/>
        <v/>
      </c>
      <c r="I140" s="18"/>
      <c r="J140" s="62"/>
      <c r="K140" s="62"/>
      <c r="L140" s="420" t="str">
        <f t="shared" si="22"/>
        <v/>
      </c>
      <c r="M140" s="401" t="str">
        <f t="shared" si="23"/>
        <v/>
      </c>
    </row>
    <row r="141" spans="2:13" x14ac:dyDescent="0.25">
      <c r="B141" s="46"/>
      <c r="C141" s="14"/>
      <c r="D141" s="15"/>
      <c r="E141" s="15"/>
      <c r="F141" s="15"/>
      <c r="G141" s="422"/>
      <c r="H141" s="17" t="str">
        <f t="shared" si="21"/>
        <v/>
      </c>
      <c r="I141" s="18"/>
      <c r="J141" s="62"/>
      <c r="K141" s="62"/>
      <c r="L141" s="420" t="str">
        <f t="shared" si="22"/>
        <v/>
      </c>
      <c r="M141" s="401" t="str">
        <f t="shared" si="23"/>
        <v/>
      </c>
    </row>
    <row r="142" spans="2:13" x14ac:dyDescent="0.25">
      <c r="B142" s="46"/>
      <c r="C142" s="14"/>
      <c r="D142" s="15"/>
      <c r="E142" s="15"/>
      <c r="F142" s="15"/>
      <c r="G142" s="422"/>
      <c r="H142" s="17" t="str">
        <f t="shared" si="21"/>
        <v/>
      </c>
      <c r="I142" s="18"/>
      <c r="J142" s="62"/>
      <c r="K142" s="62"/>
      <c r="L142" s="420" t="str">
        <f t="shared" si="22"/>
        <v/>
      </c>
      <c r="M142" s="401" t="str">
        <f t="shared" si="23"/>
        <v/>
      </c>
    </row>
    <row r="143" spans="2:13" x14ac:dyDescent="0.25">
      <c r="B143" s="46"/>
      <c r="C143" s="14"/>
      <c r="D143" s="15"/>
      <c r="E143" s="15"/>
      <c r="F143" s="15"/>
      <c r="G143" s="422"/>
      <c r="H143" s="17" t="str">
        <f t="shared" si="21"/>
        <v/>
      </c>
      <c r="I143" s="18"/>
      <c r="J143" s="62"/>
      <c r="K143" s="62"/>
      <c r="L143" s="420" t="str">
        <f t="shared" si="22"/>
        <v/>
      </c>
      <c r="M143" s="401" t="str">
        <f t="shared" si="23"/>
        <v/>
      </c>
    </row>
    <row r="144" spans="2:13" x14ac:dyDescent="0.25">
      <c r="B144" s="46"/>
      <c r="C144" s="14"/>
      <c r="D144" s="15"/>
      <c r="E144" s="15"/>
      <c r="F144" s="15"/>
      <c r="G144" s="422"/>
      <c r="H144" s="17" t="str">
        <f t="shared" si="21"/>
        <v/>
      </c>
      <c r="I144" s="18"/>
      <c r="J144" s="61"/>
      <c r="K144" s="62"/>
      <c r="L144" s="420" t="str">
        <f t="shared" si="22"/>
        <v/>
      </c>
      <c r="M144" s="401" t="str">
        <f t="shared" si="23"/>
        <v/>
      </c>
    </row>
    <row r="145" spans="2:13" x14ac:dyDescent="0.25">
      <c r="B145" s="46"/>
      <c r="C145" s="14"/>
      <c r="D145" s="15"/>
      <c r="E145" s="15"/>
      <c r="F145" s="15"/>
      <c r="G145" s="422"/>
      <c r="H145" s="17" t="str">
        <f t="shared" si="21"/>
        <v/>
      </c>
      <c r="I145" s="18"/>
      <c r="J145" s="61"/>
      <c r="K145" s="695"/>
      <c r="L145" s="420" t="str">
        <f t="shared" si="22"/>
        <v/>
      </c>
      <c r="M145" s="401" t="str">
        <f t="shared" si="23"/>
        <v/>
      </c>
    </row>
    <row r="146" spans="2:13" x14ac:dyDescent="0.25">
      <c r="B146" s="46"/>
      <c r="C146" s="14"/>
      <c r="D146" s="15"/>
      <c r="E146" s="15"/>
      <c r="F146" s="15"/>
      <c r="G146" s="422"/>
      <c r="H146" s="17" t="str">
        <f t="shared" si="21"/>
        <v/>
      </c>
      <c r="I146" s="18"/>
      <c r="J146" s="61"/>
      <c r="K146" s="696"/>
      <c r="L146" s="420" t="str">
        <f t="shared" si="22"/>
        <v/>
      </c>
      <c r="M146" s="401" t="str">
        <f t="shared" si="23"/>
        <v/>
      </c>
    </row>
    <row r="147" spans="2:13" s="28" customFormat="1" ht="24.75" customHeight="1" x14ac:dyDescent="0.25">
      <c r="B147" s="144" t="str">
        <f>$B$12</f>
        <v>C13.7</v>
      </c>
      <c r="C147" s="30" t="s">
        <v>791</v>
      </c>
      <c r="D147" s="31"/>
      <c r="E147" s="31"/>
      <c r="F147" s="32"/>
      <c r="G147" s="31"/>
      <c r="H147" s="33">
        <f>SUM(H81:H146)</f>
        <v>0</v>
      </c>
      <c r="I147" s="34"/>
      <c r="J147" s="408"/>
      <c r="K147" s="406"/>
      <c r="L147" s="418">
        <f>SUM(L81:L146)</f>
        <v>0</v>
      </c>
      <c r="M147" s="407" t="str">
        <f t="shared" ref="M147" si="24">IF(J147="","",IF(SUM(H147)=0,"",L147/H147))</f>
        <v/>
      </c>
    </row>
  </sheetData>
  <mergeCells count="13">
    <mergeCell ref="B76:G76"/>
    <mergeCell ref="H76:H79"/>
    <mergeCell ref="F3:H3"/>
    <mergeCell ref="B6:G6"/>
    <mergeCell ref="H6:H9"/>
    <mergeCell ref="B73:D73"/>
    <mergeCell ref="F73:H75"/>
    <mergeCell ref="B74:D74"/>
    <mergeCell ref="B75:D75"/>
    <mergeCell ref="B7:G7"/>
    <mergeCell ref="B8:G8"/>
    <mergeCell ref="B77:G77"/>
    <mergeCell ref="B78:G78"/>
  </mergeCells>
  <conditionalFormatting sqref="G11:H72">
    <cfRule type="expression" dxfId="45" priority="1">
      <formula>AND(_Show_Price=FALSE,$D11&lt;&gt;"PC Sum",$D11&lt;&gt;"P C Sum",$D11&lt;&gt;"Prov Sum",$D11&lt;&gt;"P Sum")</formula>
    </cfRule>
  </conditionalFormatting>
  <conditionalFormatting sqref="G81:H147">
    <cfRule type="expression" dxfId="44" priority="4">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41">
    <tabColor rgb="FFFFFF00"/>
  </sheetPr>
  <dimension ref="A1:N144"/>
  <sheetViews>
    <sheetView view="pageBreakPreview" zoomScale="90" zoomScaleNormal="125" zoomScaleSheetLayoutView="90" zoomScalePageLayoutView="125" workbookViewId="0">
      <pane ySplit="2" topLeftCell="A3" activePane="bottomLeft" state="frozen"/>
      <selection activeCell="C28" sqref="C28"/>
      <selection pane="bottomLeft" activeCell="G16" sqref="G1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MAX(H2:H205)</f>
        <v>0</v>
      </c>
      <c r="I1" s="247">
        <f>MAX(I2:I205)</f>
        <v>0</v>
      </c>
      <c r="J1" s="248"/>
      <c r="K1" s="249"/>
      <c r="L1" s="247">
        <f>MAX(L2:L205)</f>
        <v>0</v>
      </c>
      <c r="M1" s="249"/>
    </row>
    <row r="2" spans="1:14" s="250" customFormat="1" ht="11.5" x14ac:dyDescent="0.25">
      <c r="B2" s="251" t="s">
        <v>995</v>
      </c>
      <c r="C2" s="252" t="s">
        <v>1</v>
      </c>
      <c r="D2" s="252" t="s">
        <v>2</v>
      </c>
      <c r="E2" s="252"/>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C13.8</v>
      </c>
      <c r="I6" s="6"/>
    </row>
    <row r="7" spans="1:14" ht="36"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4.75" customHeight="1" x14ac:dyDescent="0.25">
      <c r="B8" s="1152" t="s">
        <v>1772</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A11" s="5"/>
      <c r="B11" s="58"/>
      <c r="C11" s="65"/>
      <c r="D11" s="15"/>
      <c r="E11" s="15"/>
      <c r="F11" s="15"/>
      <c r="G11" s="411"/>
      <c r="H11" s="17" t="str">
        <f t="shared" ref="H11:H68" si="0">IF(D11="","",F11*G11)</f>
        <v/>
      </c>
      <c r="I11" s="18"/>
      <c r="J11" s="736"/>
      <c r="K11" s="737"/>
      <c r="L11" s="738" t="str">
        <f t="shared" ref="L11" si="1">IF(J11="","",F11*K11)</f>
        <v/>
      </c>
      <c r="M11" s="739" t="str">
        <f>IF(J11="","",IF(SUM(H11)=0,"",L11/H11))</f>
        <v/>
      </c>
    </row>
    <row r="12" spans="1:14" ht="13" x14ac:dyDescent="0.25">
      <c r="A12" s="5"/>
      <c r="B12" s="146" t="s">
        <v>359</v>
      </c>
      <c r="C12" s="672" t="s">
        <v>360</v>
      </c>
      <c r="D12" s="15"/>
      <c r="E12" s="15"/>
      <c r="F12" s="15"/>
      <c r="G12" s="411"/>
      <c r="H12" s="17" t="str">
        <f t="shared" si="0"/>
        <v/>
      </c>
      <c r="I12" s="18"/>
      <c r="J12" s="736"/>
      <c r="K12" s="737"/>
      <c r="L12" s="738" t="str">
        <f t="shared" ref="L12:L68" si="2">IF(J12="","",F12*K12)</f>
        <v/>
      </c>
      <c r="M12" s="739" t="str">
        <f t="shared" ref="M12:M68" si="3">IF(J12="","",IF(SUM(H12)=0,"",L12/H12))</f>
        <v/>
      </c>
    </row>
    <row r="13" spans="1:14" ht="13" x14ac:dyDescent="0.25">
      <c r="A13" s="5"/>
      <c r="B13" s="146"/>
      <c r="C13" s="65"/>
      <c r="D13" s="15"/>
      <c r="E13" s="15"/>
      <c r="F13" s="15"/>
      <c r="G13" s="411"/>
      <c r="H13" s="17" t="str">
        <f t="shared" si="0"/>
        <v/>
      </c>
      <c r="I13" s="18"/>
      <c r="J13" s="736"/>
      <c r="K13" s="737"/>
      <c r="L13" s="738" t="str">
        <f t="shared" si="2"/>
        <v/>
      </c>
      <c r="M13" s="739" t="str">
        <f t="shared" si="3"/>
        <v/>
      </c>
    </row>
    <row r="14" spans="1:14" ht="13" x14ac:dyDescent="0.25">
      <c r="A14" s="5"/>
      <c r="B14" s="146" t="s">
        <v>1890</v>
      </c>
      <c r="C14" s="672" t="s">
        <v>364</v>
      </c>
      <c r="D14" s="15"/>
      <c r="E14" s="15"/>
      <c r="F14" s="15"/>
      <c r="G14" s="411"/>
      <c r="H14" s="17" t="str">
        <f t="shared" si="0"/>
        <v/>
      </c>
      <c r="I14" s="18"/>
      <c r="J14" s="736"/>
      <c r="K14" s="737"/>
      <c r="L14" s="738" t="str">
        <f t="shared" si="2"/>
        <v/>
      </c>
      <c r="M14" s="739" t="str">
        <f t="shared" si="3"/>
        <v/>
      </c>
    </row>
    <row r="15" spans="1:14" x14ac:dyDescent="0.25">
      <c r="A15" s="5"/>
      <c r="B15" s="58"/>
      <c r="C15" s="65"/>
      <c r="D15" s="15"/>
      <c r="E15" s="15"/>
      <c r="F15" s="15"/>
      <c r="G15" s="411"/>
      <c r="H15" s="17" t="str">
        <f t="shared" si="0"/>
        <v/>
      </c>
      <c r="I15" s="18"/>
      <c r="J15" s="736"/>
      <c r="K15" s="737"/>
      <c r="L15" s="738" t="str">
        <f t="shared" si="2"/>
        <v/>
      </c>
      <c r="M15" s="739" t="str">
        <f t="shared" si="3"/>
        <v/>
      </c>
    </row>
    <row r="16" spans="1:14" x14ac:dyDescent="0.25">
      <c r="A16" s="5"/>
      <c r="B16" s="58" t="s">
        <v>370</v>
      </c>
      <c r="C16" s="65" t="s">
        <v>1957</v>
      </c>
      <c r="D16" s="15" t="s">
        <v>34</v>
      </c>
      <c r="E16" s="15" t="s">
        <v>996</v>
      </c>
      <c r="F16" s="15">
        <v>1</v>
      </c>
      <c r="G16" s="411"/>
      <c r="H16" s="17">
        <f t="shared" si="0"/>
        <v>0</v>
      </c>
      <c r="I16" s="18"/>
      <c r="J16" s="736" t="s">
        <v>1721</v>
      </c>
      <c r="K16" s="737">
        <f>IF(D16="","",ROUND(12%*G16,1))</f>
        <v>0</v>
      </c>
      <c r="L16" s="738">
        <f t="shared" si="2"/>
        <v>0</v>
      </c>
      <c r="M16" s="739" t="str">
        <f t="shared" si="3"/>
        <v/>
      </c>
    </row>
    <row r="17" spans="1:13" x14ac:dyDescent="0.25">
      <c r="A17" s="5"/>
      <c r="B17" s="58"/>
      <c r="C17" s="65"/>
      <c r="D17" s="15"/>
      <c r="E17" s="15"/>
      <c r="F17" s="24"/>
      <c r="G17" s="411"/>
      <c r="H17" s="17" t="str">
        <f t="shared" si="0"/>
        <v/>
      </c>
      <c r="I17" s="57"/>
      <c r="J17" s="736"/>
      <c r="K17" s="737"/>
      <c r="L17" s="738" t="str">
        <f t="shared" si="2"/>
        <v/>
      </c>
      <c r="M17" s="739" t="str">
        <f t="shared" si="3"/>
        <v/>
      </c>
    </row>
    <row r="18" spans="1:13" ht="13" x14ac:dyDescent="0.25">
      <c r="A18" s="5"/>
      <c r="B18" s="146" t="s">
        <v>371</v>
      </c>
      <c r="C18" s="672" t="s">
        <v>365</v>
      </c>
      <c r="D18" s="15"/>
      <c r="E18" s="15"/>
      <c r="F18" s="24"/>
      <c r="G18" s="411"/>
      <c r="H18" s="17" t="str">
        <f t="shared" si="0"/>
        <v/>
      </c>
      <c r="I18" s="57"/>
      <c r="J18" s="736"/>
      <c r="K18" s="737"/>
      <c r="L18" s="738" t="str">
        <f t="shared" si="2"/>
        <v/>
      </c>
      <c r="M18" s="739" t="str">
        <f t="shared" si="3"/>
        <v/>
      </c>
    </row>
    <row r="19" spans="1:13" x14ac:dyDescent="0.25">
      <c r="A19" s="5"/>
      <c r="B19" s="58"/>
      <c r="C19" s="65"/>
      <c r="D19" s="15"/>
      <c r="E19" s="15"/>
      <c r="F19" s="24"/>
      <c r="G19" s="411"/>
      <c r="H19" s="17" t="str">
        <f t="shared" si="0"/>
        <v/>
      </c>
      <c r="I19" s="57"/>
      <c r="J19" s="736"/>
      <c r="K19" s="737"/>
      <c r="L19" s="738" t="str">
        <f t="shared" si="2"/>
        <v/>
      </c>
      <c r="M19" s="739" t="str">
        <f t="shared" si="3"/>
        <v/>
      </c>
    </row>
    <row r="20" spans="1:13" x14ac:dyDescent="0.25">
      <c r="A20" s="5"/>
      <c r="B20" s="58" t="s">
        <v>373</v>
      </c>
      <c r="C20" s="65" t="s">
        <v>367</v>
      </c>
      <c r="D20" s="61"/>
      <c r="E20" s="61"/>
      <c r="F20" s="15"/>
      <c r="G20" s="411"/>
      <c r="H20" s="17" t="str">
        <f t="shared" si="0"/>
        <v/>
      </c>
      <c r="I20" s="18"/>
      <c r="J20" s="736"/>
      <c r="K20" s="736"/>
      <c r="L20" s="738" t="str">
        <f t="shared" si="2"/>
        <v/>
      </c>
      <c r="M20" s="739" t="str">
        <f t="shared" si="3"/>
        <v/>
      </c>
    </row>
    <row r="21" spans="1:13" x14ac:dyDescent="0.25">
      <c r="A21" s="5"/>
      <c r="B21" s="58"/>
      <c r="C21" s="65"/>
      <c r="D21" s="15"/>
      <c r="E21" s="15"/>
      <c r="F21" s="61"/>
      <c r="G21" s="411"/>
      <c r="H21" s="17" t="str">
        <f t="shared" si="0"/>
        <v/>
      </c>
      <c r="I21" s="63"/>
      <c r="J21" s="736"/>
      <c r="K21" s="736"/>
      <c r="L21" s="738" t="str">
        <f t="shared" si="2"/>
        <v/>
      </c>
      <c r="M21" s="739" t="str">
        <f t="shared" si="3"/>
        <v/>
      </c>
    </row>
    <row r="22" spans="1:13" x14ac:dyDescent="0.25">
      <c r="A22" s="5"/>
      <c r="B22" s="58" t="s">
        <v>39</v>
      </c>
      <c r="C22" s="65" t="s">
        <v>1727</v>
      </c>
      <c r="D22" s="61" t="s">
        <v>6</v>
      </c>
      <c r="E22" s="61" t="s">
        <v>996</v>
      </c>
      <c r="F22" s="15">
        <v>92</v>
      </c>
      <c r="G22" s="411"/>
      <c r="H22" s="17">
        <f t="shared" si="0"/>
        <v>0</v>
      </c>
      <c r="I22" s="18"/>
      <c r="J22" s="736" t="s">
        <v>1721</v>
      </c>
      <c r="K22" s="737">
        <f>IF(D22="","",ROUND(12%*G22,1))</f>
        <v>0</v>
      </c>
      <c r="L22" s="738">
        <f t="shared" si="2"/>
        <v>0</v>
      </c>
      <c r="M22" s="739" t="str">
        <f t="shared" si="3"/>
        <v/>
      </c>
    </row>
    <row r="23" spans="1:13" x14ac:dyDescent="0.25">
      <c r="A23" s="5"/>
      <c r="B23" s="58"/>
      <c r="C23" s="65" t="s">
        <v>1702</v>
      </c>
      <c r="D23" s="15"/>
      <c r="E23" s="15"/>
      <c r="F23" s="24"/>
      <c r="G23" s="411"/>
      <c r="H23" s="17" t="str">
        <f t="shared" si="0"/>
        <v/>
      </c>
      <c r="I23" s="57"/>
      <c r="J23" s="736"/>
      <c r="K23" s="740"/>
      <c r="L23" s="738" t="str">
        <f t="shared" si="2"/>
        <v/>
      </c>
      <c r="M23" s="739" t="str">
        <f t="shared" si="3"/>
        <v/>
      </c>
    </row>
    <row r="24" spans="1:13" ht="13" x14ac:dyDescent="0.25">
      <c r="A24" s="5"/>
      <c r="B24" s="146" t="s">
        <v>1897</v>
      </c>
      <c r="C24" s="672" t="s">
        <v>1728</v>
      </c>
      <c r="D24" s="15"/>
      <c r="E24" s="15"/>
      <c r="F24" s="15"/>
      <c r="G24" s="411"/>
      <c r="H24" s="17" t="str">
        <f t="shared" si="0"/>
        <v/>
      </c>
      <c r="I24" s="18"/>
      <c r="J24" s="736"/>
      <c r="K24" s="736"/>
      <c r="L24" s="738" t="str">
        <f t="shared" si="2"/>
        <v/>
      </c>
      <c r="M24" s="739" t="str">
        <f t="shared" si="3"/>
        <v/>
      </c>
    </row>
    <row r="25" spans="1:13" x14ac:dyDescent="0.25">
      <c r="A25" s="5"/>
      <c r="B25" s="58"/>
      <c r="C25" s="65"/>
      <c r="D25" s="15"/>
      <c r="E25" s="15"/>
      <c r="F25" s="15"/>
      <c r="G25" s="411"/>
      <c r="H25" s="17" t="str">
        <f t="shared" si="0"/>
        <v/>
      </c>
      <c r="I25" s="18"/>
      <c r="J25" s="736"/>
      <c r="K25" s="736"/>
      <c r="L25" s="738" t="str">
        <f t="shared" si="2"/>
        <v/>
      </c>
      <c r="M25" s="739" t="str">
        <f t="shared" si="3"/>
        <v/>
      </c>
    </row>
    <row r="26" spans="1:13" ht="14.5" x14ac:dyDescent="0.25">
      <c r="A26" s="5"/>
      <c r="B26" s="58" t="s">
        <v>39</v>
      </c>
      <c r="C26" s="65" t="s">
        <v>1764</v>
      </c>
      <c r="D26" s="15" t="s">
        <v>61</v>
      </c>
      <c r="E26" s="15" t="s">
        <v>996</v>
      </c>
      <c r="F26" s="15">
        <v>250</v>
      </c>
      <c r="G26" s="411"/>
      <c r="H26" s="17">
        <f t="shared" si="0"/>
        <v>0</v>
      </c>
      <c r="I26" s="18"/>
      <c r="J26" s="736" t="s">
        <v>1721</v>
      </c>
      <c r="K26" s="737">
        <f>IF(D26="","",ROUND(12%*G26,1))</f>
        <v>0</v>
      </c>
      <c r="L26" s="738">
        <f t="shared" si="2"/>
        <v>0</v>
      </c>
      <c r="M26" s="739" t="str">
        <f t="shared" si="3"/>
        <v/>
      </c>
    </row>
    <row r="27" spans="1:13" x14ac:dyDescent="0.25">
      <c r="A27" s="5"/>
      <c r="B27" s="58"/>
      <c r="C27" s="65"/>
      <c r="D27" s="15"/>
      <c r="E27" s="15"/>
      <c r="F27" s="15"/>
      <c r="G27" s="411"/>
      <c r="H27" s="17" t="str">
        <f t="shared" si="0"/>
        <v/>
      </c>
      <c r="I27" s="18"/>
      <c r="J27" s="736"/>
      <c r="K27" s="736"/>
      <c r="L27" s="738" t="str">
        <f t="shared" si="2"/>
        <v/>
      </c>
      <c r="M27" s="739" t="str">
        <f t="shared" si="3"/>
        <v/>
      </c>
    </row>
    <row r="28" spans="1:13" ht="25" x14ac:dyDescent="0.25">
      <c r="A28" s="5"/>
      <c r="B28" s="58" t="s">
        <v>41</v>
      </c>
      <c r="C28" s="65" t="s">
        <v>1765</v>
      </c>
      <c r="D28" s="15" t="s">
        <v>61</v>
      </c>
      <c r="E28" s="15" t="s">
        <v>996</v>
      </c>
      <c r="F28" s="15">
        <v>6</v>
      </c>
      <c r="G28" s="411"/>
      <c r="H28" s="17">
        <f t="shared" si="0"/>
        <v>0</v>
      </c>
      <c r="I28" s="18"/>
      <c r="J28" s="736" t="s">
        <v>1721</v>
      </c>
      <c r="K28" s="737">
        <f>IF(D28="","",ROUND(12%*G28,1))</f>
        <v>0</v>
      </c>
      <c r="L28" s="738">
        <f t="shared" si="2"/>
        <v>0</v>
      </c>
      <c r="M28" s="739" t="str">
        <f t="shared" si="3"/>
        <v/>
      </c>
    </row>
    <row r="29" spans="1:13" x14ac:dyDescent="0.25">
      <c r="A29" s="5"/>
      <c r="B29" s="58"/>
      <c r="C29" s="65"/>
      <c r="D29" s="15"/>
      <c r="E29" s="15"/>
      <c r="F29" s="15"/>
      <c r="G29" s="411"/>
      <c r="H29" s="17" t="str">
        <f t="shared" si="0"/>
        <v/>
      </c>
      <c r="I29" s="18"/>
      <c r="J29" s="736"/>
      <c r="K29" s="736"/>
      <c r="L29" s="738" t="str">
        <f t="shared" si="2"/>
        <v/>
      </c>
      <c r="M29" s="739" t="str">
        <f t="shared" si="3"/>
        <v/>
      </c>
    </row>
    <row r="30" spans="1:13" ht="14.5" x14ac:dyDescent="0.25">
      <c r="A30" s="5"/>
      <c r="B30" s="58" t="s">
        <v>52</v>
      </c>
      <c r="C30" s="65" t="s">
        <v>1766</v>
      </c>
      <c r="D30" s="15" t="s">
        <v>61</v>
      </c>
      <c r="E30" s="15" t="s">
        <v>996</v>
      </c>
      <c r="F30" s="15">
        <v>140</v>
      </c>
      <c r="G30" s="411"/>
      <c r="H30" s="17">
        <f t="shared" si="0"/>
        <v>0</v>
      </c>
      <c r="I30" s="18"/>
      <c r="J30" s="736" t="s">
        <v>1721</v>
      </c>
      <c r="K30" s="737">
        <f>IF(D30="","",ROUND(12%*G30,1))</f>
        <v>0</v>
      </c>
      <c r="L30" s="738">
        <f t="shared" si="2"/>
        <v>0</v>
      </c>
      <c r="M30" s="739" t="str">
        <f t="shared" si="3"/>
        <v/>
      </c>
    </row>
    <row r="31" spans="1:13" x14ac:dyDescent="0.25">
      <c r="A31" s="5"/>
      <c r="B31" s="58"/>
      <c r="C31" s="803"/>
      <c r="D31" s="15"/>
      <c r="E31" s="15"/>
      <c r="F31" s="24"/>
      <c r="G31" s="411"/>
      <c r="H31" s="17" t="str">
        <f t="shared" si="0"/>
        <v/>
      </c>
      <c r="I31" s="18"/>
      <c r="J31" s="736"/>
      <c r="K31" s="737"/>
      <c r="L31" s="738" t="str">
        <f t="shared" si="2"/>
        <v/>
      </c>
      <c r="M31" s="739" t="str">
        <f t="shared" si="3"/>
        <v/>
      </c>
    </row>
    <row r="32" spans="1:13" ht="13" x14ac:dyDescent="0.25">
      <c r="A32" s="5"/>
      <c r="B32" s="146" t="s">
        <v>374</v>
      </c>
      <c r="C32" s="672" t="s">
        <v>1847</v>
      </c>
      <c r="D32" s="15"/>
      <c r="E32" s="15"/>
      <c r="F32" s="15"/>
      <c r="G32" s="411"/>
      <c r="H32" s="17" t="str">
        <f t="shared" si="0"/>
        <v/>
      </c>
      <c r="I32" s="18"/>
      <c r="J32" s="736"/>
      <c r="K32" s="736"/>
      <c r="L32" s="738" t="str">
        <f t="shared" si="2"/>
        <v/>
      </c>
      <c r="M32" s="739" t="str">
        <f t="shared" si="3"/>
        <v/>
      </c>
    </row>
    <row r="33" spans="1:13" x14ac:dyDescent="0.25">
      <c r="A33" s="5"/>
      <c r="B33" s="58"/>
      <c r="C33" s="65"/>
      <c r="D33" s="15"/>
      <c r="E33" s="15"/>
      <c r="F33" s="15"/>
      <c r="G33" s="411"/>
      <c r="H33" s="17" t="str">
        <f t="shared" si="0"/>
        <v/>
      </c>
      <c r="I33" s="18"/>
      <c r="J33" s="736"/>
      <c r="K33" s="736"/>
      <c r="L33" s="738" t="str">
        <f t="shared" si="2"/>
        <v/>
      </c>
      <c r="M33" s="739" t="str">
        <f t="shared" si="3"/>
        <v/>
      </c>
    </row>
    <row r="34" spans="1:13" ht="37.5" x14ac:dyDescent="0.25">
      <c r="A34" s="5"/>
      <c r="B34" s="58" t="s">
        <v>39</v>
      </c>
      <c r="C34" s="65" t="s">
        <v>1730</v>
      </c>
      <c r="D34" s="15" t="s">
        <v>6</v>
      </c>
      <c r="E34" s="15" t="s">
        <v>996</v>
      </c>
      <c r="F34" s="15">
        <v>161</v>
      </c>
      <c r="G34" s="411"/>
      <c r="H34" s="17">
        <f t="shared" si="0"/>
        <v>0</v>
      </c>
      <c r="I34" s="18"/>
      <c r="J34" s="736" t="s">
        <v>1721</v>
      </c>
      <c r="K34" s="737">
        <f>IF(D34="","",ROUND(12%*G34,1))</f>
        <v>0</v>
      </c>
      <c r="L34" s="738">
        <f t="shared" si="2"/>
        <v>0</v>
      </c>
      <c r="M34" s="739" t="str">
        <f t="shared" si="3"/>
        <v/>
      </c>
    </row>
    <row r="35" spans="1:13" x14ac:dyDescent="0.25">
      <c r="A35" s="5"/>
      <c r="B35" s="58"/>
      <c r="C35" s="65"/>
      <c r="D35" s="15"/>
      <c r="E35" s="15"/>
      <c r="F35" s="15"/>
      <c r="G35" s="411"/>
      <c r="H35" s="17" t="str">
        <f t="shared" si="0"/>
        <v/>
      </c>
      <c r="I35" s="18"/>
      <c r="J35" s="736"/>
      <c r="K35" s="737"/>
      <c r="L35" s="738" t="str">
        <f t="shared" si="2"/>
        <v/>
      </c>
      <c r="M35" s="739" t="str">
        <f t="shared" si="3"/>
        <v/>
      </c>
    </row>
    <row r="36" spans="1:13" ht="13" x14ac:dyDescent="0.25">
      <c r="A36" s="5"/>
      <c r="B36" s="146" t="s">
        <v>1898</v>
      </c>
      <c r="C36" s="672" t="s">
        <v>368</v>
      </c>
      <c r="D36" s="15"/>
      <c r="E36" s="15"/>
      <c r="F36" s="15"/>
      <c r="G36" s="411"/>
      <c r="H36" s="17" t="str">
        <f t="shared" si="0"/>
        <v/>
      </c>
      <c r="I36" s="18"/>
      <c r="J36" s="736"/>
      <c r="K36" s="737"/>
      <c r="L36" s="738" t="str">
        <f t="shared" si="2"/>
        <v/>
      </c>
      <c r="M36" s="739" t="str">
        <f t="shared" si="3"/>
        <v/>
      </c>
    </row>
    <row r="37" spans="1:13" x14ac:dyDescent="0.25">
      <c r="A37" s="5"/>
      <c r="B37" s="58"/>
      <c r="C37" s="65"/>
      <c r="D37" s="15"/>
      <c r="E37" s="15"/>
      <c r="F37" s="15"/>
      <c r="G37" s="411"/>
      <c r="H37" s="17" t="str">
        <f t="shared" si="0"/>
        <v/>
      </c>
      <c r="I37" s="18"/>
      <c r="J37" s="736"/>
      <c r="K37" s="737"/>
      <c r="L37" s="738" t="str">
        <f t="shared" si="2"/>
        <v/>
      </c>
      <c r="M37" s="739" t="str">
        <f t="shared" si="3"/>
        <v/>
      </c>
    </row>
    <row r="38" spans="1:13" ht="50" x14ac:dyDescent="0.25">
      <c r="A38" s="5"/>
      <c r="B38" s="58" t="s">
        <v>375</v>
      </c>
      <c r="C38" s="65" t="s">
        <v>2052</v>
      </c>
      <c r="D38" s="15" t="s">
        <v>6</v>
      </c>
      <c r="E38" s="15" t="s">
        <v>996</v>
      </c>
      <c r="F38" s="15">
        <v>54</v>
      </c>
      <c r="G38" s="411"/>
      <c r="H38" s="17">
        <f t="shared" si="0"/>
        <v>0</v>
      </c>
      <c r="I38" s="18"/>
      <c r="J38" s="736" t="s">
        <v>1721</v>
      </c>
      <c r="K38" s="737">
        <f>IF(D38="","",ROUND(12%*G38,1))</f>
        <v>0</v>
      </c>
      <c r="L38" s="738">
        <f t="shared" si="2"/>
        <v>0</v>
      </c>
      <c r="M38" s="739" t="str">
        <f t="shared" si="3"/>
        <v/>
      </c>
    </row>
    <row r="39" spans="1:13" x14ac:dyDescent="0.25">
      <c r="A39" s="5"/>
      <c r="B39" s="58"/>
      <c r="C39" s="65"/>
      <c r="D39" s="15"/>
      <c r="E39" s="15"/>
      <c r="F39" s="24"/>
      <c r="G39" s="411"/>
      <c r="H39" s="17" t="str">
        <f t="shared" si="0"/>
        <v/>
      </c>
      <c r="I39" s="18"/>
      <c r="J39" s="736"/>
      <c r="K39" s="737"/>
      <c r="L39" s="738" t="str">
        <f t="shared" si="2"/>
        <v/>
      </c>
      <c r="M39" s="739" t="str">
        <f t="shared" si="3"/>
        <v/>
      </c>
    </row>
    <row r="40" spans="1:13" s="36" customFormat="1" x14ac:dyDescent="0.25">
      <c r="A40" s="63"/>
      <c r="B40" s="58"/>
      <c r="C40" s="65"/>
      <c r="D40" s="15"/>
      <c r="E40" s="15"/>
      <c r="F40" s="24"/>
      <c r="G40" s="411"/>
      <c r="H40" s="17" t="str">
        <f t="shared" si="0"/>
        <v/>
      </c>
      <c r="I40" s="18"/>
      <c r="J40" s="736"/>
      <c r="K40" s="741"/>
      <c r="L40" s="738" t="str">
        <f t="shared" si="2"/>
        <v/>
      </c>
      <c r="M40" s="739" t="str">
        <f t="shared" si="3"/>
        <v/>
      </c>
    </row>
    <row r="41" spans="1:13" x14ac:dyDescent="0.25">
      <c r="A41" s="5"/>
      <c r="B41" s="58"/>
      <c r="C41" s="65"/>
      <c r="D41" s="15"/>
      <c r="E41" s="15"/>
      <c r="F41" s="24"/>
      <c r="G41" s="411"/>
      <c r="H41" s="17" t="str">
        <f t="shared" si="0"/>
        <v/>
      </c>
      <c r="I41" s="57"/>
      <c r="J41" s="736"/>
      <c r="K41" s="737"/>
      <c r="L41" s="738" t="str">
        <f t="shared" si="2"/>
        <v/>
      </c>
      <c r="M41" s="739" t="str">
        <f t="shared" si="3"/>
        <v/>
      </c>
    </row>
    <row r="42" spans="1:13" x14ac:dyDescent="0.25">
      <c r="A42" s="5"/>
      <c r="B42" s="58"/>
      <c r="C42" s="65"/>
      <c r="D42" s="15"/>
      <c r="E42" s="15"/>
      <c r="F42" s="24"/>
      <c r="G42" s="411"/>
      <c r="H42" s="17" t="str">
        <f t="shared" si="0"/>
        <v/>
      </c>
      <c r="I42" s="57"/>
      <c r="J42" s="736"/>
      <c r="K42" s="737"/>
      <c r="L42" s="738" t="str">
        <f t="shared" si="2"/>
        <v/>
      </c>
      <c r="M42" s="739" t="str">
        <f t="shared" si="3"/>
        <v/>
      </c>
    </row>
    <row r="43" spans="1:13" x14ac:dyDescent="0.25">
      <c r="A43" s="5"/>
      <c r="B43" s="58"/>
      <c r="C43" s="65"/>
      <c r="D43" s="15"/>
      <c r="E43" s="15"/>
      <c r="F43" s="24"/>
      <c r="G43" s="411"/>
      <c r="H43" s="17" t="str">
        <f t="shared" si="0"/>
        <v/>
      </c>
      <c r="I43" s="18"/>
      <c r="J43" s="736"/>
      <c r="K43" s="737"/>
      <c r="L43" s="738" t="str">
        <f t="shared" si="2"/>
        <v/>
      </c>
      <c r="M43" s="739" t="str">
        <f t="shared" si="3"/>
        <v/>
      </c>
    </row>
    <row r="44" spans="1:13" x14ac:dyDescent="0.25">
      <c r="A44" s="5"/>
      <c r="B44" s="58"/>
      <c r="C44" s="65"/>
      <c r="D44" s="15"/>
      <c r="E44" s="15"/>
      <c r="F44" s="24"/>
      <c r="G44" s="411"/>
      <c r="H44" s="17" t="str">
        <f t="shared" si="0"/>
        <v/>
      </c>
      <c r="I44" s="18"/>
      <c r="J44" s="736"/>
      <c r="K44" s="737"/>
      <c r="L44" s="738" t="str">
        <f t="shared" si="2"/>
        <v/>
      </c>
      <c r="M44" s="739" t="str">
        <f t="shared" si="3"/>
        <v/>
      </c>
    </row>
    <row r="45" spans="1:13" x14ac:dyDescent="0.25">
      <c r="A45" s="5"/>
      <c r="B45" s="58"/>
      <c r="C45" s="65"/>
      <c r="D45" s="15"/>
      <c r="E45" s="15"/>
      <c r="F45" s="24"/>
      <c r="G45" s="411"/>
      <c r="H45" s="17" t="str">
        <f t="shared" si="0"/>
        <v/>
      </c>
      <c r="I45" s="18"/>
      <c r="J45" s="736"/>
      <c r="K45" s="737"/>
      <c r="L45" s="738" t="str">
        <f t="shared" si="2"/>
        <v/>
      </c>
      <c r="M45" s="739" t="str">
        <f t="shared" si="3"/>
        <v/>
      </c>
    </row>
    <row r="46" spans="1:13" x14ac:dyDescent="0.25">
      <c r="A46" s="5"/>
      <c r="B46" s="58"/>
      <c r="C46" s="65"/>
      <c r="D46" s="15"/>
      <c r="E46" s="15"/>
      <c r="F46" s="24"/>
      <c r="G46" s="411"/>
      <c r="H46" s="17" t="str">
        <f t="shared" si="0"/>
        <v/>
      </c>
      <c r="I46" s="18"/>
      <c r="J46" s="736"/>
      <c r="K46" s="737"/>
      <c r="L46" s="738" t="str">
        <f t="shared" si="2"/>
        <v/>
      </c>
      <c r="M46" s="739" t="str">
        <f t="shared" si="3"/>
        <v/>
      </c>
    </row>
    <row r="47" spans="1:13" x14ac:dyDescent="0.25">
      <c r="A47" s="5"/>
      <c r="B47" s="58"/>
      <c r="C47" s="65"/>
      <c r="D47" s="15"/>
      <c r="E47" s="15"/>
      <c r="F47" s="15"/>
      <c r="G47" s="411"/>
      <c r="H47" s="17" t="str">
        <f t="shared" si="0"/>
        <v/>
      </c>
      <c r="I47" s="18"/>
      <c r="J47" s="736"/>
      <c r="K47" s="737"/>
      <c r="L47" s="738" t="str">
        <f t="shared" si="2"/>
        <v/>
      </c>
      <c r="M47" s="739" t="str">
        <f t="shared" si="3"/>
        <v/>
      </c>
    </row>
    <row r="48" spans="1:13" x14ac:dyDescent="0.25">
      <c r="A48" s="5"/>
      <c r="B48" s="58"/>
      <c r="C48" s="65"/>
      <c r="D48" s="15"/>
      <c r="E48" s="15"/>
      <c r="F48" s="15"/>
      <c r="G48" s="411"/>
      <c r="H48" s="17" t="str">
        <f t="shared" si="0"/>
        <v/>
      </c>
      <c r="I48" s="18"/>
      <c r="J48" s="736"/>
      <c r="K48" s="740"/>
      <c r="L48" s="738" t="str">
        <f t="shared" si="2"/>
        <v/>
      </c>
      <c r="M48" s="739" t="str">
        <f t="shared" si="3"/>
        <v/>
      </c>
    </row>
    <row r="49" spans="1:13" x14ac:dyDescent="0.25">
      <c r="A49" s="5"/>
      <c r="B49" s="58"/>
      <c r="C49" s="65"/>
      <c r="D49" s="15"/>
      <c r="E49" s="15"/>
      <c r="F49" s="15"/>
      <c r="G49" s="411"/>
      <c r="H49" s="17" t="str">
        <f t="shared" si="0"/>
        <v/>
      </c>
      <c r="I49" s="18"/>
      <c r="J49" s="736"/>
      <c r="K49" s="737"/>
      <c r="L49" s="738" t="str">
        <f t="shared" si="2"/>
        <v/>
      </c>
      <c r="M49" s="739" t="str">
        <f t="shared" si="3"/>
        <v/>
      </c>
    </row>
    <row r="50" spans="1:13" x14ac:dyDescent="0.25">
      <c r="A50" s="5"/>
      <c r="B50" s="58"/>
      <c r="C50" s="65"/>
      <c r="D50" s="15"/>
      <c r="E50" s="15"/>
      <c r="F50" s="15"/>
      <c r="G50" s="411"/>
      <c r="H50" s="17" t="str">
        <f t="shared" si="0"/>
        <v/>
      </c>
      <c r="I50" s="18"/>
      <c r="J50" s="736"/>
      <c r="K50" s="737"/>
      <c r="L50" s="738" t="str">
        <f t="shared" si="2"/>
        <v/>
      </c>
      <c r="M50" s="739" t="str">
        <f t="shared" si="3"/>
        <v/>
      </c>
    </row>
    <row r="51" spans="1:13" x14ac:dyDescent="0.25">
      <c r="A51" s="5"/>
      <c r="B51" s="58"/>
      <c r="C51" s="65"/>
      <c r="D51" s="15"/>
      <c r="E51" s="15"/>
      <c r="F51" s="15"/>
      <c r="G51" s="411"/>
      <c r="H51" s="17" t="str">
        <f t="shared" si="0"/>
        <v/>
      </c>
      <c r="I51" s="18"/>
      <c r="J51" s="736"/>
      <c r="K51" s="740"/>
      <c r="L51" s="738" t="str">
        <f t="shared" si="2"/>
        <v/>
      </c>
      <c r="M51" s="739" t="str">
        <f t="shared" si="3"/>
        <v/>
      </c>
    </row>
    <row r="52" spans="1:13" x14ac:dyDescent="0.25">
      <c r="A52" s="5"/>
      <c r="B52" s="58"/>
      <c r="C52" s="65"/>
      <c r="D52" s="15"/>
      <c r="E52" s="15"/>
      <c r="F52" s="15"/>
      <c r="G52" s="411"/>
      <c r="H52" s="17" t="str">
        <f t="shared" si="0"/>
        <v/>
      </c>
      <c r="I52" s="18"/>
      <c r="J52" s="736"/>
      <c r="K52" s="737"/>
      <c r="L52" s="738" t="str">
        <f t="shared" si="2"/>
        <v/>
      </c>
      <c r="M52" s="739" t="str">
        <f t="shared" si="3"/>
        <v/>
      </c>
    </row>
    <row r="53" spans="1:13" x14ac:dyDescent="0.25">
      <c r="A53" s="5"/>
      <c r="B53" s="58"/>
      <c r="C53" s="65"/>
      <c r="D53" s="15"/>
      <c r="E53" s="15"/>
      <c r="F53" s="15"/>
      <c r="G53" s="411"/>
      <c r="H53" s="17" t="str">
        <f t="shared" si="0"/>
        <v/>
      </c>
      <c r="I53" s="18"/>
      <c r="J53" s="736"/>
      <c r="K53" s="737"/>
      <c r="L53" s="738" t="str">
        <f t="shared" si="2"/>
        <v/>
      </c>
      <c r="M53" s="739" t="str">
        <f t="shared" si="3"/>
        <v/>
      </c>
    </row>
    <row r="54" spans="1:13" x14ac:dyDescent="0.25">
      <c r="A54" s="5"/>
      <c r="B54" s="58"/>
      <c r="C54" s="65"/>
      <c r="D54" s="15"/>
      <c r="E54" s="15"/>
      <c r="F54" s="15"/>
      <c r="G54" s="411"/>
      <c r="H54" s="17" t="str">
        <f t="shared" si="0"/>
        <v/>
      </c>
      <c r="I54" s="18"/>
      <c r="J54" s="736"/>
      <c r="K54" s="737"/>
      <c r="L54" s="738" t="str">
        <f t="shared" si="2"/>
        <v/>
      </c>
      <c r="M54" s="739" t="str">
        <f t="shared" si="3"/>
        <v/>
      </c>
    </row>
    <row r="55" spans="1:13" x14ac:dyDescent="0.25">
      <c r="A55" s="5"/>
      <c r="B55" s="58"/>
      <c r="C55" s="65"/>
      <c r="D55" s="15"/>
      <c r="E55" s="15"/>
      <c r="F55" s="15"/>
      <c r="G55" s="411"/>
      <c r="H55" s="17" t="str">
        <f t="shared" si="0"/>
        <v/>
      </c>
      <c r="I55" s="18"/>
      <c r="J55" s="736"/>
      <c r="K55" s="737"/>
      <c r="L55" s="738" t="str">
        <f t="shared" si="2"/>
        <v/>
      </c>
      <c r="M55" s="739" t="str">
        <f t="shared" si="3"/>
        <v/>
      </c>
    </row>
    <row r="56" spans="1:13" x14ac:dyDescent="0.25">
      <c r="A56" s="5"/>
      <c r="B56" s="58"/>
      <c r="C56" s="65"/>
      <c r="D56" s="15"/>
      <c r="E56" s="15"/>
      <c r="F56" s="15"/>
      <c r="G56" s="411"/>
      <c r="H56" s="17" t="str">
        <f t="shared" si="0"/>
        <v/>
      </c>
      <c r="I56" s="18"/>
      <c r="J56" s="736"/>
      <c r="K56" s="736"/>
      <c r="L56" s="738" t="str">
        <f t="shared" si="2"/>
        <v/>
      </c>
      <c r="M56" s="739" t="str">
        <f t="shared" si="3"/>
        <v/>
      </c>
    </row>
    <row r="57" spans="1:13" x14ac:dyDescent="0.25">
      <c r="A57" s="5"/>
      <c r="B57" s="58"/>
      <c r="C57" s="65"/>
      <c r="D57" s="15"/>
      <c r="E57" s="15"/>
      <c r="F57" s="15"/>
      <c r="G57" s="411"/>
      <c r="H57" s="17" t="str">
        <f t="shared" si="0"/>
        <v/>
      </c>
      <c r="I57" s="18"/>
      <c r="J57" s="736"/>
      <c r="K57" s="736"/>
      <c r="L57" s="738" t="str">
        <f t="shared" si="2"/>
        <v/>
      </c>
      <c r="M57" s="739" t="str">
        <f t="shared" si="3"/>
        <v/>
      </c>
    </row>
    <row r="58" spans="1:13" x14ac:dyDescent="0.25">
      <c r="A58" s="5"/>
      <c r="B58" s="58"/>
      <c r="C58" s="65"/>
      <c r="D58" s="15"/>
      <c r="E58" s="15"/>
      <c r="F58" s="15"/>
      <c r="G58" s="411"/>
      <c r="H58" s="17" t="str">
        <f t="shared" si="0"/>
        <v/>
      </c>
      <c r="I58" s="18"/>
      <c r="J58" s="736"/>
      <c r="K58" s="736"/>
      <c r="L58" s="738" t="str">
        <f t="shared" si="2"/>
        <v/>
      </c>
      <c r="M58" s="739" t="str">
        <f t="shared" si="3"/>
        <v/>
      </c>
    </row>
    <row r="59" spans="1:13" x14ac:dyDescent="0.25">
      <c r="A59" s="5"/>
      <c r="B59" s="58"/>
      <c r="C59" s="65"/>
      <c r="D59" s="15"/>
      <c r="E59" s="15"/>
      <c r="F59" s="15"/>
      <c r="G59" s="411"/>
      <c r="H59" s="17" t="str">
        <f t="shared" si="0"/>
        <v/>
      </c>
      <c r="I59" s="18"/>
      <c r="J59" s="736"/>
      <c r="K59" s="736"/>
      <c r="L59" s="738" t="str">
        <f t="shared" si="2"/>
        <v/>
      </c>
      <c r="M59" s="739" t="str">
        <f t="shared" si="3"/>
        <v/>
      </c>
    </row>
    <row r="60" spans="1:13" x14ac:dyDescent="0.25">
      <c r="A60" s="5"/>
      <c r="B60" s="58"/>
      <c r="C60" s="65"/>
      <c r="D60" s="15"/>
      <c r="E60" s="15"/>
      <c r="F60" s="15"/>
      <c r="G60" s="411"/>
      <c r="H60" s="17" t="str">
        <f t="shared" ref="H60:H66" si="4">IF(D60="","",F60*G60)</f>
        <v/>
      </c>
      <c r="I60" s="18"/>
      <c r="J60" s="736"/>
      <c r="K60" s="736"/>
      <c r="L60" s="738" t="str">
        <f t="shared" ref="L60:L66" si="5">IF(J60="","",F60*K60)</f>
        <v/>
      </c>
      <c r="M60" s="739" t="str">
        <f t="shared" ref="M60:M66" si="6">IF(J60="","",IF(SUM(H60)=0,"",L60/H60))</f>
        <v/>
      </c>
    </row>
    <row r="61" spans="1:13" x14ac:dyDescent="0.25">
      <c r="A61" s="5"/>
      <c r="B61" s="58"/>
      <c r="C61" s="65"/>
      <c r="D61" s="15"/>
      <c r="E61" s="15"/>
      <c r="F61" s="15"/>
      <c r="G61" s="411"/>
      <c r="H61" s="17" t="str">
        <f t="shared" si="4"/>
        <v/>
      </c>
      <c r="I61" s="18"/>
      <c r="J61" s="736"/>
      <c r="K61" s="736"/>
      <c r="L61" s="738" t="str">
        <f t="shared" si="5"/>
        <v/>
      </c>
      <c r="M61" s="739" t="str">
        <f t="shared" si="6"/>
        <v/>
      </c>
    </row>
    <row r="62" spans="1:13" x14ac:dyDescent="0.25">
      <c r="A62" s="5"/>
      <c r="B62" s="58"/>
      <c r="C62" s="787"/>
      <c r="D62" s="394"/>
      <c r="E62" s="394"/>
      <c r="F62" s="15"/>
      <c r="G62" s="411"/>
      <c r="H62" s="17" t="str">
        <f t="shared" si="4"/>
        <v/>
      </c>
      <c r="I62" s="18"/>
      <c r="J62" s="736"/>
      <c r="K62" s="736"/>
      <c r="L62" s="738" t="str">
        <f t="shared" si="5"/>
        <v/>
      </c>
      <c r="M62" s="739" t="str">
        <f t="shared" si="6"/>
        <v/>
      </c>
    </row>
    <row r="63" spans="1:13" x14ac:dyDescent="0.25">
      <c r="A63" s="5"/>
      <c r="B63" s="58"/>
      <c r="C63" s="65"/>
      <c r="D63" s="15"/>
      <c r="E63" s="15"/>
      <c r="F63" s="15"/>
      <c r="G63" s="411"/>
      <c r="H63" s="17" t="str">
        <f t="shared" si="4"/>
        <v/>
      </c>
      <c r="I63" s="18"/>
      <c r="J63" s="736"/>
      <c r="K63" s="736"/>
      <c r="L63" s="738" t="str">
        <f t="shared" si="5"/>
        <v/>
      </c>
      <c r="M63" s="739" t="str">
        <f t="shared" si="6"/>
        <v/>
      </c>
    </row>
    <row r="64" spans="1:13" x14ac:dyDescent="0.25">
      <c r="A64" s="5"/>
      <c r="B64" s="58"/>
      <c r="C64" s="65"/>
      <c r="D64" s="15"/>
      <c r="E64" s="15"/>
      <c r="F64" s="15"/>
      <c r="G64" s="411"/>
      <c r="H64" s="17" t="str">
        <f t="shared" si="4"/>
        <v/>
      </c>
      <c r="I64" s="18"/>
      <c r="J64" s="736"/>
      <c r="K64" s="736"/>
      <c r="L64" s="738" t="str">
        <f t="shared" si="5"/>
        <v/>
      </c>
      <c r="M64" s="739" t="str">
        <f t="shared" si="6"/>
        <v/>
      </c>
    </row>
    <row r="65" spans="1:13" x14ac:dyDescent="0.25">
      <c r="A65" s="5"/>
      <c r="B65" s="58"/>
      <c r="C65" s="65"/>
      <c r="D65" s="15"/>
      <c r="E65" s="15"/>
      <c r="F65" s="15"/>
      <c r="G65" s="411"/>
      <c r="H65" s="17" t="str">
        <f t="shared" si="4"/>
        <v/>
      </c>
      <c r="I65" s="18"/>
      <c r="J65" s="736"/>
      <c r="K65" s="736"/>
      <c r="L65" s="738" t="str">
        <f t="shared" si="5"/>
        <v/>
      </c>
      <c r="M65" s="739" t="str">
        <f t="shared" si="6"/>
        <v/>
      </c>
    </row>
    <row r="66" spans="1:13" x14ac:dyDescent="0.25">
      <c r="A66" s="5"/>
      <c r="B66" s="58"/>
      <c r="C66" s="65"/>
      <c r="D66" s="15"/>
      <c r="E66" s="15"/>
      <c r="F66" s="15"/>
      <c r="G66" s="411"/>
      <c r="H66" s="17" t="str">
        <f t="shared" si="4"/>
        <v/>
      </c>
      <c r="I66" s="18"/>
      <c r="J66" s="736"/>
      <c r="K66" s="736"/>
      <c r="L66" s="738" t="str">
        <f t="shared" si="5"/>
        <v/>
      </c>
      <c r="M66" s="739" t="str">
        <f t="shared" si="6"/>
        <v/>
      </c>
    </row>
    <row r="67" spans="1:13" x14ac:dyDescent="0.25">
      <c r="A67" s="5"/>
      <c r="B67" s="58"/>
      <c r="C67" s="65"/>
      <c r="D67" s="15"/>
      <c r="E67" s="15"/>
      <c r="F67" s="15"/>
      <c r="G67" s="411"/>
      <c r="H67" s="17" t="str">
        <f t="shared" si="0"/>
        <v/>
      </c>
      <c r="I67" s="18"/>
      <c r="J67" s="736"/>
      <c r="K67" s="736"/>
      <c r="L67" s="738" t="str">
        <f t="shared" si="2"/>
        <v/>
      </c>
      <c r="M67" s="739" t="str">
        <f t="shared" si="3"/>
        <v/>
      </c>
    </row>
    <row r="68" spans="1:13" x14ac:dyDescent="0.25">
      <c r="A68" s="5"/>
      <c r="B68" s="58"/>
      <c r="C68" s="65"/>
      <c r="D68" s="15"/>
      <c r="E68" s="15"/>
      <c r="F68" s="15"/>
      <c r="G68" s="411"/>
      <c r="H68" s="17" t="str">
        <f t="shared" si="0"/>
        <v/>
      </c>
      <c r="I68" s="18"/>
      <c r="J68" s="736"/>
      <c r="K68" s="742"/>
      <c r="L68" s="738" t="str">
        <f t="shared" si="2"/>
        <v/>
      </c>
      <c r="M68" s="739" t="str">
        <f t="shared" si="3"/>
        <v/>
      </c>
    </row>
    <row r="69" spans="1:13" s="28" customFormat="1" ht="19.5" customHeight="1" x14ac:dyDescent="0.25">
      <c r="B69" s="135" t="str">
        <f>$B$12</f>
        <v>C13.8</v>
      </c>
      <c r="C69" s="30" t="s">
        <v>12</v>
      </c>
      <c r="D69" s="31"/>
      <c r="E69" s="31"/>
      <c r="F69" s="32"/>
      <c r="G69" s="31"/>
      <c r="H69" s="33">
        <f>SUM(H11:H68)</f>
        <v>0</v>
      </c>
      <c r="I69" s="34"/>
      <c r="J69" s="408"/>
      <c r="K69" s="406"/>
      <c r="L69" s="418">
        <f>SUM(L11:L68)</f>
        <v>0</v>
      </c>
      <c r="M69" s="407" t="str">
        <f t="shared" ref="M69" si="7">IF(J69="","",IF(SUM(H69)=0,"",L69/H69))</f>
        <v/>
      </c>
    </row>
    <row r="70" spans="1:13" ht="13" x14ac:dyDescent="0.25">
      <c r="B70" s="1108" t="str">
        <f>Client1</f>
        <v>Province of KwaZulu-Natal</v>
      </c>
      <c r="C70" s="1108"/>
      <c r="D70" s="1108"/>
      <c r="E70" s="87"/>
      <c r="F70" s="1109" t="str">
        <f>"Contract No. "&amp;ContractNo</f>
        <v>Contract No. ZNB 00399/00000/HOD/INF/21/T</v>
      </c>
      <c r="G70" s="1109"/>
      <c r="H70" s="1109"/>
    </row>
    <row r="71" spans="1:13" ht="13" x14ac:dyDescent="0.25">
      <c r="B71" s="1108" t="str">
        <f>Client2</f>
        <v>Department of Transport</v>
      </c>
      <c r="C71" s="1108"/>
      <c r="D71" s="1108"/>
      <c r="E71" s="87"/>
      <c r="F71" s="1109"/>
      <c r="G71" s="1109"/>
      <c r="H71" s="1109"/>
    </row>
    <row r="72" spans="1:13" x14ac:dyDescent="0.25">
      <c r="B72" s="1111"/>
      <c r="C72" s="1111"/>
      <c r="D72" s="1111"/>
      <c r="E72" s="78"/>
      <c r="F72" s="1110"/>
      <c r="G72" s="1110"/>
      <c r="H72" s="1110"/>
    </row>
    <row r="73" spans="1:13" ht="13" x14ac:dyDescent="0.25">
      <c r="B73" s="1112" t="s">
        <v>1773</v>
      </c>
      <c r="C73" s="1113"/>
      <c r="D73" s="1113"/>
      <c r="E73" s="1113"/>
      <c r="F73" s="1113"/>
      <c r="G73" s="1113"/>
      <c r="H73" s="1125" t="str">
        <f>$H$6</f>
        <v>CHAPTER C13.8</v>
      </c>
      <c r="I73" s="6"/>
    </row>
    <row r="74" spans="1:13" ht="40.5" customHeight="1" x14ac:dyDescent="0.25">
      <c r="B74" s="1117" t="str">
        <f>ContractDescription</f>
        <v>THE CONSTRUCTION OF EARTHWORKS, LAYERWORKS, SURFACING, CULVERTS AND CWAKA RIVER BRIDGE FROM KM 11.600 TO KM 14.000 ON MAIN ROAD P494 IN THE KING CETSHWAYO DISTRICT UNDER EMPANGENI REGION</v>
      </c>
      <c r="C74" s="1148"/>
      <c r="D74" s="1148"/>
      <c r="E74" s="1148"/>
      <c r="F74" s="1148"/>
      <c r="G74" s="1148"/>
      <c r="H74" s="1126"/>
      <c r="I74" s="8"/>
    </row>
    <row r="75" spans="1:13" ht="24.75" customHeight="1" x14ac:dyDescent="0.25">
      <c r="B75" s="1149" t="s">
        <v>1772</v>
      </c>
      <c r="C75" s="1150"/>
      <c r="D75" s="1150"/>
      <c r="E75" s="1150"/>
      <c r="F75" s="1150"/>
      <c r="G75" s="1150"/>
      <c r="H75" s="1126"/>
      <c r="I75" s="8"/>
    </row>
    <row r="76" spans="1:13" ht="4.5" customHeight="1" x14ac:dyDescent="0.25">
      <c r="B76" s="611"/>
      <c r="C76" s="612"/>
      <c r="D76" s="612"/>
      <c r="E76" s="612"/>
      <c r="F76" s="612"/>
      <c r="G76" s="612"/>
      <c r="H76" s="1127"/>
      <c r="I76" s="8"/>
    </row>
    <row r="77" spans="1:13" s="9" customFormat="1" ht="25" customHeight="1" x14ac:dyDescent="0.25">
      <c r="B77" s="74" t="s">
        <v>0</v>
      </c>
      <c r="C77" s="11" t="s">
        <v>1</v>
      </c>
      <c r="D77" s="11" t="s">
        <v>2</v>
      </c>
      <c r="E77" s="11"/>
      <c r="F77" s="11" t="s">
        <v>3</v>
      </c>
      <c r="G77" s="11" t="s">
        <v>4</v>
      </c>
      <c r="H77" s="11" t="s">
        <v>5</v>
      </c>
      <c r="I77" s="12"/>
      <c r="J77" s="408" t="s">
        <v>996</v>
      </c>
      <c r="K77" s="253" t="s">
        <v>997</v>
      </c>
      <c r="L77" s="253" t="s">
        <v>998</v>
      </c>
      <c r="M77" s="253" t="s">
        <v>999</v>
      </c>
    </row>
    <row r="78" spans="1:13" s="28" customFormat="1" ht="19.5" customHeight="1" x14ac:dyDescent="0.25">
      <c r="B78" s="80"/>
      <c r="C78" s="30" t="s">
        <v>27</v>
      </c>
      <c r="D78" s="31"/>
      <c r="E78" s="31"/>
      <c r="F78" s="32"/>
      <c r="G78" s="31"/>
      <c r="H78" s="33">
        <f>H69</f>
        <v>0</v>
      </c>
      <c r="I78" s="34"/>
      <c r="J78" s="416"/>
      <c r="K78" s="409"/>
      <c r="L78" s="419">
        <f>L69</f>
        <v>0</v>
      </c>
      <c r="M78" s="410"/>
    </row>
    <row r="79" spans="1:13" x14ac:dyDescent="0.25">
      <c r="A79" s="5"/>
      <c r="B79" s="46"/>
      <c r="C79" s="14"/>
      <c r="D79" s="15"/>
      <c r="E79" s="15"/>
      <c r="F79" s="15"/>
      <c r="G79" s="422"/>
      <c r="H79" s="17" t="str">
        <f t="shared" ref="H79:H80" si="8">IF(D79="","",F79*G79)</f>
        <v/>
      </c>
      <c r="I79" s="18"/>
      <c r="J79" s="61"/>
      <c r="K79" s="399"/>
      <c r="L79" s="420" t="str">
        <f t="shared" ref="L79:L80" si="9">IF(J79="","",F79*K79)</f>
        <v/>
      </c>
      <c r="M79" s="401" t="str">
        <f t="shared" ref="M79:M80" si="10">IF(J79="","",IF(SUM(H79)=0,"",L79/H79))</f>
        <v/>
      </c>
    </row>
    <row r="80" spans="1:13" x14ac:dyDescent="0.25">
      <c r="A80" s="5"/>
      <c r="B80" s="46"/>
      <c r="C80" s="14"/>
      <c r="D80" s="15"/>
      <c r="E80" s="15"/>
      <c r="F80" s="15"/>
      <c r="G80" s="422"/>
      <c r="H80" s="17" t="str">
        <f t="shared" si="8"/>
        <v/>
      </c>
      <c r="I80" s="18"/>
      <c r="J80" s="61"/>
      <c r="K80" s="399"/>
      <c r="L80" s="420" t="str">
        <f t="shared" si="9"/>
        <v/>
      </c>
      <c r="M80" s="401" t="str">
        <f t="shared" si="10"/>
        <v/>
      </c>
    </row>
    <row r="81" spans="1:13" x14ac:dyDescent="0.25">
      <c r="A81" s="5"/>
      <c r="B81" s="46"/>
      <c r="C81" s="14"/>
      <c r="D81" s="15"/>
      <c r="E81" s="15"/>
      <c r="F81" s="15"/>
      <c r="G81" s="422"/>
      <c r="H81" s="17" t="str">
        <f t="shared" ref="H81" si="11">IF(D81="","",F81*G81)</f>
        <v/>
      </c>
      <c r="I81" s="18"/>
      <c r="J81" s="61"/>
      <c r="K81" s="399"/>
      <c r="L81" s="420" t="str">
        <f t="shared" ref="L81" si="12">IF(J81="","",F81*K81)</f>
        <v/>
      </c>
      <c r="M81" s="401" t="str">
        <f t="shared" ref="M81" si="13">IF(J81="","",IF(SUM(H81)=0,"",L81/H81))</f>
        <v/>
      </c>
    </row>
    <row r="82" spans="1:13" x14ac:dyDescent="0.25">
      <c r="A82" s="5"/>
      <c r="B82" s="46"/>
      <c r="C82" s="238"/>
      <c r="D82" s="15"/>
      <c r="E82" s="15"/>
      <c r="F82" s="15"/>
      <c r="G82" s="422"/>
      <c r="H82" s="17" t="str">
        <f t="shared" ref="H82:H143" si="14">IF(D82="","",F82*G82)</f>
        <v/>
      </c>
      <c r="I82" s="18"/>
      <c r="J82" s="61"/>
      <c r="K82" s="399"/>
      <c r="L82" s="420" t="str">
        <f t="shared" ref="L82:L143" si="15">IF(J82="","",F82*K82)</f>
        <v/>
      </c>
      <c r="M82" s="401" t="str">
        <f t="shared" ref="M82:M143" si="16">IF(J82="","",IF(SUM(H82)=0,"",L82/H82))</f>
        <v/>
      </c>
    </row>
    <row r="83" spans="1:13" x14ac:dyDescent="0.25">
      <c r="A83" s="5"/>
      <c r="B83" s="46"/>
      <c r="C83" s="14"/>
      <c r="D83" s="15"/>
      <c r="E83" s="15"/>
      <c r="F83" s="15"/>
      <c r="G83" s="422"/>
      <c r="H83" s="17" t="str">
        <f t="shared" si="14"/>
        <v/>
      </c>
      <c r="I83" s="18"/>
      <c r="J83" s="61"/>
      <c r="K83" s="400"/>
      <c r="L83" s="420" t="str">
        <f t="shared" si="15"/>
        <v/>
      </c>
      <c r="M83" s="401" t="str">
        <f t="shared" si="16"/>
        <v/>
      </c>
    </row>
    <row r="84" spans="1:13" x14ac:dyDescent="0.25">
      <c r="A84" s="5"/>
      <c r="B84" s="46"/>
      <c r="C84" s="14"/>
      <c r="D84" s="15"/>
      <c r="E84" s="15"/>
      <c r="F84" s="15"/>
      <c r="G84" s="422"/>
      <c r="H84" s="17" t="str">
        <f t="shared" si="14"/>
        <v/>
      </c>
      <c r="I84" s="18"/>
      <c r="J84" s="61"/>
      <c r="K84" s="399"/>
      <c r="L84" s="420" t="str">
        <f t="shared" si="15"/>
        <v/>
      </c>
      <c r="M84" s="401" t="str">
        <f t="shared" si="16"/>
        <v/>
      </c>
    </row>
    <row r="85" spans="1:13" x14ac:dyDescent="0.25">
      <c r="A85" s="5"/>
      <c r="B85" s="46"/>
      <c r="C85" s="14"/>
      <c r="D85" s="15"/>
      <c r="E85" s="15"/>
      <c r="F85" s="15"/>
      <c r="G85" s="422"/>
      <c r="H85" s="17" t="str">
        <f t="shared" si="14"/>
        <v/>
      </c>
      <c r="I85" s="18"/>
      <c r="J85" s="61"/>
      <c r="K85" s="400"/>
      <c r="L85" s="420" t="str">
        <f t="shared" si="15"/>
        <v/>
      </c>
      <c r="M85" s="401" t="str">
        <f t="shared" si="16"/>
        <v/>
      </c>
    </row>
    <row r="86" spans="1:13" x14ac:dyDescent="0.25">
      <c r="A86" s="5"/>
      <c r="B86" s="46"/>
      <c r="C86" s="14"/>
      <c r="D86" s="15"/>
      <c r="E86" s="15"/>
      <c r="F86" s="15"/>
      <c r="G86" s="422"/>
      <c r="H86" s="17" t="str">
        <f t="shared" si="14"/>
        <v/>
      </c>
      <c r="I86" s="18"/>
      <c r="J86" s="61"/>
      <c r="K86" s="399"/>
      <c r="L86" s="420" t="str">
        <f t="shared" si="15"/>
        <v/>
      </c>
      <c r="M86" s="401" t="str">
        <f t="shared" si="16"/>
        <v/>
      </c>
    </row>
    <row r="87" spans="1:13" x14ac:dyDescent="0.25">
      <c r="A87" s="5"/>
      <c r="B87" s="46"/>
      <c r="C87" s="14"/>
      <c r="D87" s="15"/>
      <c r="E87" s="15"/>
      <c r="F87" s="15"/>
      <c r="G87" s="422"/>
      <c r="H87" s="17" t="str">
        <f t="shared" si="14"/>
        <v/>
      </c>
      <c r="I87" s="18"/>
      <c r="J87" s="61"/>
      <c r="K87" s="402"/>
      <c r="L87" s="420" t="str">
        <f t="shared" si="15"/>
        <v/>
      </c>
      <c r="M87" s="401" t="str">
        <f t="shared" si="16"/>
        <v/>
      </c>
    </row>
    <row r="88" spans="1:13" x14ac:dyDescent="0.25">
      <c r="A88" s="5"/>
      <c r="B88" s="46"/>
      <c r="C88" s="14"/>
      <c r="D88" s="15"/>
      <c r="E88" s="15"/>
      <c r="F88" s="15"/>
      <c r="G88" s="422"/>
      <c r="H88" s="17" t="str">
        <f t="shared" si="14"/>
        <v/>
      </c>
      <c r="I88" s="18"/>
      <c r="J88" s="61"/>
      <c r="K88" s="402"/>
      <c r="L88" s="420" t="str">
        <f t="shared" si="15"/>
        <v/>
      </c>
      <c r="M88" s="401" t="str">
        <f t="shared" si="16"/>
        <v/>
      </c>
    </row>
    <row r="89" spans="1:13" x14ac:dyDescent="0.25">
      <c r="A89" s="5"/>
      <c r="B89" s="46"/>
      <c r="C89" s="14"/>
      <c r="D89" s="15"/>
      <c r="E89" s="15"/>
      <c r="F89" s="15"/>
      <c r="G89" s="422"/>
      <c r="H89" s="17" t="str">
        <f t="shared" si="14"/>
        <v/>
      </c>
      <c r="I89" s="18"/>
      <c r="J89" s="61"/>
      <c r="K89" s="400"/>
      <c r="L89" s="420" t="str">
        <f t="shared" si="15"/>
        <v/>
      </c>
      <c r="M89" s="401" t="str">
        <f t="shared" si="16"/>
        <v/>
      </c>
    </row>
    <row r="90" spans="1:13" x14ac:dyDescent="0.25">
      <c r="A90" s="5"/>
      <c r="B90" s="46"/>
      <c r="C90" s="566"/>
      <c r="D90" s="15"/>
      <c r="E90" s="15"/>
      <c r="F90" s="15"/>
      <c r="G90" s="422"/>
      <c r="H90" s="17" t="str">
        <f t="shared" si="14"/>
        <v/>
      </c>
      <c r="I90" s="18"/>
      <c r="J90" s="61"/>
      <c r="K90" s="605"/>
      <c r="L90" s="420" t="str">
        <f t="shared" si="15"/>
        <v/>
      </c>
      <c r="M90" s="401" t="str">
        <f t="shared" si="16"/>
        <v/>
      </c>
    </row>
    <row r="91" spans="1:13" x14ac:dyDescent="0.25">
      <c r="A91" s="5"/>
      <c r="B91" s="46"/>
      <c r="C91" s="14"/>
      <c r="D91" s="15"/>
      <c r="E91" s="15"/>
      <c r="F91" s="15"/>
      <c r="G91" s="422"/>
      <c r="H91" s="17" t="str">
        <f t="shared" si="14"/>
        <v/>
      </c>
      <c r="I91" s="18"/>
      <c r="J91" s="61"/>
      <c r="K91" s="402"/>
      <c r="L91" s="420" t="str">
        <f t="shared" si="15"/>
        <v/>
      </c>
      <c r="M91" s="401" t="str">
        <f t="shared" si="16"/>
        <v/>
      </c>
    </row>
    <row r="92" spans="1:13" x14ac:dyDescent="0.25">
      <c r="A92" s="5"/>
      <c r="B92" s="46"/>
      <c r="C92" s="566"/>
      <c r="D92" s="15"/>
      <c r="E92" s="15"/>
      <c r="F92" s="15"/>
      <c r="G92" s="422"/>
      <c r="H92" s="17" t="str">
        <f t="shared" si="14"/>
        <v/>
      </c>
      <c r="I92" s="18"/>
      <c r="J92" s="61"/>
      <c r="K92" s="399"/>
      <c r="L92" s="420" t="str">
        <f t="shared" si="15"/>
        <v/>
      </c>
      <c r="M92" s="401" t="str">
        <f t="shared" si="16"/>
        <v/>
      </c>
    </row>
    <row r="93" spans="1:13" x14ac:dyDescent="0.25">
      <c r="A93" s="5"/>
      <c r="B93" s="46"/>
      <c r="C93" s="14"/>
      <c r="D93" s="15"/>
      <c r="E93" s="15"/>
      <c r="F93" s="15"/>
      <c r="G93" s="422"/>
      <c r="H93" s="17" t="str">
        <f t="shared" si="14"/>
        <v/>
      </c>
      <c r="I93" s="18"/>
      <c r="J93" s="61"/>
      <c r="K93" s="399"/>
      <c r="L93" s="420" t="str">
        <f t="shared" si="15"/>
        <v/>
      </c>
      <c r="M93" s="401" t="str">
        <f t="shared" si="16"/>
        <v/>
      </c>
    </row>
    <row r="94" spans="1:13" x14ac:dyDescent="0.25">
      <c r="A94" s="5"/>
      <c r="B94" s="46"/>
      <c r="C94" s="14"/>
      <c r="D94" s="15"/>
      <c r="E94" s="15"/>
      <c r="F94" s="15"/>
      <c r="G94" s="422"/>
      <c r="H94" s="17" t="str">
        <f t="shared" si="14"/>
        <v/>
      </c>
      <c r="I94" s="18"/>
      <c r="J94" s="61"/>
      <c r="K94" s="399"/>
      <c r="L94" s="420" t="str">
        <f t="shared" si="15"/>
        <v/>
      </c>
      <c r="M94" s="401" t="str">
        <f t="shared" si="16"/>
        <v/>
      </c>
    </row>
    <row r="95" spans="1:13" x14ac:dyDescent="0.25">
      <c r="A95" s="5"/>
      <c r="B95" s="46"/>
      <c r="C95" s="14"/>
      <c r="D95" s="15"/>
      <c r="E95" s="15"/>
      <c r="F95" s="15"/>
      <c r="G95" s="422"/>
      <c r="H95" s="17" t="str">
        <f t="shared" si="14"/>
        <v/>
      </c>
      <c r="I95" s="18"/>
      <c r="J95" s="61"/>
      <c r="K95" s="400"/>
      <c r="L95" s="420" t="str">
        <f t="shared" si="15"/>
        <v/>
      </c>
      <c r="M95" s="401" t="str">
        <f t="shared" si="16"/>
        <v/>
      </c>
    </row>
    <row r="96" spans="1:13" x14ac:dyDescent="0.25">
      <c r="A96" s="5"/>
      <c r="B96" s="46"/>
      <c r="C96" s="14"/>
      <c r="D96" s="15"/>
      <c r="E96" s="15"/>
      <c r="F96" s="15"/>
      <c r="G96" s="422"/>
      <c r="H96" s="17" t="str">
        <f t="shared" si="14"/>
        <v/>
      </c>
      <c r="I96" s="18"/>
      <c r="J96" s="61"/>
      <c r="K96" s="399"/>
      <c r="L96" s="420" t="str">
        <f t="shared" si="15"/>
        <v/>
      </c>
      <c r="M96" s="401" t="str">
        <f t="shared" si="16"/>
        <v/>
      </c>
    </row>
    <row r="97" spans="1:13" x14ac:dyDescent="0.25">
      <c r="A97" s="5"/>
      <c r="B97" s="46"/>
      <c r="C97" s="14"/>
      <c r="D97" s="15"/>
      <c r="E97" s="15"/>
      <c r="F97" s="15"/>
      <c r="G97" s="422"/>
      <c r="H97" s="17" t="str">
        <f t="shared" si="14"/>
        <v/>
      </c>
      <c r="I97" s="18"/>
      <c r="J97" s="61"/>
      <c r="K97" s="399"/>
      <c r="L97" s="420" t="str">
        <f t="shared" si="15"/>
        <v/>
      </c>
      <c r="M97" s="401" t="str">
        <f t="shared" si="16"/>
        <v/>
      </c>
    </row>
    <row r="98" spans="1:13" x14ac:dyDescent="0.25">
      <c r="A98" s="5"/>
      <c r="B98" s="46"/>
      <c r="C98" s="14"/>
      <c r="D98" s="15"/>
      <c r="E98" s="15"/>
      <c r="F98" s="15"/>
      <c r="G98" s="422"/>
      <c r="H98" s="17" t="str">
        <f t="shared" si="14"/>
        <v/>
      </c>
      <c r="I98" s="18"/>
      <c r="J98" s="61"/>
      <c r="K98" s="399"/>
      <c r="L98" s="420" t="str">
        <f t="shared" si="15"/>
        <v/>
      </c>
      <c r="M98" s="401" t="str">
        <f t="shared" si="16"/>
        <v/>
      </c>
    </row>
    <row r="99" spans="1:13" x14ac:dyDescent="0.25">
      <c r="A99" s="5"/>
      <c r="B99" s="46"/>
      <c r="C99" s="14"/>
      <c r="D99" s="15"/>
      <c r="E99" s="15"/>
      <c r="F99" s="15"/>
      <c r="G99" s="422"/>
      <c r="H99" s="17" t="str">
        <f t="shared" si="14"/>
        <v/>
      </c>
      <c r="I99" s="18"/>
      <c r="J99" s="61"/>
      <c r="K99" s="399"/>
      <c r="L99" s="420" t="str">
        <f t="shared" si="15"/>
        <v/>
      </c>
      <c r="M99" s="401" t="str">
        <f t="shared" si="16"/>
        <v/>
      </c>
    </row>
    <row r="100" spans="1:13" x14ac:dyDescent="0.25">
      <c r="A100" s="5"/>
      <c r="B100" s="46"/>
      <c r="C100" s="14"/>
      <c r="D100" s="15"/>
      <c r="E100" s="15"/>
      <c r="F100" s="15"/>
      <c r="G100" s="422"/>
      <c r="H100" s="17" t="str">
        <f t="shared" si="14"/>
        <v/>
      </c>
      <c r="I100" s="18"/>
      <c r="J100" s="61"/>
      <c r="K100" s="399"/>
      <c r="L100" s="420" t="str">
        <f t="shared" si="15"/>
        <v/>
      </c>
      <c r="M100" s="401" t="str">
        <f t="shared" si="16"/>
        <v/>
      </c>
    </row>
    <row r="101" spans="1:13" x14ac:dyDescent="0.25">
      <c r="A101" s="5"/>
      <c r="B101" s="46"/>
      <c r="C101" s="14"/>
      <c r="D101" s="15"/>
      <c r="E101" s="15"/>
      <c r="F101" s="15"/>
      <c r="G101" s="422"/>
      <c r="H101" s="17" t="str">
        <f t="shared" si="14"/>
        <v/>
      </c>
      <c r="I101" s="18"/>
      <c r="J101" s="61"/>
      <c r="K101" s="400"/>
      <c r="L101" s="420" t="str">
        <f t="shared" si="15"/>
        <v/>
      </c>
      <c r="M101" s="401" t="str">
        <f t="shared" si="16"/>
        <v/>
      </c>
    </row>
    <row r="102" spans="1:13" x14ac:dyDescent="0.25">
      <c r="A102" s="5"/>
      <c r="B102" s="46"/>
      <c r="C102" s="14"/>
      <c r="D102" s="15"/>
      <c r="E102" s="15"/>
      <c r="F102" s="15"/>
      <c r="G102" s="422"/>
      <c r="H102" s="17" t="str">
        <f t="shared" si="14"/>
        <v/>
      </c>
      <c r="I102" s="18"/>
      <c r="J102" s="61"/>
      <c r="K102" s="399"/>
      <c r="L102" s="420" t="str">
        <f t="shared" si="15"/>
        <v/>
      </c>
      <c r="M102" s="401" t="str">
        <f t="shared" si="16"/>
        <v/>
      </c>
    </row>
    <row r="103" spans="1:13" x14ac:dyDescent="0.25">
      <c r="A103" s="5"/>
      <c r="B103" s="46"/>
      <c r="C103" s="14"/>
      <c r="D103" s="15"/>
      <c r="E103" s="15"/>
      <c r="F103" s="15"/>
      <c r="G103" s="422"/>
      <c r="H103" s="17" t="str">
        <f t="shared" si="14"/>
        <v/>
      </c>
      <c r="I103" s="18"/>
      <c r="J103" s="61"/>
      <c r="K103" s="399"/>
      <c r="L103" s="420" t="str">
        <f t="shared" si="15"/>
        <v/>
      </c>
      <c r="M103" s="401" t="str">
        <f t="shared" si="16"/>
        <v/>
      </c>
    </row>
    <row r="104" spans="1:13" x14ac:dyDescent="0.25">
      <c r="A104" s="5"/>
      <c r="B104" s="46"/>
      <c r="C104" s="14"/>
      <c r="D104" s="15"/>
      <c r="E104" s="15"/>
      <c r="F104" s="15"/>
      <c r="G104" s="422"/>
      <c r="H104" s="17" t="str">
        <f t="shared" si="14"/>
        <v/>
      </c>
      <c r="I104" s="18"/>
      <c r="J104" s="61"/>
      <c r="K104" s="399"/>
      <c r="L104" s="420" t="str">
        <f t="shared" si="15"/>
        <v/>
      </c>
      <c r="M104" s="401" t="str">
        <f t="shared" si="16"/>
        <v/>
      </c>
    </row>
    <row r="105" spans="1:13" x14ac:dyDescent="0.25">
      <c r="A105" s="5"/>
      <c r="B105" s="46"/>
      <c r="C105" s="14"/>
      <c r="D105" s="15"/>
      <c r="E105" s="15"/>
      <c r="F105" s="15"/>
      <c r="G105" s="422"/>
      <c r="H105" s="17" t="str">
        <f t="shared" si="14"/>
        <v/>
      </c>
      <c r="I105" s="18"/>
      <c r="J105" s="61"/>
      <c r="K105" s="399"/>
      <c r="L105" s="420" t="str">
        <f t="shared" si="15"/>
        <v/>
      </c>
      <c r="M105" s="401" t="str">
        <f t="shared" si="16"/>
        <v/>
      </c>
    </row>
    <row r="106" spans="1:13" x14ac:dyDescent="0.25">
      <c r="A106" s="5"/>
      <c r="B106" s="46"/>
      <c r="C106" s="14"/>
      <c r="D106" s="15"/>
      <c r="E106" s="15"/>
      <c r="F106" s="15"/>
      <c r="G106" s="422"/>
      <c r="H106" s="17" t="str">
        <f t="shared" si="14"/>
        <v/>
      </c>
      <c r="I106" s="18"/>
      <c r="J106" s="61"/>
      <c r="K106" s="399"/>
      <c r="L106" s="420" t="str">
        <f t="shared" si="15"/>
        <v/>
      </c>
      <c r="M106" s="401" t="str">
        <f t="shared" si="16"/>
        <v/>
      </c>
    </row>
    <row r="107" spans="1:13" x14ac:dyDescent="0.25">
      <c r="A107" s="5"/>
      <c r="B107" s="46"/>
      <c r="C107" s="14"/>
      <c r="D107" s="15"/>
      <c r="E107" s="15"/>
      <c r="F107" s="15"/>
      <c r="G107" s="422"/>
      <c r="H107" s="17" t="str">
        <f t="shared" si="14"/>
        <v/>
      </c>
      <c r="I107" s="18"/>
      <c r="J107" s="61"/>
      <c r="K107" s="399"/>
      <c r="L107" s="420" t="str">
        <f t="shared" si="15"/>
        <v/>
      </c>
      <c r="M107" s="401" t="str">
        <f t="shared" si="16"/>
        <v/>
      </c>
    </row>
    <row r="108" spans="1:13" x14ac:dyDescent="0.25">
      <c r="A108" s="5"/>
      <c r="B108" s="46"/>
      <c r="C108" s="14"/>
      <c r="D108" s="15"/>
      <c r="E108" s="15"/>
      <c r="F108" s="15"/>
      <c r="G108" s="422"/>
      <c r="H108" s="17" t="str">
        <f t="shared" si="14"/>
        <v/>
      </c>
      <c r="I108" s="18"/>
      <c r="J108" s="61"/>
      <c r="K108" s="399"/>
      <c r="L108" s="420" t="str">
        <f t="shared" si="15"/>
        <v/>
      </c>
      <c r="M108" s="401" t="str">
        <f t="shared" si="16"/>
        <v/>
      </c>
    </row>
    <row r="109" spans="1:13" x14ac:dyDescent="0.25">
      <c r="A109" s="5"/>
      <c r="B109" s="46"/>
      <c r="C109" s="14"/>
      <c r="D109" s="15"/>
      <c r="E109" s="15"/>
      <c r="F109" s="15"/>
      <c r="G109" s="422"/>
      <c r="H109" s="17" t="str">
        <f t="shared" si="14"/>
        <v/>
      </c>
      <c r="I109" s="18"/>
      <c r="J109" s="61"/>
      <c r="K109" s="399"/>
      <c r="L109" s="420" t="str">
        <f t="shared" si="15"/>
        <v/>
      </c>
      <c r="M109" s="401" t="str">
        <f t="shared" si="16"/>
        <v/>
      </c>
    </row>
    <row r="110" spans="1:13" x14ac:dyDescent="0.25">
      <c r="A110" s="5"/>
      <c r="B110" s="46"/>
      <c r="C110" s="14"/>
      <c r="D110" s="15"/>
      <c r="E110" s="15"/>
      <c r="F110" s="15"/>
      <c r="G110" s="422"/>
      <c r="H110" s="17" t="str">
        <f t="shared" si="14"/>
        <v/>
      </c>
      <c r="I110" s="18"/>
      <c r="J110" s="61"/>
      <c r="K110" s="399"/>
      <c r="L110" s="420" t="str">
        <f t="shared" si="15"/>
        <v/>
      </c>
      <c r="M110" s="401" t="str">
        <f t="shared" si="16"/>
        <v/>
      </c>
    </row>
    <row r="111" spans="1:13" x14ac:dyDescent="0.25">
      <c r="A111" s="5"/>
      <c r="B111" s="46"/>
      <c r="C111" s="14"/>
      <c r="D111" s="15"/>
      <c r="E111" s="15"/>
      <c r="F111" s="15"/>
      <c r="G111" s="422"/>
      <c r="H111" s="17" t="str">
        <f t="shared" si="14"/>
        <v/>
      </c>
      <c r="I111" s="18"/>
      <c r="J111" s="61"/>
      <c r="K111" s="399"/>
      <c r="L111" s="420" t="str">
        <f t="shared" si="15"/>
        <v/>
      </c>
      <c r="M111" s="401" t="str">
        <f t="shared" si="16"/>
        <v/>
      </c>
    </row>
    <row r="112" spans="1:13" x14ac:dyDescent="0.25">
      <c r="A112" s="5"/>
      <c r="B112" s="46"/>
      <c r="C112" s="14"/>
      <c r="D112" s="15"/>
      <c r="E112" s="15"/>
      <c r="F112" s="15"/>
      <c r="G112" s="422"/>
      <c r="H112" s="17" t="str">
        <f t="shared" si="14"/>
        <v/>
      </c>
      <c r="I112" s="18"/>
      <c r="J112" s="61"/>
      <c r="K112" s="399"/>
      <c r="L112" s="420" t="str">
        <f t="shared" si="15"/>
        <v/>
      </c>
      <c r="M112" s="401" t="str">
        <f t="shared" si="16"/>
        <v/>
      </c>
    </row>
    <row r="113" spans="1:13" x14ac:dyDescent="0.25">
      <c r="A113" s="5"/>
      <c r="B113" s="46"/>
      <c r="C113" s="14"/>
      <c r="D113" s="15"/>
      <c r="E113" s="15"/>
      <c r="F113" s="15"/>
      <c r="G113" s="422"/>
      <c r="H113" s="17" t="str">
        <f t="shared" si="14"/>
        <v/>
      </c>
      <c r="I113" s="18"/>
      <c r="J113" s="61"/>
      <c r="K113" s="402"/>
      <c r="L113" s="420" t="str">
        <f t="shared" si="15"/>
        <v/>
      </c>
      <c r="M113" s="401" t="str">
        <f t="shared" si="16"/>
        <v/>
      </c>
    </row>
    <row r="114" spans="1:13" x14ac:dyDescent="0.25">
      <c r="A114" s="5"/>
      <c r="B114" s="46"/>
      <c r="C114" s="14"/>
      <c r="D114" s="15"/>
      <c r="E114" s="15"/>
      <c r="F114" s="15"/>
      <c r="G114" s="422"/>
      <c r="H114" s="17" t="str">
        <f t="shared" si="14"/>
        <v/>
      </c>
      <c r="I114" s="18"/>
      <c r="J114" s="61"/>
      <c r="K114" s="399"/>
      <c r="L114" s="420" t="str">
        <f t="shared" si="15"/>
        <v/>
      </c>
      <c r="M114" s="401" t="str">
        <f t="shared" si="16"/>
        <v/>
      </c>
    </row>
    <row r="115" spans="1:13" x14ac:dyDescent="0.25">
      <c r="A115" s="5"/>
      <c r="B115" s="46"/>
      <c r="C115" s="14"/>
      <c r="D115" s="15"/>
      <c r="E115" s="15"/>
      <c r="F115" s="15"/>
      <c r="G115" s="422"/>
      <c r="H115" s="17" t="str">
        <f t="shared" si="14"/>
        <v/>
      </c>
      <c r="I115" s="18"/>
      <c r="J115" s="61"/>
      <c r="K115" s="402"/>
      <c r="L115" s="420" t="str">
        <f t="shared" si="15"/>
        <v/>
      </c>
      <c r="M115" s="401" t="str">
        <f t="shared" si="16"/>
        <v/>
      </c>
    </row>
    <row r="116" spans="1:13" x14ac:dyDescent="0.25">
      <c r="A116" s="5"/>
      <c r="B116" s="46"/>
      <c r="C116" s="14"/>
      <c r="D116" s="15"/>
      <c r="E116" s="15"/>
      <c r="F116" s="15"/>
      <c r="G116" s="422"/>
      <c r="H116" s="17" t="str">
        <f t="shared" si="14"/>
        <v/>
      </c>
      <c r="I116" s="18"/>
      <c r="J116" s="61"/>
      <c r="K116" s="402"/>
      <c r="L116" s="420" t="str">
        <f t="shared" si="15"/>
        <v/>
      </c>
      <c r="M116" s="401" t="str">
        <f t="shared" si="16"/>
        <v/>
      </c>
    </row>
    <row r="117" spans="1:13" x14ac:dyDescent="0.25">
      <c r="A117" s="5"/>
      <c r="B117" s="46"/>
      <c r="C117" s="14"/>
      <c r="D117" s="15"/>
      <c r="E117" s="15"/>
      <c r="F117" s="15"/>
      <c r="G117" s="422"/>
      <c r="H117" s="17" t="str">
        <f t="shared" si="14"/>
        <v/>
      </c>
      <c r="I117" s="18"/>
      <c r="J117" s="61"/>
      <c r="K117" s="399"/>
      <c r="L117" s="420" t="str">
        <f t="shared" si="15"/>
        <v/>
      </c>
      <c r="M117" s="401" t="str">
        <f t="shared" si="16"/>
        <v/>
      </c>
    </row>
    <row r="118" spans="1:13" ht="13" x14ac:dyDescent="0.25">
      <c r="A118" s="5"/>
      <c r="B118" s="73"/>
      <c r="C118" s="19"/>
      <c r="D118" s="15"/>
      <c r="E118" s="15"/>
      <c r="F118" s="15"/>
      <c r="G118" s="422"/>
      <c r="H118" s="17" t="str">
        <f t="shared" si="14"/>
        <v/>
      </c>
      <c r="I118" s="18"/>
      <c r="J118" s="61"/>
      <c r="K118" s="399"/>
      <c r="L118" s="420" t="str">
        <f t="shared" si="15"/>
        <v/>
      </c>
      <c r="M118" s="401" t="str">
        <f t="shared" si="16"/>
        <v/>
      </c>
    </row>
    <row r="119" spans="1:13" x14ac:dyDescent="0.25">
      <c r="A119" s="5"/>
      <c r="B119" s="46"/>
      <c r="C119" s="14"/>
      <c r="D119" s="15"/>
      <c r="E119" s="15"/>
      <c r="F119" s="15"/>
      <c r="G119" s="422"/>
      <c r="H119" s="17" t="str">
        <f t="shared" si="14"/>
        <v/>
      </c>
      <c r="I119" s="18"/>
      <c r="J119" s="61"/>
      <c r="K119" s="399"/>
      <c r="L119" s="420" t="str">
        <f t="shared" si="15"/>
        <v/>
      </c>
      <c r="M119" s="401" t="str">
        <f t="shared" si="16"/>
        <v/>
      </c>
    </row>
    <row r="120" spans="1:13" x14ac:dyDescent="0.25">
      <c r="A120" s="5"/>
      <c r="B120" s="46"/>
      <c r="C120" s="14"/>
      <c r="D120" s="15"/>
      <c r="E120" s="15"/>
      <c r="F120" s="15"/>
      <c r="G120" s="422"/>
      <c r="H120" s="17" t="str">
        <f t="shared" si="14"/>
        <v/>
      </c>
      <c r="I120" s="18"/>
      <c r="J120" s="61"/>
      <c r="K120" s="399"/>
      <c r="L120" s="420" t="str">
        <f t="shared" si="15"/>
        <v/>
      </c>
      <c r="M120" s="401" t="str">
        <f t="shared" si="16"/>
        <v/>
      </c>
    </row>
    <row r="121" spans="1:13" x14ac:dyDescent="0.25">
      <c r="A121" s="5"/>
      <c r="B121" s="46"/>
      <c r="C121" s="14"/>
      <c r="D121" s="15"/>
      <c r="E121" s="15"/>
      <c r="F121" s="15"/>
      <c r="G121" s="422"/>
      <c r="H121" s="17" t="str">
        <f t="shared" si="14"/>
        <v/>
      </c>
      <c r="I121" s="18"/>
      <c r="J121" s="62"/>
      <c r="K121" s="62"/>
      <c r="L121" s="420" t="str">
        <f t="shared" si="15"/>
        <v/>
      </c>
      <c r="M121" s="401" t="str">
        <f t="shared" si="16"/>
        <v/>
      </c>
    </row>
    <row r="122" spans="1:13" x14ac:dyDescent="0.25">
      <c r="A122" s="5"/>
      <c r="B122" s="46"/>
      <c r="C122" s="14"/>
      <c r="D122" s="15"/>
      <c r="E122" s="15"/>
      <c r="F122" s="15"/>
      <c r="G122" s="422"/>
      <c r="H122" s="17" t="str">
        <f t="shared" si="14"/>
        <v/>
      </c>
      <c r="I122" s="18"/>
      <c r="J122" s="61"/>
      <c r="K122" s="62"/>
      <c r="L122" s="420" t="str">
        <f t="shared" si="15"/>
        <v/>
      </c>
      <c r="M122" s="401" t="str">
        <f t="shared" si="16"/>
        <v/>
      </c>
    </row>
    <row r="123" spans="1:13" x14ac:dyDescent="0.25">
      <c r="A123" s="5"/>
      <c r="B123" s="46"/>
      <c r="C123" s="14"/>
      <c r="D123" s="15"/>
      <c r="E123" s="15"/>
      <c r="F123" s="15"/>
      <c r="G123" s="422"/>
      <c r="H123" s="17" t="str">
        <f t="shared" si="14"/>
        <v/>
      </c>
      <c r="I123" s="18"/>
      <c r="J123" s="61"/>
      <c r="K123" s="62"/>
      <c r="L123" s="420" t="str">
        <f t="shared" si="15"/>
        <v/>
      </c>
      <c r="M123" s="401" t="str">
        <f t="shared" si="16"/>
        <v/>
      </c>
    </row>
    <row r="124" spans="1:13" x14ac:dyDescent="0.25">
      <c r="A124" s="5"/>
      <c r="B124" s="46"/>
      <c r="C124" s="14"/>
      <c r="D124" s="15"/>
      <c r="E124" s="15"/>
      <c r="F124" s="15"/>
      <c r="G124" s="422"/>
      <c r="H124" s="17" t="str">
        <f t="shared" si="14"/>
        <v/>
      </c>
      <c r="I124" s="18"/>
      <c r="J124" s="61"/>
      <c r="K124" s="62"/>
      <c r="L124" s="420" t="str">
        <f t="shared" si="15"/>
        <v/>
      </c>
      <c r="M124" s="401" t="str">
        <f t="shared" si="16"/>
        <v/>
      </c>
    </row>
    <row r="125" spans="1:13" x14ac:dyDescent="0.25">
      <c r="A125" s="5"/>
      <c r="B125" s="46"/>
      <c r="C125" s="14"/>
      <c r="D125" s="15"/>
      <c r="E125" s="15"/>
      <c r="F125" s="15"/>
      <c r="G125" s="422"/>
      <c r="H125" s="17" t="str">
        <f t="shared" si="14"/>
        <v/>
      </c>
      <c r="I125" s="18"/>
      <c r="J125" s="61"/>
      <c r="K125" s="62"/>
      <c r="L125" s="420" t="str">
        <f t="shared" si="15"/>
        <v/>
      </c>
      <c r="M125" s="401" t="str">
        <f t="shared" si="16"/>
        <v/>
      </c>
    </row>
    <row r="126" spans="1:13" x14ac:dyDescent="0.25">
      <c r="A126" s="5"/>
      <c r="B126" s="46"/>
      <c r="C126" s="14"/>
      <c r="D126" s="15"/>
      <c r="E126" s="15"/>
      <c r="F126" s="15"/>
      <c r="G126" s="422"/>
      <c r="H126" s="17" t="str">
        <f t="shared" si="14"/>
        <v/>
      </c>
      <c r="I126" s="18"/>
      <c r="J126" s="62"/>
      <c r="K126" s="62"/>
      <c r="L126" s="420" t="str">
        <f t="shared" si="15"/>
        <v/>
      </c>
      <c r="M126" s="401" t="str">
        <f t="shared" si="16"/>
        <v/>
      </c>
    </row>
    <row r="127" spans="1:13" x14ac:dyDescent="0.25">
      <c r="A127" s="5"/>
      <c r="B127" s="46"/>
      <c r="C127" s="14"/>
      <c r="D127" s="15"/>
      <c r="E127" s="15"/>
      <c r="F127" s="15"/>
      <c r="G127" s="422"/>
      <c r="H127" s="17" t="str">
        <f t="shared" si="14"/>
        <v/>
      </c>
      <c r="I127" s="18"/>
      <c r="J127" s="62"/>
      <c r="K127" s="62"/>
      <c r="L127" s="420" t="str">
        <f t="shared" si="15"/>
        <v/>
      </c>
      <c r="M127" s="401" t="str">
        <f t="shared" si="16"/>
        <v/>
      </c>
    </row>
    <row r="128" spans="1:13" x14ac:dyDescent="0.25">
      <c r="A128" s="5"/>
      <c r="B128" s="46"/>
      <c r="C128" s="14"/>
      <c r="D128" s="15"/>
      <c r="E128" s="15"/>
      <c r="F128" s="15"/>
      <c r="G128" s="422"/>
      <c r="H128" s="17" t="str">
        <f t="shared" si="14"/>
        <v/>
      </c>
      <c r="I128" s="18"/>
      <c r="J128" s="62"/>
      <c r="K128" s="62"/>
      <c r="L128" s="420" t="str">
        <f t="shared" si="15"/>
        <v/>
      </c>
      <c r="M128" s="401" t="str">
        <f t="shared" si="16"/>
        <v/>
      </c>
    </row>
    <row r="129" spans="1:13" x14ac:dyDescent="0.25">
      <c r="A129" s="5"/>
      <c r="B129" s="46"/>
      <c r="C129" s="14"/>
      <c r="D129" s="15"/>
      <c r="E129" s="15"/>
      <c r="F129" s="15"/>
      <c r="G129" s="422"/>
      <c r="H129" s="17" t="str">
        <f t="shared" si="14"/>
        <v/>
      </c>
      <c r="I129" s="18"/>
      <c r="J129" s="62"/>
      <c r="K129" s="62"/>
      <c r="L129" s="420" t="str">
        <f t="shared" si="15"/>
        <v/>
      </c>
      <c r="M129" s="401" t="str">
        <f t="shared" si="16"/>
        <v/>
      </c>
    </row>
    <row r="130" spans="1:13" x14ac:dyDescent="0.25">
      <c r="A130" s="5"/>
      <c r="B130" s="46"/>
      <c r="C130" s="14"/>
      <c r="D130" s="15"/>
      <c r="E130" s="15"/>
      <c r="F130" s="15"/>
      <c r="G130" s="422"/>
      <c r="H130" s="17" t="str">
        <f t="shared" si="14"/>
        <v/>
      </c>
      <c r="I130" s="18"/>
      <c r="J130" s="62"/>
      <c r="K130" s="62"/>
      <c r="L130" s="420" t="str">
        <f t="shared" si="15"/>
        <v/>
      </c>
      <c r="M130" s="401" t="str">
        <f t="shared" si="16"/>
        <v/>
      </c>
    </row>
    <row r="131" spans="1:13" x14ac:dyDescent="0.25">
      <c r="A131" s="5"/>
      <c r="B131" s="46"/>
      <c r="C131" s="14"/>
      <c r="D131" s="15"/>
      <c r="E131" s="15"/>
      <c r="F131" s="15"/>
      <c r="G131" s="422"/>
      <c r="H131" s="17" t="str">
        <f t="shared" si="14"/>
        <v/>
      </c>
      <c r="I131" s="18"/>
      <c r="J131" s="62"/>
      <c r="K131" s="62"/>
      <c r="L131" s="420" t="str">
        <f t="shared" si="15"/>
        <v/>
      </c>
      <c r="M131" s="401" t="str">
        <f t="shared" si="16"/>
        <v/>
      </c>
    </row>
    <row r="132" spans="1:13" x14ac:dyDescent="0.25">
      <c r="A132" s="5"/>
      <c r="B132" s="46"/>
      <c r="C132" s="14"/>
      <c r="D132" s="15"/>
      <c r="E132" s="15"/>
      <c r="F132" s="15"/>
      <c r="G132" s="422"/>
      <c r="H132" s="17" t="str">
        <f t="shared" si="14"/>
        <v/>
      </c>
      <c r="I132" s="18"/>
      <c r="J132" s="62"/>
      <c r="K132" s="62"/>
      <c r="L132" s="420" t="str">
        <f t="shared" si="15"/>
        <v/>
      </c>
      <c r="M132" s="401" t="str">
        <f t="shared" si="16"/>
        <v/>
      </c>
    </row>
    <row r="133" spans="1:13" x14ac:dyDescent="0.25">
      <c r="A133" s="5"/>
      <c r="B133" s="46"/>
      <c r="C133" s="14"/>
      <c r="D133" s="15"/>
      <c r="E133" s="15"/>
      <c r="F133" s="15"/>
      <c r="G133" s="422"/>
      <c r="H133" s="17" t="str">
        <f t="shared" si="14"/>
        <v/>
      </c>
      <c r="I133" s="18"/>
      <c r="J133" s="62"/>
      <c r="K133" s="62"/>
      <c r="L133" s="420" t="str">
        <f t="shared" si="15"/>
        <v/>
      </c>
      <c r="M133" s="401" t="str">
        <f t="shared" si="16"/>
        <v/>
      </c>
    </row>
    <row r="134" spans="1:13" x14ac:dyDescent="0.25">
      <c r="A134" s="5"/>
      <c r="B134" s="46"/>
      <c r="C134" s="14"/>
      <c r="D134" s="15"/>
      <c r="E134" s="15"/>
      <c r="F134" s="15"/>
      <c r="G134" s="422"/>
      <c r="H134" s="17" t="str">
        <f t="shared" si="14"/>
        <v/>
      </c>
      <c r="I134" s="18"/>
      <c r="J134" s="61"/>
      <c r="K134" s="62"/>
      <c r="L134" s="420" t="str">
        <f t="shared" si="15"/>
        <v/>
      </c>
      <c r="M134" s="401" t="str">
        <f t="shared" si="16"/>
        <v/>
      </c>
    </row>
    <row r="135" spans="1:13" x14ac:dyDescent="0.25">
      <c r="A135" s="5"/>
      <c r="B135" s="46"/>
      <c r="C135" s="14"/>
      <c r="D135" s="15"/>
      <c r="E135" s="15"/>
      <c r="F135" s="15"/>
      <c r="G135" s="422"/>
      <c r="H135" s="17" t="str">
        <f t="shared" si="14"/>
        <v/>
      </c>
      <c r="I135" s="18"/>
      <c r="J135" s="62"/>
      <c r="K135" s="62"/>
      <c r="L135" s="420" t="str">
        <f t="shared" si="15"/>
        <v/>
      </c>
      <c r="M135" s="401" t="str">
        <f t="shared" si="16"/>
        <v/>
      </c>
    </row>
    <row r="136" spans="1:13" x14ac:dyDescent="0.25">
      <c r="A136" s="5"/>
      <c r="B136" s="46"/>
      <c r="C136" s="14"/>
      <c r="D136" s="15"/>
      <c r="E136" s="15"/>
      <c r="F136" s="15"/>
      <c r="G136" s="422"/>
      <c r="H136" s="17" t="str">
        <f t="shared" si="14"/>
        <v/>
      </c>
      <c r="I136" s="18"/>
      <c r="J136" s="62"/>
      <c r="K136" s="62"/>
      <c r="L136" s="420" t="str">
        <f t="shared" si="15"/>
        <v/>
      </c>
      <c r="M136" s="401" t="str">
        <f t="shared" si="16"/>
        <v/>
      </c>
    </row>
    <row r="137" spans="1:13" x14ac:dyDescent="0.25">
      <c r="A137" s="5"/>
      <c r="B137" s="46"/>
      <c r="C137" s="14"/>
      <c r="D137" s="15"/>
      <c r="E137" s="15"/>
      <c r="F137" s="15"/>
      <c r="G137" s="422"/>
      <c r="H137" s="17" t="str">
        <f t="shared" si="14"/>
        <v/>
      </c>
      <c r="I137" s="18"/>
      <c r="J137" s="62"/>
      <c r="K137" s="62"/>
      <c r="L137" s="420" t="str">
        <f t="shared" si="15"/>
        <v/>
      </c>
      <c r="M137" s="401" t="str">
        <f t="shared" si="16"/>
        <v/>
      </c>
    </row>
    <row r="138" spans="1:13" x14ac:dyDescent="0.25">
      <c r="A138" s="5"/>
      <c r="B138" s="46"/>
      <c r="C138" s="14"/>
      <c r="D138" s="15"/>
      <c r="E138" s="15"/>
      <c r="F138" s="15"/>
      <c r="G138" s="422"/>
      <c r="H138" s="17" t="str">
        <f t="shared" si="14"/>
        <v/>
      </c>
      <c r="I138" s="18"/>
      <c r="J138" s="62"/>
      <c r="K138" s="62"/>
      <c r="L138" s="420" t="str">
        <f t="shared" si="15"/>
        <v/>
      </c>
      <c r="M138" s="401" t="str">
        <f t="shared" si="16"/>
        <v/>
      </c>
    </row>
    <row r="139" spans="1:13" x14ac:dyDescent="0.25">
      <c r="A139" s="5"/>
      <c r="B139" s="46"/>
      <c r="C139" s="14"/>
      <c r="D139" s="15"/>
      <c r="E139" s="15"/>
      <c r="F139" s="15"/>
      <c r="G139" s="422"/>
      <c r="H139" s="17" t="str">
        <f t="shared" si="14"/>
        <v/>
      </c>
      <c r="I139" s="18"/>
      <c r="J139" s="62"/>
      <c r="K139" s="62"/>
      <c r="L139" s="420" t="str">
        <f t="shared" si="15"/>
        <v/>
      </c>
      <c r="M139" s="401" t="str">
        <f t="shared" si="16"/>
        <v/>
      </c>
    </row>
    <row r="140" spans="1:13" x14ac:dyDescent="0.25">
      <c r="A140" s="5"/>
      <c r="B140" s="46"/>
      <c r="C140" s="14"/>
      <c r="D140" s="15"/>
      <c r="E140" s="15"/>
      <c r="F140" s="15"/>
      <c r="G140" s="422"/>
      <c r="H140" s="17" t="str">
        <f t="shared" si="14"/>
        <v/>
      </c>
      <c r="I140" s="18"/>
      <c r="J140" s="62"/>
      <c r="K140" s="62"/>
      <c r="L140" s="420" t="str">
        <f t="shared" si="15"/>
        <v/>
      </c>
      <c r="M140" s="401" t="str">
        <f t="shared" si="16"/>
        <v/>
      </c>
    </row>
    <row r="141" spans="1:13" x14ac:dyDescent="0.25">
      <c r="A141" s="5"/>
      <c r="B141" s="46"/>
      <c r="C141" s="14"/>
      <c r="D141" s="15"/>
      <c r="E141" s="15"/>
      <c r="F141" s="15"/>
      <c r="G141" s="422"/>
      <c r="H141" s="17" t="str">
        <f t="shared" si="14"/>
        <v/>
      </c>
      <c r="I141" s="18"/>
      <c r="J141" s="62"/>
      <c r="K141" s="62"/>
      <c r="L141" s="420" t="str">
        <f t="shared" si="15"/>
        <v/>
      </c>
      <c r="M141" s="401" t="str">
        <f t="shared" si="16"/>
        <v/>
      </c>
    </row>
    <row r="142" spans="1:13" x14ac:dyDescent="0.25">
      <c r="A142" s="5"/>
      <c r="B142" s="46"/>
      <c r="C142" s="14"/>
      <c r="D142" s="15"/>
      <c r="E142" s="15"/>
      <c r="F142" s="15"/>
      <c r="G142" s="422"/>
      <c r="H142" s="17" t="str">
        <f t="shared" si="14"/>
        <v/>
      </c>
      <c r="I142" s="18"/>
      <c r="J142" s="61"/>
      <c r="K142" s="62"/>
      <c r="L142" s="420" t="str">
        <f t="shared" si="15"/>
        <v/>
      </c>
      <c r="M142" s="401" t="str">
        <f t="shared" si="16"/>
        <v/>
      </c>
    </row>
    <row r="143" spans="1:13" x14ac:dyDescent="0.25">
      <c r="A143" s="5"/>
      <c r="B143" s="46"/>
      <c r="C143" s="14"/>
      <c r="D143" s="15"/>
      <c r="E143" s="15"/>
      <c r="F143" s="15"/>
      <c r="G143" s="422"/>
      <c r="H143" s="17" t="str">
        <f t="shared" si="14"/>
        <v/>
      </c>
      <c r="I143" s="18"/>
      <c r="J143" s="61"/>
      <c r="K143" s="696"/>
      <c r="L143" s="420" t="str">
        <f t="shared" si="15"/>
        <v/>
      </c>
      <c r="M143" s="401" t="str">
        <f t="shared" si="16"/>
        <v/>
      </c>
    </row>
    <row r="144" spans="1:13" s="28" customFormat="1" ht="24.75" customHeight="1" x14ac:dyDescent="0.25">
      <c r="B144" s="144" t="str">
        <f>$B$12</f>
        <v>C13.8</v>
      </c>
      <c r="C144" s="30" t="s">
        <v>791</v>
      </c>
      <c r="D144" s="31"/>
      <c r="E144" s="31"/>
      <c r="F144" s="32"/>
      <c r="G144" s="31"/>
      <c r="H144" s="33">
        <f>SUM(H78:H143)</f>
        <v>0</v>
      </c>
      <c r="I144" s="34"/>
      <c r="J144" s="408"/>
      <c r="K144" s="406"/>
      <c r="L144" s="418">
        <f>SUM(L78:L143)</f>
        <v>0</v>
      </c>
      <c r="M144" s="407" t="str">
        <f t="shared" ref="M144" si="17">IF(J144="","",IF(SUM(H144)=0,"",L144/H144))</f>
        <v/>
      </c>
    </row>
  </sheetData>
  <mergeCells count="13">
    <mergeCell ref="B73:G73"/>
    <mergeCell ref="H73:H76"/>
    <mergeCell ref="F3:H3"/>
    <mergeCell ref="B6:G6"/>
    <mergeCell ref="H6:H9"/>
    <mergeCell ref="B70:D70"/>
    <mergeCell ref="F70:H72"/>
    <mergeCell ref="B71:D71"/>
    <mergeCell ref="B72:D72"/>
    <mergeCell ref="B7:G7"/>
    <mergeCell ref="B8:G8"/>
    <mergeCell ref="B74:G74"/>
    <mergeCell ref="B75:G75"/>
  </mergeCells>
  <conditionalFormatting sqref="G11:H69">
    <cfRule type="expression" dxfId="43" priority="1">
      <formula>AND(_Show_Price=FALSE,$D11&lt;&gt;"PC Sum",$D11&lt;&gt;"P C Sum",$D11&lt;&gt;"Prov Sum",$D11&lt;&gt;"P Sum")</formula>
    </cfRule>
  </conditionalFormatting>
  <conditionalFormatting sqref="G78:H144">
    <cfRule type="expression" dxfId="42" priority="4">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B1:L126"/>
  <sheetViews>
    <sheetView view="pageBreakPreview" zoomScale="90" zoomScaleNormal="100" zoomScaleSheetLayoutView="90" zoomScalePageLayoutView="150" workbookViewId="0">
      <selection activeCell="C28" sqref="C28"/>
    </sheetView>
  </sheetViews>
  <sheetFormatPr defaultColWidth="8.81640625" defaultRowHeight="12.5" x14ac:dyDescent="0.25"/>
  <cols>
    <col min="1" max="1" width="0.81640625" style="49" customWidth="1"/>
    <col min="2" max="2" width="15.7265625" style="52" customWidth="1"/>
    <col min="3" max="3" width="74.7265625" style="50" customWidth="1"/>
    <col min="4" max="5" width="15.7265625" style="49" customWidth="1"/>
    <col min="6" max="6" width="0.81640625" style="49" customWidth="1"/>
    <col min="7" max="7" width="8.81640625" style="49"/>
    <col min="8" max="8" width="15.453125" style="49" customWidth="1"/>
    <col min="9" max="9" width="12.54296875" style="49" customWidth="1"/>
    <col min="10" max="10" width="9.453125" style="49" customWidth="1"/>
    <col min="11" max="16384" width="8.81640625" style="49"/>
  </cols>
  <sheetData>
    <row r="1" spans="2:12" ht="13" x14ac:dyDescent="0.25">
      <c r="C1" s="321" t="str">
        <f>"Page C"&amp;Page_B</f>
        <v>Page C65</v>
      </c>
      <c r="E1" s="639">
        <f ca="1">MAX(E2:E126)</f>
        <v>181190</v>
      </c>
    </row>
    <row r="2" spans="2:12" ht="13" x14ac:dyDescent="0.25">
      <c r="B2" s="2" t="str">
        <f>Client1</f>
        <v>Province of KwaZulu-Natal</v>
      </c>
      <c r="D2" s="28"/>
      <c r="E2" s="6" t="str">
        <f>"Contract No. "&amp;ContractNo</f>
        <v>Contract No. ZNB 00399/00000/HOD/INF/21/T</v>
      </c>
    </row>
    <row r="3" spans="2:12" s="1" customFormat="1" ht="18" customHeight="1" x14ac:dyDescent="0.25">
      <c r="B3" s="87" t="str">
        <f>Client2</f>
        <v>Department of Transport</v>
      </c>
      <c r="C3" s="50"/>
      <c r="D3" s="4"/>
      <c r="I3" s="4"/>
    </row>
    <row r="4" spans="2:12" s="1" customFormat="1" ht="16.5" customHeight="1" x14ac:dyDescent="0.25">
      <c r="B4" s="77"/>
      <c r="C4" s="90"/>
      <c r="D4" s="78"/>
      <c r="E4" s="79"/>
      <c r="G4" s="5"/>
      <c r="H4" s="5"/>
      <c r="I4" s="4"/>
    </row>
    <row r="5" spans="2:12" s="1" customFormat="1" ht="7.5" customHeight="1" x14ac:dyDescent="0.25">
      <c r="B5" s="1135" t="str">
        <f>ContractDescription</f>
        <v>THE CONSTRUCTION OF EARTHWORKS, LAYERWORKS, SURFACING, CULVERTS AND CWAKA RIVER BRIDGE FROM KM 11.600 TO KM 14.000 ON MAIN ROAD P494 IN THE KING CETSHWAYO DISTRICT UNDER EMPANGENI REGION</v>
      </c>
      <c r="C5" s="1136"/>
      <c r="D5" s="1136"/>
      <c r="E5" s="1145"/>
      <c r="G5" s="5"/>
      <c r="H5" s="5"/>
      <c r="I5" s="4"/>
    </row>
    <row r="6" spans="2:12" ht="12.75" customHeight="1" x14ac:dyDescent="0.25">
      <c r="B6" s="1117"/>
      <c r="C6" s="1118"/>
      <c r="D6" s="1118"/>
      <c r="E6" s="1146"/>
    </row>
    <row r="7" spans="2:12" ht="7.5" customHeight="1" x14ac:dyDescent="0.25">
      <c r="B7" s="1119"/>
      <c r="C7" s="1120"/>
      <c r="D7" s="1120"/>
      <c r="E7" s="1147"/>
    </row>
    <row r="8" spans="2:12" ht="25.5" customHeight="1" x14ac:dyDescent="0.25">
      <c r="B8" s="29"/>
      <c r="C8" s="32" t="s">
        <v>1789</v>
      </c>
      <c r="D8" s="31"/>
      <c r="E8" s="648"/>
    </row>
    <row r="9" spans="2:12" ht="13" x14ac:dyDescent="0.25">
      <c r="B9" s="11" t="s">
        <v>804</v>
      </c>
      <c r="C9" s="645" t="s">
        <v>1</v>
      </c>
      <c r="D9" s="11" t="s">
        <v>784</v>
      </c>
      <c r="E9" s="11" t="s">
        <v>5</v>
      </c>
      <c r="L9" s="131"/>
    </row>
    <row r="10" spans="2:12" ht="13" x14ac:dyDescent="0.25">
      <c r="B10" s="21"/>
      <c r="C10" s="646"/>
      <c r="D10" s="21"/>
      <c r="E10" s="651"/>
      <c r="L10" s="131"/>
    </row>
    <row r="11" spans="2:12" ht="12.75" customHeight="1" x14ac:dyDescent="0.25">
      <c r="B11" s="21"/>
      <c r="C11" s="19" t="str">
        <f>'C13.1'!B10</f>
        <v>CWAKA RIVER BRIDGE B3843 at km 10.94</v>
      </c>
      <c r="D11" s="676"/>
      <c r="E11" s="652"/>
    </row>
    <row r="12" spans="2:12" ht="12.75" customHeight="1" x14ac:dyDescent="0.25">
      <c r="B12" s="21"/>
      <c r="C12" s="621"/>
      <c r="D12" s="676"/>
      <c r="E12" s="652"/>
    </row>
    <row r="13" spans="2:12" ht="12.75" customHeight="1" x14ac:dyDescent="0.25">
      <c r="B13" s="21" t="str">
        <f>'C13.1'!B14</f>
        <v>C13.1</v>
      </c>
      <c r="C13" s="14" t="str">
        <f>'C13.1'!C14</f>
        <v>FOUNDATIONS</v>
      </c>
      <c r="D13" s="676">
        <f>D15-'C13.6'!G1</f>
        <v>49</v>
      </c>
      <c r="E13" s="652">
        <f ca="1">INDIRECT(B13&amp;"!H$1")</f>
        <v>0</v>
      </c>
    </row>
    <row r="14" spans="2:12" ht="12.75" customHeight="1" x14ac:dyDescent="0.25">
      <c r="B14" s="21"/>
      <c r="C14" s="621"/>
      <c r="D14" s="676"/>
      <c r="E14" s="652"/>
    </row>
    <row r="15" spans="2:12" ht="12.75" customHeight="1" x14ac:dyDescent="0.25">
      <c r="B15" s="21" t="str">
        <f>'C13.6'!B14</f>
        <v>C13.6</v>
      </c>
      <c r="C15" s="621" t="str">
        <f>'C13.6'!C14</f>
        <v>BEARINGS</v>
      </c>
      <c r="D15" s="676">
        <f>D17-'C13.7'!G1</f>
        <v>50</v>
      </c>
      <c r="E15" s="652">
        <f ca="1">INDIRECT(B15&amp;"!H$1")</f>
        <v>180000</v>
      </c>
    </row>
    <row r="16" spans="2:12" ht="12.75" customHeight="1" x14ac:dyDescent="0.25">
      <c r="B16" s="21"/>
      <c r="C16" s="621"/>
      <c r="D16" s="676"/>
      <c r="E16" s="652"/>
    </row>
    <row r="17" spans="2:5" ht="12.75" customHeight="1" x14ac:dyDescent="0.25">
      <c r="B17" s="21" t="str">
        <f>'C13.7'!B14</f>
        <v>C13.7</v>
      </c>
      <c r="C17" s="621" t="str">
        <f>'C13.7'!C14</f>
        <v>JOINTS</v>
      </c>
      <c r="D17" s="676">
        <f>D19-'C13.8'!G1</f>
        <v>51</v>
      </c>
      <c r="E17" s="652">
        <f ca="1">INDIRECT(B17&amp;"!H$1")</f>
        <v>0</v>
      </c>
    </row>
    <row r="18" spans="2:5" ht="12.75" customHeight="1" x14ac:dyDescent="0.25">
      <c r="B18" s="21"/>
      <c r="C18" s="14"/>
      <c r="D18" s="676"/>
      <c r="E18" s="652"/>
    </row>
    <row r="19" spans="2:5" ht="12.75" customHeight="1" x14ac:dyDescent="0.25">
      <c r="B19" s="21" t="str">
        <f>'C13.8'!B14</f>
        <v>C13.8</v>
      </c>
      <c r="C19" s="621" t="str">
        <f>'C13.8'!C14</f>
        <v>ANCILLARY STRUCTURAL ELEMENTS</v>
      </c>
      <c r="D19" s="676">
        <f>D23-'C13.1_STC3960a'!G1</f>
        <v>52</v>
      </c>
      <c r="E19" s="652">
        <f ca="1">INDIRECT(B19&amp;"!H$1")</f>
        <v>0</v>
      </c>
    </row>
    <row r="20" spans="2:5" ht="12.75" customHeight="1" x14ac:dyDescent="0.25">
      <c r="B20" s="21"/>
      <c r="C20" s="621"/>
      <c r="D20" s="676"/>
      <c r="E20" s="652"/>
    </row>
    <row r="21" spans="2:5" ht="12.75" customHeight="1" x14ac:dyDescent="0.25">
      <c r="B21" s="21"/>
      <c r="C21" s="657" t="str">
        <f>'C13.1_STC3960b'!B10</f>
        <v>TRIPLE CELLED 3.0m x 3.0m BOX CULVERT STC 3960 at km 8.300</v>
      </c>
      <c r="D21" s="676"/>
      <c r="E21" s="652"/>
    </row>
    <row r="22" spans="2:5" ht="12.75" customHeight="1" x14ac:dyDescent="0.25">
      <c r="B22" s="21"/>
      <c r="C22" s="621"/>
      <c r="D22" s="676"/>
      <c r="E22" s="652"/>
    </row>
    <row r="23" spans="2:5" ht="12.75" customHeight="1" x14ac:dyDescent="0.25">
      <c r="B23" s="20" t="str">
        <f>'C13.1_STC3960a'!B$12</f>
        <v>C13.1</v>
      </c>
      <c r="C23" s="621" t="str">
        <f>'C13.1_STC3960b'!C$14</f>
        <v>FOUNDATIONS</v>
      </c>
      <c r="D23" s="676">
        <f>D25-'C13.2_STC3909'!G$1</f>
        <v>53</v>
      </c>
      <c r="E23" s="652">
        <f ca="1">INDIRECT(B23&amp;"_STC3960A"&amp;"!H$1")</f>
        <v>0</v>
      </c>
    </row>
    <row r="24" spans="2:5" ht="12.75" customHeight="1" x14ac:dyDescent="0.25">
      <c r="B24" s="21"/>
      <c r="C24" s="621"/>
      <c r="D24" s="676"/>
      <c r="E24" s="652"/>
    </row>
    <row r="25" spans="2:5" ht="12.75" customHeight="1" x14ac:dyDescent="0.25">
      <c r="B25" s="21" t="str">
        <f>'C13.2_STC3960'!B$12</f>
        <v>C13.2</v>
      </c>
      <c r="C25" s="621" t="str">
        <f>'C13.2_STC3960'!C$12</f>
        <v>FALSEWORK, FORMWORK AND CONCRETE FINISH</v>
      </c>
      <c r="D25" s="676">
        <f>D27-'C13.3_STC3960'!G$1</f>
        <v>54</v>
      </c>
      <c r="E25" s="652">
        <f ca="1">INDIRECT(B25&amp;"_STC3960"&amp;"!H$1")</f>
        <v>0</v>
      </c>
    </row>
    <row r="26" spans="2:5" ht="12.75" customHeight="1" x14ac:dyDescent="0.25">
      <c r="B26" s="21"/>
      <c r="C26" s="621"/>
      <c r="D26" s="676"/>
      <c r="E26" s="652"/>
    </row>
    <row r="27" spans="2:5" ht="12.75" customHeight="1" x14ac:dyDescent="0.25">
      <c r="B27" s="20" t="str">
        <f>'C13.3_STC3960'!B$12</f>
        <v>C13.3</v>
      </c>
      <c r="C27" s="621" t="str">
        <f>'C13.3_STC3960'!C$12</f>
        <v>STEEL REINFORCEMENT</v>
      </c>
      <c r="D27" s="676">
        <f>D29-'C13.4_STC3960'!G$1</f>
        <v>55</v>
      </c>
      <c r="E27" s="652">
        <f ca="1">INDIRECT(B27&amp;"_STC3960"&amp;"!H$1")</f>
        <v>0</v>
      </c>
    </row>
    <row r="28" spans="2:5" ht="13" x14ac:dyDescent="0.25">
      <c r="B28" s="21"/>
      <c r="C28" s="621"/>
      <c r="D28" s="676"/>
      <c r="E28" s="652"/>
    </row>
    <row r="29" spans="2:5" ht="13" x14ac:dyDescent="0.25">
      <c r="B29" s="20" t="str">
        <f>'C13.4_STC3960'!B$12</f>
        <v>C13.4</v>
      </c>
      <c r="C29" s="621" t="str">
        <f>'C13.4_STC3960'!C$12</f>
        <v>CONCRETE</v>
      </c>
      <c r="D29" s="676">
        <f>D31-'C13.7_STC3960'!G$1</f>
        <v>56</v>
      </c>
      <c r="E29" s="652">
        <f ca="1">INDIRECT(B29&amp;"_STC3960"&amp;"!H$1")</f>
        <v>0</v>
      </c>
    </row>
    <row r="30" spans="2:5" ht="13" x14ac:dyDescent="0.25">
      <c r="B30" s="21"/>
      <c r="C30" s="621"/>
      <c r="D30" s="676"/>
      <c r="E30" s="652"/>
    </row>
    <row r="31" spans="2:5" ht="13" x14ac:dyDescent="0.25">
      <c r="B31" s="20" t="str">
        <f>'C13.7_STC3960'!B$12</f>
        <v>C13.7</v>
      </c>
      <c r="C31" s="621" t="str">
        <f>'C13.7_STC3960'!C$12</f>
        <v>JOINTS</v>
      </c>
      <c r="D31" s="676">
        <f>D33-'C13.8_STC3960'!G$1</f>
        <v>57</v>
      </c>
      <c r="E31" s="652">
        <f ca="1">INDIRECT(B31&amp;"_STC3960"&amp;"!H$1")</f>
        <v>0</v>
      </c>
    </row>
    <row r="32" spans="2:5" ht="13" x14ac:dyDescent="0.25">
      <c r="B32" s="21"/>
      <c r="C32" s="621"/>
      <c r="D32" s="676"/>
      <c r="E32" s="652"/>
    </row>
    <row r="33" spans="2:5" ht="13" x14ac:dyDescent="0.25">
      <c r="B33" s="20" t="str">
        <f>'C13.8_STC3960'!B$12</f>
        <v>C13.8</v>
      </c>
      <c r="C33" s="621" t="str">
        <f>'C13.8_STC3960'!C$12</f>
        <v>ANCILLARY STRUCTURAL ELEMENTS</v>
      </c>
      <c r="D33" s="676">
        <f>D37-'C13.1_STC3909a'!G$1</f>
        <v>58</v>
      </c>
      <c r="E33" s="652">
        <f ca="1">INDIRECT(B33&amp;"_STC3960"&amp;"!H$1")</f>
        <v>0</v>
      </c>
    </row>
    <row r="34" spans="2:5" ht="12.75" customHeight="1" x14ac:dyDescent="0.25">
      <c r="B34" s="21"/>
      <c r="C34" s="621"/>
      <c r="D34" s="676"/>
      <c r="E34" s="652"/>
    </row>
    <row r="35" spans="2:5" ht="12.75" customHeight="1" x14ac:dyDescent="0.25">
      <c r="B35" s="21"/>
      <c r="C35" s="657" t="str">
        <f>'C13.1_STC3909b'!B10</f>
        <v>TRIPLE CELLED 1.8 m x 1.8 m BOX CULVERT STC 3909 at km 12.040</v>
      </c>
      <c r="D35" s="676"/>
      <c r="E35" s="652"/>
    </row>
    <row r="36" spans="2:5" ht="12.75" customHeight="1" x14ac:dyDescent="0.25">
      <c r="B36" s="21"/>
      <c r="C36" s="621"/>
      <c r="D36" s="676"/>
      <c r="E36" s="652"/>
    </row>
    <row r="37" spans="2:5" ht="12.75" customHeight="1" x14ac:dyDescent="0.25">
      <c r="B37" s="20" t="str">
        <f>'C13.1_STC3909a'!B$12</f>
        <v>C13.1</v>
      </c>
      <c r="C37" s="621" t="str">
        <f>'C13.1_STC3909a'!C$12</f>
        <v>FOUNDATIONS</v>
      </c>
      <c r="D37" s="676">
        <f>D39-'C13.2_STC3909'!G$1</f>
        <v>59</v>
      </c>
      <c r="E37" s="652">
        <f ca="1">INDIRECT(B37&amp;"_STC3909A"&amp;"!H$1")</f>
        <v>0</v>
      </c>
    </row>
    <row r="38" spans="2:5" ht="12.75" customHeight="1" x14ac:dyDescent="0.25">
      <c r="B38" s="21"/>
      <c r="C38" s="621"/>
      <c r="D38" s="676"/>
      <c r="E38" s="652"/>
    </row>
    <row r="39" spans="2:5" ht="13" x14ac:dyDescent="0.25">
      <c r="B39" s="20" t="str">
        <f>'C13.2_STC3909'!B$12</f>
        <v>C13.2</v>
      </c>
      <c r="C39" s="621" t="str">
        <f>'C13.2_STC3909'!C$12</f>
        <v>FALSEWORK, FORMWORK AND CONCRETE FINISH</v>
      </c>
      <c r="D39" s="676">
        <f>D41-'C13.7_STC3909'!G$1</f>
        <v>60</v>
      </c>
      <c r="E39" s="652">
        <f ca="1">INDIRECT(B39&amp;"_STC3909"&amp;"!H$1")</f>
        <v>0</v>
      </c>
    </row>
    <row r="40" spans="2:5" ht="13" x14ac:dyDescent="0.25">
      <c r="B40" s="21"/>
      <c r="C40" s="621"/>
      <c r="D40" s="676"/>
      <c r="E40" s="652"/>
    </row>
    <row r="41" spans="2:5" ht="13" x14ac:dyDescent="0.25">
      <c r="B41" s="21" t="str">
        <f>'C13.3_STC3909'!B$12</f>
        <v>C13.3</v>
      </c>
      <c r="C41" s="621" t="str">
        <f>'C13.3_STC3909'!C$12</f>
        <v>STEEL REINFORCEMENT</v>
      </c>
      <c r="D41" s="676">
        <f>D43-'C13.7_STC3909'!G$1</f>
        <v>61</v>
      </c>
      <c r="E41" s="652">
        <f ca="1">INDIRECT(B41&amp;"_STC3909"&amp;"!H$1")</f>
        <v>1190</v>
      </c>
    </row>
    <row r="42" spans="2:5" ht="13" x14ac:dyDescent="0.25">
      <c r="B42" s="21"/>
      <c r="C42" s="621"/>
      <c r="D42" s="676"/>
      <c r="E42" s="652"/>
    </row>
    <row r="43" spans="2:5" ht="13" x14ac:dyDescent="0.25">
      <c r="B43" s="20" t="str">
        <f>'C13.4_STC3909'!B$12</f>
        <v>C13.4</v>
      </c>
      <c r="C43" s="621" t="str">
        <f>'C13.4_STC3909'!C$12</f>
        <v>CONCRETE</v>
      </c>
      <c r="D43" s="676">
        <f>D45-'C13.7_STC3909'!G$1</f>
        <v>62</v>
      </c>
      <c r="E43" s="652">
        <f ca="1">INDIRECT(B43&amp;"_STC3909"&amp;"!H$1")</f>
        <v>0</v>
      </c>
    </row>
    <row r="44" spans="2:5" ht="13" x14ac:dyDescent="0.25">
      <c r="B44" s="21"/>
      <c r="C44" s="621"/>
      <c r="D44" s="676"/>
      <c r="E44" s="652"/>
    </row>
    <row r="45" spans="2:5" ht="13" x14ac:dyDescent="0.25">
      <c r="B45" s="20" t="str">
        <f>'C13.7_STC3909'!B$12</f>
        <v>C13.7</v>
      </c>
      <c r="C45" s="621" t="str">
        <f>'C13.7_STC3909'!C$12</f>
        <v>JOINTS</v>
      </c>
      <c r="D45" s="676">
        <f>D47-'C13.8_STC3909'!G$1</f>
        <v>63</v>
      </c>
      <c r="E45" s="652">
        <f ca="1">INDIRECT(B45&amp;"_STC3909"&amp;"!H$1")</f>
        <v>0</v>
      </c>
    </row>
    <row r="46" spans="2:5" ht="13" x14ac:dyDescent="0.25">
      <c r="B46" s="21"/>
      <c r="C46" s="621"/>
      <c r="D46" s="676"/>
      <c r="E46" s="652"/>
    </row>
    <row r="47" spans="2:5" ht="13" x14ac:dyDescent="0.25">
      <c r="B47" s="20" t="str">
        <f>'C13.8_STC3909'!B$12</f>
        <v>C13.8</v>
      </c>
      <c r="C47" s="621" t="str">
        <f>'C13.8_STC3909'!C$12</f>
        <v>ANCILLARY STRUCTURAL ELEMENTS</v>
      </c>
      <c r="D47" s="676">
        <f>Page_B-1</f>
        <v>64</v>
      </c>
      <c r="E47" s="652">
        <f ca="1">INDIRECT(B47&amp;"_STC3909"&amp;"!H$1")</f>
        <v>0</v>
      </c>
    </row>
    <row r="48" spans="2:5" ht="13" x14ac:dyDescent="0.25">
      <c r="B48" s="21"/>
      <c r="C48" s="621"/>
      <c r="D48" s="676"/>
      <c r="E48" s="652"/>
    </row>
    <row r="49" spans="2:12" ht="13" x14ac:dyDescent="0.25">
      <c r="B49" s="21"/>
      <c r="C49" s="621"/>
      <c r="D49" s="676"/>
      <c r="E49" s="652"/>
    </row>
    <row r="50" spans="2:12" ht="13" x14ac:dyDescent="0.25">
      <c r="B50" s="21"/>
      <c r="C50" s="621"/>
      <c r="D50" s="676"/>
      <c r="E50" s="652"/>
    </row>
    <row r="51" spans="2:12" ht="13" x14ac:dyDescent="0.25">
      <c r="B51" s="21"/>
      <c r="C51" s="621"/>
      <c r="D51" s="676"/>
      <c r="E51" s="652"/>
    </row>
    <row r="52" spans="2:12" ht="13" x14ac:dyDescent="0.25">
      <c r="B52" s="21"/>
      <c r="C52" s="621"/>
      <c r="D52" s="676"/>
      <c r="E52" s="652"/>
    </row>
    <row r="53" spans="2:12" ht="13" x14ac:dyDescent="0.25">
      <c r="B53" s="21"/>
      <c r="C53" s="621"/>
      <c r="D53" s="676"/>
      <c r="E53" s="652"/>
    </row>
    <row r="54" spans="2:12" ht="13" x14ac:dyDescent="0.25">
      <c r="B54" s="141"/>
      <c r="C54" s="644"/>
      <c r="D54" s="140"/>
      <c r="E54" s="653"/>
    </row>
    <row r="55" spans="2:12" s="28" customFormat="1" ht="19.5" customHeight="1" x14ac:dyDescent="0.25">
      <c r="B55" s="642" t="str">
        <f ca="1">"TOTAL SCHEDULE B: STRUCTURES CARRIED FORWARD"&amp;IF(E55=E$1," TO SUMMARY (Page C"&amp;_Summary&amp;")","")</f>
        <v>TOTAL SCHEDULE B: STRUCTURES CARRIED FORWARD TO SUMMARY (Page C73)</v>
      </c>
      <c r="C55" s="643"/>
      <c r="D55" s="643"/>
      <c r="E55" s="636">
        <f ca="1">SUM(E10:E54)</f>
        <v>181190</v>
      </c>
      <c r="F55" s="34"/>
    </row>
    <row r="56" spans="2:12" ht="13" x14ac:dyDescent="0.25">
      <c r="B56" s="2" t="str">
        <f>Client1</f>
        <v>Province of KwaZulu-Natal</v>
      </c>
      <c r="D56" s="1144" t="str">
        <f>"Contract No. "&amp;ContractNo</f>
        <v>Contract No. ZNB 00399/00000/HOD/INF/21/T</v>
      </c>
      <c r="E56" s="1144"/>
    </row>
    <row r="57" spans="2:12" s="1" customFormat="1" ht="18" customHeight="1" x14ac:dyDescent="0.25">
      <c r="B57" s="87" t="str">
        <f>Client2</f>
        <v>Department of Transport</v>
      </c>
      <c r="C57" s="50"/>
      <c r="D57" s="4"/>
      <c r="I57" s="4"/>
    </row>
    <row r="58" spans="2:12" s="1" customFormat="1" ht="16.5" customHeight="1" x14ac:dyDescent="0.25">
      <c r="B58" s="77"/>
      <c r="C58" s="90"/>
      <c r="D58" s="78"/>
      <c r="E58" s="79"/>
      <c r="G58" s="5"/>
      <c r="H58" s="5"/>
      <c r="I58" s="4"/>
    </row>
    <row r="59" spans="2:12" s="1" customFormat="1" ht="7.5" customHeight="1" x14ac:dyDescent="0.25">
      <c r="B59" s="1135" t="str">
        <f>ContractDescription</f>
        <v>THE CONSTRUCTION OF EARTHWORKS, LAYERWORKS, SURFACING, CULVERTS AND CWAKA RIVER BRIDGE FROM KM 11.600 TO KM 14.000 ON MAIN ROAD P494 IN THE KING CETSHWAYO DISTRICT UNDER EMPANGENI REGION</v>
      </c>
      <c r="C59" s="1136"/>
      <c r="D59" s="1136"/>
      <c r="E59" s="1145"/>
      <c r="G59" s="5"/>
      <c r="H59" s="5"/>
      <c r="I59" s="4"/>
    </row>
    <row r="60" spans="2:12" ht="12.75" customHeight="1" x14ac:dyDescent="0.25">
      <c r="B60" s="1117"/>
      <c r="C60" s="1118"/>
      <c r="D60" s="1118"/>
      <c r="E60" s="1146"/>
    </row>
    <row r="61" spans="2:12" ht="7.5" customHeight="1" x14ac:dyDescent="0.25">
      <c r="B61" s="1119"/>
      <c r="C61" s="1120"/>
      <c r="D61" s="1120"/>
      <c r="E61" s="1147"/>
    </row>
    <row r="62" spans="2:12" ht="25.5" customHeight="1" x14ac:dyDescent="0.25">
      <c r="B62" s="29"/>
      <c r="C62" s="31" t="s">
        <v>803</v>
      </c>
      <c r="D62" s="31"/>
      <c r="E62" s="648"/>
    </row>
    <row r="63" spans="2:12" ht="13" x14ac:dyDescent="0.25">
      <c r="B63" s="11" t="s">
        <v>804</v>
      </c>
      <c r="C63" s="645" t="s">
        <v>1</v>
      </c>
      <c r="D63" s="11" t="s">
        <v>784</v>
      </c>
      <c r="E63" s="632" t="s">
        <v>5</v>
      </c>
      <c r="L63" s="131"/>
    </row>
    <row r="64" spans="2:12" s="28" customFormat="1" ht="19.5" customHeight="1" x14ac:dyDescent="0.25">
      <c r="B64" s="649" t="s">
        <v>814</v>
      </c>
      <c r="C64" s="30"/>
      <c r="D64" s="631"/>
      <c r="E64" s="636">
        <f ca="1">E55</f>
        <v>181190</v>
      </c>
      <c r="F64" s="34"/>
    </row>
    <row r="65" spans="2:5" ht="13" x14ac:dyDescent="0.25">
      <c r="B65" s="153"/>
      <c r="C65" s="646"/>
      <c r="D65" s="650"/>
      <c r="E65" s="651"/>
    </row>
    <row r="66" spans="2:5" ht="12.75" customHeight="1" x14ac:dyDescent="0.25">
      <c r="B66" s="21"/>
      <c r="C66" s="621"/>
      <c r="D66" s="81"/>
      <c r="E66" s="652"/>
    </row>
    <row r="67" spans="2:5" ht="13" x14ac:dyDescent="0.25">
      <c r="B67" s="21"/>
      <c r="C67" s="621"/>
      <c r="D67" s="81"/>
      <c r="E67" s="652"/>
    </row>
    <row r="68" spans="2:5" ht="13" x14ac:dyDescent="0.25">
      <c r="B68" s="21"/>
      <c r="C68" s="621"/>
      <c r="D68" s="81"/>
      <c r="E68" s="652"/>
    </row>
    <row r="69" spans="2:5" ht="13" x14ac:dyDescent="0.25">
      <c r="B69" s="21"/>
      <c r="C69" s="621"/>
      <c r="D69" s="81"/>
      <c r="E69" s="652"/>
    </row>
    <row r="70" spans="2:5" ht="13" x14ac:dyDescent="0.25">
      <c r="B70" s="21"/>
      <c r="C70" s="621"/>
      <c r="D70" s="81"/>
      <c r="E70" s="652"/>
    </row>
    <row r="71" spans="2:5" ht="13" x14ac:dyDescent="0.25">
      <c r="B71" s="21"/>
      <c r="C71" s="621"/>
      <c r="D71" s="81"/>
      <c r="E71" s="652"/>
    </row>
    <row r="72" spans="2:5" ht="13" x14ac:dyDescent="0.25">
      <c r="B72" s="21"/>
      <c r="C72" s="621"/>
      <c r="D72" s="81"/>
      <c r="E72" s="652"/>
    </row>
    <row r="73" spans="2:5" ht="12.75" customHeight="1" x14ac:dyDescent="0.25">
      <c r="B73" s="21"/>
      <c r="C73" s="621"/>
      <c r="D73" s="81"/>
      <c r="E73" s="652"/>
    </row>
    <row r="74" spans="2:5" ht="13" x14ac:dyDescent="0.25">
      <c r="B74" s="21"/>
      <c r="C74" s="621"/>
      <c r="D74" s="81"/>
      <c r="E74" s="652"/>
    </row>
    <row r="75" spans="2:5" ht="12.75" customHeight="1" x14ac:dyDescent="0.25">
      <c r="B75" s="21"/>
      <c r="C75" s="621"/>
      <c r="D75" s="81"/>
      <c r="E75" s="652"/>
    </row>
    <row r="76" spans="2:5" ht="12.75" customHeight="1" x14ac:dyDescent="0.25">
      <c r="B76" s="21"/>
      <c r="C76" s="621"/>
      <c r="D76" s="81"/>
      <c r="E76" s="652"/>
    </row>
    <row r="77" spans="2:5" ht="13" x14ac:dyDescent="0.25">
      <c r="B77" s="21"/>
      <c r="C77" s="621"/>
      <c r="D77" s="81"/>
      <c r="E77" s="652"/>
    </row>
    <row r="78" spans="2:5" ht="13" x14ac:dyDescent="0.25">
      <c r="B78" s="21"/>
      <c r="C78" s="621"/>
      <c r="D78" s="81"/>
      <c r="E78" s="652"/>
    </row>
    <row r="79" spans="2:5" ht="13" x14ac:dyDescent="0.25">
      <c r="B79" s="21"/>
      <c r="C79" s="621"/>
      <c r="D79" s="81"/>
      <c r="E79" s="652"/>
    </row>
    <row r="80" spans="2:5" ht="12.75" customHeight="1" x14ac:dyDescent="0.25">
      <c r="B80" s="21"/>
      <c r="C80" s="621"/>
      <c r="D80" s="81"/>
      <c r="E80" s="652"/>
    </row>
    <row r="81" spans="2:5" ht="12.75" customHeight="1" x14ac:dyDescent="0.25">
      <c r="B81" s="21"/>
      <c r="C81" s="621"/>
      <c r="D81" s="81"/>
      <c r="E81" s="652"/>
    </row>
    <row r="82" spans="2:5" ht="12.75" customHeight="1" x14ac:dyDescent="0.25">
      <c r="B82" s="21"/>
      <c r="C82" s="621"/>
      <c r="D82" s="81"/>
      <c r="E82" s="652"/>
    </row>
    <row r="83" spans="2:5" ht="12.75" customHeight="1" x14ac:dyDescent="0.25">
      <c r="B83" s="21"/>
      <c r="C83" s="621"/>
      <c r="D83" s="81"/>
      <c r="E83" s="652"/>
    </row>
    <row r="84" spans="2:5" ht="13" x14ac:dyDescent="0.25">
      <c r="B84" s="21"/>
      <c r="C84" s="621"/>
      <c r="D84" s="81"/>
      <c r="E84" s="652"/>
    </row>
    <row r="85" spans="2:5" ht="12.75" customHeight="1" x14ac:dyDescent="0.25">
      <c r="B85" s="21"/>
      <c r="C85" s="621"/>
      <c r="D85" s="81"/>
      <c r="E85" s="652"/>
    </row>
    <row r="86" spans="2:5" ht="12.75" customHeight="1" x14ac:dyDescent="0.25">
      <c r="B86" s="21"/>
      <c r="C86" s="621"/>
      <c r="D86" s="81"/>
      <c r="E86" s="652"/>
    </row>
    <row r="87" spans="2:5" ht="12.75" customHeight="1" x14ac:dyDescent="0.25">
      <c r="B87" s="21"/>
      <c r="C87" s="621"/>
      <c r="D87" s="81"/>
      <c r="E87" s="652"/>
    </row>
    <row r="88" spans="2:5" ht="13" x14ac:dyDescent="0.25">
      <c r="B88" s="21"/>
      <c r="C88" s="621"/>
      <c r="D88" s="81"/>
      <c r="E88" s="652"/>
    </row>
    <row r="89" spans="2:5" ht="13" x14ac:dyDescent="0.25">
      <c r="B89" s="21"/>
      <c r="C89" s="621"/>
      <c r="D89" s="81"/>
      <c r="E89" s="652"/>
    </row>
    <row r="90" spans="2:5" ht="13" x14ac:dyDescent="0.25">
      <c r="B90" s="21"/>
      <c r="C90" s="621"/>
      <c r="D90" s="81"/>
      <c r="E90" s="652"/>
    </row>
    <row r="91" spans="2:5" ht="13" x14ac:dyDescent="0.25">
      <c r="B91" s="21"/>
      <c r="C91" s="621"/>
      <c r="D91" s="81"/>
      <c r="E91" s="652"/>
    </row>
    <row r="92" spans="2:5" ht="13" x14ac:dyDescent="0.25">
      <c r="B92" s="21"/>
      <c r="C92" s="621"/>
      <c r="D92" s="81"/>
      <c r="E92" s="652"/>
    </row>
    <row r="93" spans="2:5" ht="13" x14ac:dyDescent="0.25">
      <c r="B93" s="21"/>
      <c r="C93" s="621"/>
      <c r="D93" s="81"/>
      <c r="E93" s="652"/>
    </row>
    <row r="94" spans="2:5" ht="13" x14ac:dyDescent="0.25">
      <c r="B94" s="21"/>
      <c r="C94" s="621"/>
      <c r="D94" s="81"/>
      <c r="E94" s="652"/>
    </row>
    <row r="95" spans="2:5" ht="13" x14ac:dyDescent="0.25">
      <c r="B95" s="21"/>
      <c r="C95" s="621"/>
      <c r="D95" s="81"/>
      <c r="E95" s="652"/>
    </row>
    <row r="96" spans="2:5" ht="13" x14ac:dyDescent="0.25">
      <c r="B96" s="21"/>
      <c r="C96" s="621"/>
      <c r="D96" s="81"/>
      <c r="E96" s="652"/>
    </row>
    <row r="97" spans="2:5" ht="13" x14ac:dyDescent="0.25">
      <c r="B97" s="21"/>
      <c r="C97" s="621"/>
      <c r="D97" s="81"/>
      <c r="E97" s="652"/>
    </row>
    <row r="98" spans="2:5" ht="13" x14ac:dyDescent="0.25">
      <c r="B98" s="21"/>
      <c r="C98" s="621"/>
      <c r="D98" s="81"/>
      <c r="E98" s="652"/>
    </row>
    <row r="99" spans="2:5" ht="13" x14ac:dyDescent="0.25">
      <c r="B99" s="21"/>
      <c r="C99" s="621"/>
      <c r="D99" s="81"/>
      <c r="E99" s="652"/>
    </row>
    <row r="100" spans="2:5" ht="13" x14ac:dyDescent="0.25">
      <c r="B100" s="21"/>
      <c r="C100" s="621"/>
      <c r="D100" s="81"/>
      <c r="E100" s="652"/>
    </row>
    <row r="101" spans="2:5" ht="13" x14ac:dyDescent="0.25">
      <c r="B101" s="21"/>
      <c r="C101" s="621"/>
      <c r="D101" s="81"/>
      <c r="E101" s="652"/>
    </row>
    <row r="102" spans="2:5" ht="13" x14ac:dyDescent="0.25">
      <c r="B102" s="21"/>
      <c r="C102" s="621"/>
      <c r="D102" s="81"/>
      <c r="E102" s="652"/>
    </row>
    <row r="103" spans="2:5" ht="13" x14ac:dyDescent="0.25">
      <c r="B103" s="21"/>
      <c r="C103" s="621"/>
      <c r="D103" s="81"/>
      <c r="E103" s="652"/>
    </row>
    <row r="104" spans="2:5" ht="13" x14ac:dyDescent="0.25">
      <c r="B104" s="21"/>
      <c r="C104" s="621"/>
      <c r="D104" s="81"/>
      <c r="E104" s="652"/>
    </row>
    <row r="105" spans="2:5" ht="13" x14ac:dyDescent="0.25">
      <c r="B105" s="21"/>
      <c r="C105" s="621"/>
      <c r="D105" s="81"/>
      <c r="E105" s="652"/>
    </row>
    <row r="106" spans="2:5" ht="13" x14ac:dyDescent="0.25">
      <c r="B106" s="21"/>
      <c r="C106" s="621"/>
      <c r="D106" s="81"/>
      <c r="E106" s="652"/>
    </row>
    <row r="107" spans="2:5" ht="13" x14ac:dyDescent="0.25">
      <c r="B107" s="21"/>
      <c r="C107" s="621"/>
      <c r="D107" s="81"/>
      <c r="E107" s="652"/>
    </row>
    <row r="108" spans="2:5" ht="13" x14ac:dyDescent="0.25">
      <c r="B108" s="21"/>
      <c r="C108" s="621"/>
      <c r="D108" s="81"/>
      <c r="E108" s="652"/>
    </row>
    <row r="109" spans="2:5" ht="13" x14ac:dyDescent="0.25">
      <c r="B109" s="21"/>
      <c r="C109" s="621"/>
      <c r="D109" s="81"/>
      <c r="E109" s="652"/>
    </row>
    <row r="110" spans="2:5" ht="13" x14ac:dyDescent="0.25">
      <c r="B110" s="21"/>
      <c r="C110" s="621"/>
      <c r="D110" s="81"/>
      <c r="E110" s="652"/>
    </row>
    <row r="111" spans="2:5" ht="13" x14ac:dyDescent="0.25">
      <c r="B111" s="21"/>
      <c r="C111" s="621"/>
      <c r="D111" s="81"/>
      <c r="E111" s="652"/>
    </row>
    <row r="112" spans="2:5" ht="13" x14ac:dyDescent="0.25">
      <c r="B112" s="21"/>
      <c r="C112" s="621"/>
      <c r="D112" s="81"/>
      <c r="E112" s="652"/>
    </row>
    <row r="113" spans="2:6" ht="13" x14ac:dyDescent="0.25">
      <c r="B113" s="21"/>
      <c r="C113" s="621"/>
      <c r="D113" s="81"/>
      <c r="E113" s="652"/>
    </row>
    <row r="114" spans="2:6" ht="13" x14ac:dyDescent="0.25">
      <c r="B114" s="21"/>
      <c r="C114" s="621"/>
      <c r="D114" s="81"/>
      <c r="E114" s="652"/>
    </row>
    <row r="115" spans="2:6" ht="13" x14ac:dyDescent="0.25">
      <c r="B115" s="21"/>
      <c r="C115" s="621"/>
      <c r="D115" s="81"/>
      <c r="E115" s="652"/>
    </row>
    <row r="116" spans="2:6" ht="13" x14ac:dyDescent="0.25">
      <c r="B116" s="21"/>
      <c r="C116" s="621"/>
      <c r="D116" s="81"/>
      <c r="E116" s="652"/>
    </row>
    <row r="117" spans="2:6" ht="13" x14ac:dyDescent="0.25">
      <c r="B117" s="21"/>
      <c r="C117" s="621"/>
      <c r="D117" s="81"/>
      <c r="E117" s="652"/>
    </row>
    <row r="118" spans="2:6" ht="13" x14ac:dyDescent="0.25">
      <c r="B118" s="21"/>
      <c r="C118" s="621"/>
      <c r="D118" s="81"/>
      <c r="E118" s="652"/>
    </row>
    <row r="119" spans="2:6" ht="13" x14ac:dyDescent="0.25">
      <c r="B119" s="21"/>
      <c r="C119" s="621"/>
      <c r="D119" s="81"/>
      <c r="E119" s="652"/>
    </row>
    <row r="120" spans="2:6" ht="13" x14ac:dyDescent="0.25">
      <c r="B120" s="21"/>
      <c r="C120" s="621"/>
      <c r="D120" s="81"/>
      <c r="E120" s="652"/>
    </row>
    <row r="121" spans="2:6" ht="13" x14ac:dyDescent="0.25">
      <c r="B121" s="21"/>
      <c r="C121" s="621"/>
      <c r="D121" s="81"/>
      <c r="E121" s="652"/>
    </row>
    <row r="122" spans="2:6" ht="13" x14ac:dyDescent="0.25">
      <c r="B122" s="21"/>
      <c r="C122" s="621"/>
      <c r="D122" s="81"/>
      <c r="E122" s="652"/>
    </row>
    <row r="123" spans="2:6" ht="13" x14ac:dyDescent="0.25">
      <c r="B123" s="21"/>
      <c r="C123" s="621"/>
      <c r="D123" s="81"/>
      <c r="E123" s="652"/>
    </row>
    <row r="124" spans="2:6" ht="13" x14ac:dyDescent="0.25">
      <c r="B124" s="21"/>
      <c r="C124" s="621"/>
      <c r="D124" s="81"/>
      <c r="E124" s="652"/>
    </row>
    <row r="125" spans="2:6" ht="13" x14ac:dyDescent="0.25">
      <c r="B125" s="21"/>
      <c r="C125" s="621"/>
      <c r="D125" s="81"/>
      <c r="E125" s="653"/>
    </row>
    <row r="126" spans="2:6" s="28" customFormat="1" ht="19.5" customHeight="1" x14ac:dyDescent="0.25">
      <c r="B126" s="642" t="str">
        <f ca="1">"TOTAL SCHEDULE B: STRUCTURES CARRIED FORWARD"&amp;IF(E126=E$1," TO SUMMARY (Page C"&amp;_Summary&amp;")","")</f>
        <v>TOTAL SCHEDULE B: STRUCTURES CARRIED FORWARD TO SUMMARY (Page C73)</v>
      </c>
      <c r="C126" s="654"/>
      <c r="D126" s="654"/>
      <c r="E126" s="636">
        <f ca="1">SUM(E64:E125)</f>
        <v>181190</v>
      </c>
      <c r="F126" s="34"/>
    </row>
  </sheetData>
  <mergeCells count="3">
    <mergeCell ref="B5:E7"/>
    <mergeCell ref="D56:E56"/>
    <mergeCell ref="B59:E61"/>
  </mergeCells>
  <conditionalFormatting sqref="E10:E55">
    <cfRule type="expression" dxfId="41" priority="1">
      <formula>_Show_Price=FALSE</formula>
    </cfRule>
  </conditionalFormatting>
  <pageMargins left="0.43307086614173229" right="0.31496062992125984" top="0.43307086614173229" bottom="0.62992125984251968" header="0.31496062992125984" footer="0.31496062992125984"/>
  <pageSetup paperSize="9" scale="77" firstPageNumber="32"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&amp;L&amp;"Arial,Bold"_________________________________________________________________________________________________________________________
CIDB OPEN TENDER: Contract Ver. 20-10-2021: COTO&amp;R&amp;"Arial,Bold"_____________________
C&amp;P   </oddFooter>
  </headerFooter>
  <rowBreaks count="1" manualBreakCount="1">
    <brk id="55"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2">
    <tabColor rgb="FF00B050"/>
  </sheetPr>
  <dimension ref="A1:N68"/>
  <sheetViews>
    <sheetView view="pageBreakPreview" zoomScale="90" zoomScaleNormal="125" zoomScaleSheetLayoutView="90" zoomScalePageLayoutView="125" workbookViewId="0">
      <pane ySplit="2" topLeftCell="A3" activePane="bottomLeft" state="frozen"/>
      <selection activeCell="C28" sqref="C28"/>
      <selection pane="bottomLeft" activeCell="G14" sqref="G14"/>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0.453125" style="1" customWidth="1"/>
    <col min="12" max="12" width="16.1796875" style="1" bestFit="1" customWidth="1"/>
    <col min="13" max="13" width="18.1796875" style="1" customWidth="1"/>
    <col min="14" max="14" width="16.54296875" style="1" customWidth="1"/>
    <col min="15" max="16384" width="6.81640625" style="1"/>
  </cols>
  <sheetData>
    <row r="1" spans="1:14" s="242" customFormat="1" ht="11.5" x14ac:dyDescent="0.25">
      <c r="B1" s="243"/>
      <c r="C1" s="244" t="s">
        <v>993</v>
      </c>
      <c r="D1" s="245"/>
      <c r="E1" s="245"/>
      <c r="F1" s="245"/>
      <c r="G1" s="245"/>
      <c r="H1" s="247">
        <f>MAX(H2:H68)</f>
        <v>690000</v>
      </c>
      <c r="I1" s="247">
        <f>MAX(I2:I66)</f>
        <v>0</v>
      </c>
      <c r="J1" s="248"/>
      <c r="K1" s="249"/>
      <c r="L1" s="417">
        <f>MAX(L2:L68)</f>
        <v>100000</v>
      </c>
      <c r="M1" s="249"/>
      <c r="N1" s="250"/>
    </row>
    <row r="2" spans="1:14"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2256</v>
      </c>
      <c r="C6" s="1113"/>
      <c r="D6" s="1113"/>
      <c r="E6" s="1113"/>
      <c r="F6" s="1113"/>
      <c r="G6" s="1113"/>
      <c r="H6" s="1114" t="str">
        <f>"CHAPTER "&amp;B12</f>
        <v>CHAPTER E</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15"/>
      <c r="I7" s="8"/>
    </row>
    <row r="8" spans="1:14" ht="12.75" customHeight="1" x14ac:dyDescent="0.25">
      <c r="B8" s="1117"/>
      <c r="C8" s="1118"/>
      <c r="D8" s="1118"/>
      <c r="E8" s="1118"/>
      <c r="F8" s="1118"/>
      <c r="G8" s="1118"/>
      <c r="H8" s="1115"/>
      <c r="I8" s="8"/>
    </row>
    <row r="9" spans="1:14" ht="7.5" customHeight="1" x14ac:dyDescent="0.25">
      <c r="B9" s="1119"/>
      <c r="C9" s="1120"/>
      <c r="D9" s="1120"/>
      <c r="E9" s="1120"/>
      <c r="F9" s="1120"/>
      <c r="G9" s="1120"/>
      <c r="H9" s="1116"/>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ht="9.75" customHeight="1" x14ac:dyDescent="0.25">
      <c r="B11" s="56"/>
      <c r="C11" s="65"/>
      <c r="D11" s="15"/>
      <c r="E11" s="15"/>
      <c r="F11" s="15"/>
      <c r="G11" s="411"/>
      <c r="H11" s="17" t="str">
        <f t="shared" ref="H11:H42" si="0">IF(D11="","",F11*G11)</f>
        <v/>
      </c>
      <c r="I11" s="18"/>
      <c r="J11" s="61"/>
      <c r="K11" s="399"/>
      <c r="L11" s="420" t="str">
        <f t="shared" ref="L11:L48" si="1">IF(J11="","",F11*K11)</f>
        <v/>
      </c>
      <c r="M11" s="401" t="str">
        <f>IF(J11="","",IF(SUM(H11)=0,"",L11/H11))</f>
        <v/>
      </c>
    </row>
    <row r="12" spans="1:14" ht="13" x14ac:dyDescent="0.25">
      <c r="B12" s="146" t="s">
        <v>2240</v>
      </c>
      <c r="C12" s="672" t="s">
        <v>781</v>
      </c>
      <c r="D12" s="15"/>
      <c r="E12" s="15"/>
      <c r="F12" s="15"/>
      <c r="G12" s="411"/>
      <c r="H12" s="17" t="str">
        <f t="shared" si="0"/>
        <v/>
      </c>
      <c r="I12" s="18"/>
      <c r="J12" s="61"/>
      <c r="K12" s="399"/>
      <c r="L12" s="420" t="str">
        <f t="shared" si="1"/>
        <v/>
      </c>
      <c r="M12" s="401" t="str">
        <f t="shared" ref="M12:M68" si="2">IF(J12="","",IF(SUM(H12)=0,"",L12/H12))</f>
        <v/>
      </c>
    </row>
    <row r="13" spans="1:14" ht="9.75" customHeight="1" x14ac:dyDescent="0.25">
      <c r="B13" s="58"/>
      <c r="C13" s="65"/>
      <c r="D13" s="15"/>
      <c r="E13" s="15"/>
      <c r="F13" s="15"/>
      <c r="G13" s="411"/>
      <c r="H13" s="17" t="str">
        <f t="shared" si="0"/>
        <v/>
      </c>
      <c r="I13" s="18"/>
      <c r="J13" s="61"/>
      <c r="K13" s="399"/>
      <c r="L13" s="420" t="str">
        <f t="shared" si="1"/>
        <v/>
      </c>
      <c r="M13" s="401" t="str">
        <f t="shared" si="2"/>
        <v/>
      </c>
    </row>
    <row r="14" spans="1:14" ht="39" x14ac:dyDescent="0.25">
      <c r="B14" s="146" t="s">
        <v>2241</v>
      </c>
      <c r="C14" s="672" t="s">
        <v>782</v>
      </c>
      <c r="D14" s="15" t="s">
        <v>11</v>
      </c>
      <c r="E14" s="15"/>
      <c r="F14" s="15">
        <v>1</v>
      </c>
      <c r="G14" s="411"/>
      <c r="H14" s="17">
        <f t="shared" si="0"/>
        <v>0</v>
      </c>
      <c r="I14" s="18"/>
      <c r="J14" s="61"/>
      <c r="K14" s="399"/>
      <c r="L14" s="420" t="str">
        <f t="shared" si="1"/>
        <v/>
      </c>
      <c r="M14" s="401" t="str">
        <f t="shared" si="2"/>
        <v/>
      </c>
    </row>
    <row r="15" spans="1:14" ht="13" x14ac:dyDescent="0.25">
      <c r="B15" s="146"/>
      <c r="C15" s="65"/>
      <c r="D15" s="15"/>
      <c r="E15" s="15"/>
      <c r="F15" s="15"/>
      <c r="G15" s="411"/>
      <c r="H15" s="17" t="str">
        <f t="shared" si="0"/>
        <v/>
      </c>
      <c r="I15" s="18"/>
      <c r="J15" s="61"/>
      <c r="K15" s="399"/>
      <c r="L15" s="420" t="str">
        <f t="shared" si="1"/>
        <v/>
      </c>
      <c r="M15" s="401" t="str">
        <f t="shared" si="2"/>
        <v/>
      </c>
    </row>
    <row r="16" spans="1:14" ht="26" x14ac:dyDescent="0.25">
      <c r="B16" s="146" t="s">
        <v>2242</v>
      </c>
      <c r="C16" s="672" t="s">
        <v>832</v>
      </c>
      <c r="D16" s="15"/>
      <c r="E16" s="15"/>
      <c r="F16" s="24"/>
      <c r="G16" s="703"/>
      <c r="H16" s="17" t="str">
        <f t="shared" si="0"/>
        <v/>
      </c>
      <c r="I16" s="57"/>
      <c r="J16" s="61"/>
      <c r="K16" s="400"/>
      <c r="L16" s="420" t="str">
        <f t="shared" si="1"/>
        <v/>
      </c>
      <c r="M16" s="401" t="str">
        <f t="shared" si="2"/>
        <v/>
      </c>
    </row>
    <row r="17" spans="2:13" ht="8.15" customHeight="1" x14ac:dyDescent="0.25">
      <c r="B17" s="146"/>
      <c r="C17" s="65"/>
      <c r="D17" s="15"/>
      <c r="E17" s="15"/>
      <c r="F17" s="24"/>
      <c r="G17" s="703"/>
      <c r="H17" s="17" t="str">
        <f t="shared" si="0"/>
        <v/>
      </c>
      <c r="I17" s="57"/>
      <c r="J17" s="61"/>
      <c r="K17" s="399"/>
      <c r="L17" s="420" t="str">
        <f t="shared" si="1"/>
        <v/>
      </c>
      <c r="M17" s="401" t="str">
        <f t="shared" si="2"/>
        <v/>
      </c>
    </row>
    <row r="18" spans="2:13" x14ac:dyDescent="0.25">
      <c r="B18" s="58" t="s">
        <v>39</v>
      </c>
      <c r="C18" s="65" t="s">
        <v>818</v>
      </c>
      <c r="D18" s="15"/>
      <c r="E18" s="15"/>
      <c r="F18" s="24"/>
      <c r="G18" s="703"/>
      <c r="H18" s="17" t="str">
        <f t="shared" si="0"/>
        <v/>
      </c>
      <c r="I18" s="57"/>
      <c r="J18" s="61"/>
      <c r="K18" s="399"/>
      <c r="L18" s="420" t="str">
        <f t="shared" si="1"/>
        <v/>
      </c>
      <c r="M18" s="401" t="str">
        <f t="shared" si="2"/>
        <v/>
      </c>
    </row>
    <row r="19" spans="2:13" ht="13" x14ac:dyDescent="0.25">
      <c r="B19" s="146"/>
      <c r="C19" s="65"/>
      <c r="D19" s="15"/>
      <c r="E19" s="15"/>
      <c r="F19" s="24"/>
      <c r="G19" s="703"/>
      <c r="H19" s="17" t="str">
        <f t="shared" si="0"/>
        <v/>
      </c>
      <c r="I19" s="57"/>
      <c r="J19" s="61"/>
      <c r="K19" s="399"/>
      <c r="L19" s="420" t="str">
        <f t="shared" si="1"/>
        <v/>
      </c>
      <c r="M19" s="401" t="str">
        <f t="shared" si="2"/>
        <v/>
      </c>
    </row>
    <row r="20" spans="2:13" x14ac:dyDescent="0.25">
      <c r="B20" s="58" t="s">
        <v>152</v>
      </c>
      <c r="C20" s="65" t="s">
        <v>816</v>
      </c>
      <c r="D20" s="15" t="s">
        <v>556</v>
      </c>
      <c r="E20" s="15"/>
      <c r="F20" s="24">
        <v>100000</v>
      </c>
      <c r="G20" s="411">
        <v>1</v>
      </c>
      <c r="H20" s="17">
        <f t="shared" si="0"/>
        <v>100000</v>
      </c>
      <c r="I20" s="18"/>
      <c r="J20" s="61"/>
      <c r="K20" s="402"/>
      <c r="L20" s="420" t="str">
        <f t="shared" si="1"/>
        <v/>
      </c>
      <c r="M20" s="401" t="str">
        <f t="shared" si="2"/>
        <v/>
      </c>
    </row>
    <row r="21" spans="2:13" x14ac:dyDescent="0.25">
      <c r="B21" s="58"/>
      <c r="C21" s="65"/>
      <c r="D21" s="15"/>
      <c r="E21" s="15"/>
      <c r="F21" s="24"/>
      <c r="G21" s="423"/>
      <c r="H21" s="17" t="str">
        <f t="shared" si="0"/>
        <v/>
      </c>
      <c r="I21" s="18"/>
      <c r="J21" s="61"/>
      <c r="K21" s="402"/>
      <c r="L21" s="420" t="str">
        <f t="shared" si="1"/>
        <v/>
      </c>
      <c r="M21" s="401" t="str">
        <f t="shared" si="2"/>
        <v/>
      </c>
    </row>
    <row r="22" spans="2:13" ht="25" x14ac:dyDescent="0.25">
      <c r="B22" s="58" t="s">
        <v>154</v>
      </c>
      <c r="C22" s="65" t="s">
        <v>2245</v>
      </c>
      <c r="D22" s="15" t="s">
        <v>26</v>
      </c>
      <c r="E22" s="15"/>
      <c r="F22" s="24">
        <f>F20</f>
        <v>100000</v>
      </c>
      <c r="G22" s="425"/>
      <c r="H22" s="17">
        <f t="shared" si="0"/>
        <v>0</v>
      </c>
      <c r="I22" s="63"/>
      <c r="J22" s="61"/>
      <c r="K22" s="402"/>
      <c r="L22" s="420" t="str">
        <f t="shared" si="1"/>
        <v/>
      </c>
      <c r="M22" s="401" t="str">
        <f t="shared" si="2"/>
        <v/>
      </c>
    </row>
    <row r="23" spans="2:13" x14ac:dyDescent="0.25">
      <c r="B23" s="58"/>
      <c r="C23" s="784"/>
      <c r="D23" s="15"/>
      <c r="E23" s="15"/>
      <c r="F23" s="24"/>
      <c r="G23" s="421"/>
      <c r="H23" s="17" t="str">
        <f t="shared" si="0"/>
        <v/>
      </c>
      <c r="I23" s="63"/>
      <c r="J23" s="61"/>
      <c r="K23" s="402"/>
      <c r="L23" s="420" t="str">
        <f t="shared" si="1"/>
        <v/>
      </c>
      <c r="M23" s="401" t="str">
        <f t="shared" si="2"/>
        <v/>
      </c>
    </row>
    <row r="24" spans="2:13" x14ac:dyDescent="0.25">
      <c r="B24" s="58" t="s">
        <v>41</v>
      </c>
      <c r="C24" s="65" t="s">
        <v>817</v>
      </c>
      <c r="D24" s="15"/>
      <c r="E24" s="15"/>
      <c r="F24" s="24"/>
      <c r="G24" s="422"/>
      <c r="H24" s="17" t="str">
        <f t="shared" si="0"/>
        <v/>
      </c>
      <c r="I24" s="63"/>
      <c r="J24" s="61"/>
      <c r="K24" s="402"/>
      <c r="L24" s="420" t="str">
        <f t="shared" si="1"/>
        <v/>
      </c>
      <c r="M24" s="401" t="str">
        <f t="shared" si="2"/>
        <v/>
      </c>
    </row>
    <row r="25" spans="2:13" x14ac:dyDescent="0.25">
      <c r="B25" s="58"/>
      <c r="C25" s="65"/>
      <c r="D25" s="15"/>
      <c r="E25" s="15"/>
      <c r="F25" s="24"/>
      <c r="G25" s="421"/>
      <c r="H25" s="17" t="str">
        <f t="shared" si="0"/>
        <v/>
      </c>
      <c r="I25" s="63"/>
      <c r="J25" s="61"/>
      <c r="K25" s="402"/>
      <c r="L25" s="420" t="str">
        <f t="shared" si="1"/>
        <v/>
      </c>
      <c r="M25" s="401" t="str">
        <f t="shared" si="2"/>
        <v/>
      </c>
    </row>
    <row r="26" spans="2:13" x14ac:dyDescent="0.25">
      <c r="B26" s="58" t="s">
        <v>217</v>
      </c>
      <c r="C26" s="65" t="s">
        <v>816</v>
      </c>
      <c r="D26" s="15" t="s">
        <v>556</v>
      </c>
      <c r="E26" s="15"/>
      <c r="F26" s="24">
        <v>100000</v>
      </c>
      <c r="G26" s="411">
        <v>1</v>
      </c>
      <c r="H26" s="17">
        <f t="shared" si="0"/>
        <v>100000</v>
      </c>
      <c r="I26" s="63"/>
      <c r="J26" s="61"/>
      <c r="K26" s="399"/>
      <c r="L26" s="420" t="str">
        <f t="shared" si="1"/>
        <v/>
      </c>
      <c r="M26" s="401" t="str">
        <f t="shared" si="2"/>
        <v/>
      </c>
    </row>
    <row r="27" spans="2:13" x14ac:dyDescent="0.25">
      <c r="B27" s="58"/>
      <c r="C27" s="65"/>
      <c r="D27" s="15"/>
      <c r="E27" s="15"/>
      <c r="F27" s="24"/>
      <c r="G27" s="421"/>
      <c r="H27" s="17" t="str">
        <f t="shared" si="0"/>
        <v/>
      </c>
      <c r="I27" s="63"/>
      <c r="J27" s="61"/>
      <c r="K27" s="399"/>
      <c r="L27" s="420" t="str">
        <f t="shared" si="1"/>
        <v/>
      </c>
      <c r="M27" s="401" t="str">
        <f t="shared" si="2"/>
        <v/>
      </c>
    </row>
    <row r="28" spans="2:13" ht="25" x14ac:dyDescent="0.25">
      <c r="B28" s="58" t="s">
        <v>218</v>
      </c>
      <c r="C28" s="65" t="s">
        <v>841</v>
      </c>
      <c r="D28" s="15" t="s">
        <v>26</v>
      </c>
      <c r="E28" s="15"/>
      <c r="F28" s="24">
        <f>F26</f>
        <v>100000</v>
      </c>
      <c r="G28" s="425"/>
      <c r="H28" s="17">
        <f t="shared" si="0"/>
        <v>0</v>
      </c>
      <c r="I28" s="57"/>
      <c r="J28" s="61"/>
      <c r="K28" s="400"/>
      <c r="L28" s="420" t="str">
        <f t="shared" si="1"/>
        <v/>
      </c>
      <c r="M28" s="401" t="str">
        <f t="shared" si="2"/>
        <v/>
      </c>
    </row>
    <row r="29" spans="2:13" x14ac:dyDescent="0.25">
      <c r="B29" s="58"/>
      <c r="C29" s="65"/>
      <c r="D29" s="15"/>
      <c r="E29" s="15"/>
      <c r="F29" s="24"/>
      <c r="G29" s="411"/>
      <c r="H29" s="17" t="str">
        <f t="shared" si="0"/>
        <v/>
      </c>
      <c r="I29" s="18"/>
      <c r="J29" s="61"/>
      <c r="K29" s="399"/>
      <c r="L29" s="420" t="str">
        <f t="shared" si="1"/>
        <v/>
      </c>
      <c r="M29" s="401" t="str">
        <f t="shared" si="2"/>
        <v/>
      </c>
    </row>
    <row r="30" spans="2:13" s="36" customFormat="1" x14ac:dyDescent="0.25">
      <c r="B30" s="58" t="s">
        <v>42</v>
      </c>
      <c r="C30" s="65" t="s">
        <v>819</v>
      </c>
      <c r="D30" s="15"/>
      <c r="E30" s="15"/>
      <c r="F30" s="24"/>
      <c r="G30" s="411"/>
      <c r="H30" s="17" t="str">
        <f t="shared" si="0"/>
        <v/>
      </c>
      <c r="I30" s="18"/>
      <c r="J30" s="61"/>
      <c r="K30" s="399"/>
      <c r="L30" s="420" t="str">
        <f t="shared" si="1"/>
        <v/>
      </c>
      <c r="M30" s="401" t="str">
        <f t="shared" si="2"/>
        <v/>
      </c>
    </row>
    <row r="31" spans="2:13" x14ac:dyDescent="0.25">
      <c r="B31" s="58"/>
      <c r="C31" s="65"/>
      <c r="D31" s="15"/>
      <c r="E31" s="15"/>
      <c r="F31" s="24"/>
      <c r="G31" s="422"/>
      <c r="H31" s="17" t="str">
        <f t="shared" si="0"/>
        <v/>
      </c>
      <c r="I31" s="57"/>
      <c r="J31" s="61"/>
      <c r="K31" s="399"/>
      <c r="L31" s="420" t="str">
        <f t="shared" si="1"/>
        <v/>
      </c>
      <c r="M31" s="401" t="str">
        <f t="shared" si="2"/>
        <v/>
      </c>
    </row>
    <row r="32" spans="2:13" x14ac:dyDescent="0.25">
      <c r="B32" s="58" t="s">
        <v>253</v>
      </c>
      <c r="C32" s="65" t="s">
        <v>816</v>
      </c>
      <c r="D32" s="15" t="s">
        <v>556</v>
      </c>
      <c r="E32" s="15"/>
      <c r="F32" s="24">
        <v>100000</v>
      </c>
      <c r="G32" s="422">
        <v>1</v>
      </c>
      <c r="H32" s="17">
        <f t="shared" si="0"/>
        <v>100000</v>
      </c>
      <c r="I32" s="57"/>
      <c r="J32" s="61"/>
      <c r="K32" s="399"/>
      <c r="L32" s="420" t="str">
        <f t="shared" si="1"/>
        <v/>
      </c>
      <c r="M32" s="401" t="str">
        <f t="shared" si="2"/>
        <v/>
      </c>
    </row>
    <row r="33" spans="2:13" x14ac:dyDescent="0.25">
      <c r="B33" s="58"/>
      <c r="C33" s="65"/>
      <c r="D33" s="15"/>
      <c r="E33" s="15"/>
      <c r="F33" s="24"/>
      <c r="G33" s="411"/>
      <c r="H33" s="17" t="str">
        <f t="shared" si="0"/>
        <v/>
      </c>
      <c r="I33" s="18"/>
      <c r="J33" s="61"/>
      <c r="K33" s="399"/>
      <c r="L33" s="420" t="str">
        <f t="shared" si="1"/>
        <v/>
      </c>
      <c r="M33" s="401" t="str">
        <f t="shared" si="2"/>
        <v/>
      </c>
    </row>
    <row r="34" spans="2:13" ht="25" x14ac:dyDescent="0.25">
      <c r="B34" s="58" t="s">
        <v>254</v>
      </c>
      <c r="C34" s="65" t="s">
        <v>842</v>
      </c>
      <c r="D34" s="15" t="s">
        <v>26</v>
      </c>
      <c r="E34" s="15"/>
      <c r="F34" s="24">
        <f>F32</f>
        <v>100000</v>
      </c>
      <c r="G34" s="709"/>
      <c r="H34" s="17">
        <f t="shared" si="0"/>
        <v>0</v>
      </c>
      <c r="I34" s="18"/>
      <c r="J34" s="61"/>
      <c r="K34" s="400"/>
      <c r="L34" s="420" t="str">
        <f t="shared" si="1"/>
        <v/>
      </c>
      <c r="M34" s="401" t="str">
        <f t="shared" si="2"/>
        <v/>
      </c>
    </row>
    <row r="35" spans="2:13" x14ac:dyDescent="0.25">
      <c r="B35" s="58"/>
      <c r="C35" s="65"/>
      <c r="D35" s="15"/>
      <c r="E35" s="15"/>
      <c r="F35" s="24"/>
      <c r="G35" s="423"/>
      <c r="H35" s="17" t="str">
        <f t="shared" si="0"/>
        <v/>
      </c>
      <c r="I35" s="18"/>
      <c r="J35" s="61"/>
      <c r="K35" s="399"/>
      <c r="L35" s="420" t="str">
        <f t="shared" si="1"/>
        <v/>
      </c>
      <c r="M35" s="401" t="str">
        <f t="shared" si="2"/>
        <v/>
      </c>
    </row>
    <row r="36" spans="2:13" ht="27.75" customHeight="1" x14ac:dyDescent="0.25">
      <c r="B36" s="58" t="s">
        <v>43</v>
      </c>
      <c r="C36" s="65" t="s">
        <v>834</v>
      </c>
      <c r="D36" s="15"/>
      <c r="E36" s="15"/>
      <c r="F36" s="24"/>
      <c r="G36" s="423"/>
      <c r="H36" s="17" t="str">
        <f t="shared" si="0"/>
        <v/>
      </c>
      <c r="I36" s="18"/>
      <c r="J36" s="61"/>
      <c r="K36" s="399"/>
      <c r="L36" s="420" t="str">
        <f t="shared" si="1"/>
        <v/>
      </c>
      <c r="M36" s="401" t="str">
        <f t="shared" si="2"/>
        <v/>
      </c>
    </row>
    <row r="37" spans="2:13" x14ac:dyDescent="0.25">
      <c r="B37" s="58"/>
      <c r="C37" s="65"/>
      <c r="D37" s="15"/>
      <c r="E37" s="15"/>
      <c r="F37" s="15"/>
      <c r="G37" s="411"/>
      <c r="H37" s="17" t="str">
        <f t="shared" si="0"/>
        <v/>
      </c>
      <c r="I37" s="18"/>
      <c r="J37" s="61"/>
      <c r="K37" s="399"/>
      <c r="L37" s="420" t="str">
        <f t="shared" si="1"/>
        <v/>
      </c>
      <c r="M37" s="401" t="str">
        <f t="shared" si="2"/>
        <v/>
      </c>
    </row>
    <row r="38" spans="2:13" x14ac:dyDescent="0.25">
      <c r="B38" s="58" t="s">
        <v>271</v>
      </c>
      <c r="C38" s="65" t="s">
        <v>835</v>
      </c>
      <c r="D38" s="15" t="s">
        <v>556</v>
      </c>
      <c r="E38" s="15"/>
      <c r="F38" s="24">
        <v>25000</v>
      </c>
      <c r="G38" s="411">
        <v>1</v>
      </c>
      <c r="H38" s="17">
        <f t="shared" si="0"/>
        <v>25000</v>
      </c>
      <c r="I38" s="18"/>
      <c r="J38" s="61"/>
      <c r="K38" s="399"/>
      <c r="L38" s="420" t="str">
        <f t="shared" si="1"/>
        <v/>
      </c>
      <c r="M38" s="401" t="str">
        <f t="shared" si="2"/>
        <v/>
      </c>
    </row>
    <row r="39" spans="2:13" x14ac:dyDescent="0.25">
      <c r="B39" s="58"/>
      <c r="C39" s="65"/>
      <c r="D39" s="15"/>
      <c r="E39" s="15"/>
      <c r="F39" s="15"/>
      <c r="G39" s="422"/>
      <c r="H39" s="17" t="str">
        <f t="shared" si="0"/>
        <v/>
      </c>
      <c r="I39" s="18"/>
      <c r="J39" s="61"/>
      <c r="K39" s="399"/>
      <c r="L39" s="420" t="str">
        <f t="shared" si="1"/>
        <v/>
      </c>
      <c r="M39" s="401" t="str">
        <f t="shared" si="2"/>
        <v/>
      </c>
    </row>
    <row r="40" spans="2:13" ht="25" x14ac:dyDescent="0.25">
      <c r="B40" s="58" t="s">
        <v>820</v>
      </c>
      <c r="C40" s="65" t="s">
        <v>843</v>
      </c>
      <c r="D40" s="15" t="s">
        <v>26</v>
      </c>
      <c r="E40" s="15"/>
      <c r="F40" s="24">
        <f>F38</f>
        <v>25000</v>
      </c>
      <c r="G40" s="425"/>
      <c r="H40" s="17">
        <f t="shared" si="0"/>
        <v>0</v>
      </c>
      <c r="I40" s="18"/>
      <c r="J40" s="61"/>
      <c r="K40" s="399"/>
      <c r="L40" s="420" t="str">
        <f t="shared" si="1"/>
        <v/>
      </c>
      <c r="M40" s="401" t="str">
        <f t="shared" si="2"/>
        <v/>
      </c>
    </row>
    <row r="41" spans="2:13" x14ac:dyDescent="0.25">
      <c r="B41" s="58"/>
      <c r="C41" s="65"/>
      <c r="D41" s="15"/>
      <c r="E41" s="15"/>
      <c r="F41" s="24"/>
      <c r="G41" s="422"/>
      <c r="H41" s="17" t="str">
        <f t="shared" si="0"/>
        <v/>
      </c>
      <c r="I41" s="18"/>
      <c r="J41" s="61"/>
      <c r="K41" s="399"/>
      <c r="L41" s="420" t="str">
        <f t="shared" si="1"/>
        <v/>
      </c>
      <c r="M41" s="401" t="str">
        <f t="shared" si="2"/>
        <v/>
      </c>
    </row>
    <row r="42" spans="2:13" ht="13" x14ac:dyDescent="0.25">
      <c r="B42" s="146" t="s">
        <v>2243</v>
      </c>
      <c r="C42" s="672" t="s">
        <v>836</v>
      </c>
      <c r="D42" s="15"/>
      <c r="E42" s="15"/>
      <c r="F42" s="24"/>
      <c r="G42" s="422"/>
      <c r="H42" s="17" t="str">
        <f t="shared" si="0"/>
        <v/>
      </c>
      <c r="I42" s="18"/>
      <c r="J42" s="61"/>
      <c r="K42" s="399"/>
      <c r="L42" s="420" t="str">
        <f t="shared" si="1"/>
        <v/>
      </c>
      <c r="M42" s="401" t="str">
        <f t="shared" si="2"/>
        <v/>
      </c>
    </row>
    <row r="43" spans="2:13" ht="8.15" customHeight="1" x14ac:dyDescent="0.25">
      <c r="B43" s="58"/>
      <c r="C43" s="65"/>
      <c r="D43" s="15"/>
      <c r="E43" s="15"/>
      <c r="F43" s="24"/>
      <c r="G43" s="422"/>
      <c r="H43" s="17" t="str">
        <f t="shared" ref="H43:H61" si="3">IF(D43="","",F43*G43)</f>
        <v/>
      </c>
      <c r="I43" s="18"/>
      <c r="J43" s="61"/>
      <c r="K43" s="399"/>
      <c r="L43" s="420" t="str">
        <f t="shared" si="1"/>
        <v/>
      </c>
      <c r="M43" s="401" t="str">
        <f t="shared" si="2"/>
        <v/>
      </c>
    </row>
    <row r="44" spans="2:13" x14ac:dyDescent="0.25">
      <c r="B44" s="58" t="s">
        <v>39</v>
      </c>
      <c r="C44" s="65" t="s">
        <v>837</v>
      </c>
      <c r="D44" s="15" t="s">
        <v>556</v>
      </c>
      <c r="E44" s="15" t="s">
        <v>996</v>
      </c>
      <c r="F44" s="24">
        <v>100000</v>
      </c>
      <c r="G44" s="422">
        <v>1</v>
      </c>
      <c r="H44" s="17">
        <f t="shared" si="3"/>
        <v>100000</v>
      </c>
      <c r="I44" s="18"/>
      <c r="J44" s="61" t="s">
        <v>996</v>
      </c>
      <c r="K44" s="399">
        <v>1</v>
      </c>
      <c r="L44" s="420">
        <f t="shared" si="1"/>
        <v>100000</v>
      </c>
      <c r="M44" s="401">
        <f t="shared" si="2"/>
        <v>1</v>
      </c>
    </row>
    <row r="45" spans="2:13" x14ac:dyDescent="0.25">
      <c r="B45" s="58"/>
      <c r="C45" s="65"/>
      <c r="D45" s="15"/>
      <c r="E45" s="15"/>
      <c r="F45" s="24"/>
      <c r="G45" s="422"/>
      <c r="H45" s="17" t="str">
        <f t="shared" si="3"/>
        <v/>
      </c>
      <c r="I45" s="18"/>
      <c r="J45" s="61"/>
      <c r="K45" s="399"/>
      <c r="L45" s="420" t="str">
        <f t="shared" si="1"/>
        <v/>
      </c>
      <c r="M45" s="401" t="str">
        <f t="shared" si="2"/>
        <v/>
      </c>
    </row>
    <row r="46" spans="2:13" x14ac:dyDescent="0.25">
      <c r="B46" s="58" t="s">
        <v>41</v>
      </c>
      <c r="C46" s="65" t="s">
        <v>823</v>
      </c>
      <c r="D46" s="15" t="s">
        <v>556</v>
      </c>
      <c r="E46" s="15"/>
      <c r="F46" s="24">
        <v>15000</v>
      </c>
      <c r="G46" s="422">
        <v>1</v>
      </c>
      <c r="H46" s="17">
        <f t="shared" si="3"/>
        <v>15000</v>
      </c>
      <c r="I46" s="18"/>
      <c r="J46" s="61"/>
      <c r="K46" s="402"/>
      <c r="L46" s="420" t="str">
        <f t="shared" si="1"/>
        <v/>
      </c>
      <c r="M46" s="401" t="str">
        <f t="shared" si="2"/>
        <v/>
      </c>
    </row>
    <row r="47" spans="2:13" x14ac:dyDescent="0.25">
      <c r="B47" s="58"/>
      <c r="C47" s="65"/>
      <c r="D47" s="15"/>
      <c r="E47" s="15"/>
      <c r="F47" s="24"/>
      <c r="G47" s="424"/>
      <c r="H47" s="17" t="str">
        <f t="shared" si="3"/>
        <v/>
      </c>
      <c r="I47" s="18"/>
      <c r="J47" s="61"/>
      <c r="K47" s="399"/>
      <c r="L47" s="420" t="str">
        <f t="shared" si="1"/>
        <v/>
      </c>
      <c r="M47" s="401" t="str">
        <f t="shared" si="2"/>
        <v/>
      </c>
    </row>
    <row r="48" spans="2:13" ht="25" x14ac:dyDescent="0.25">
      <c r="B48" s="58" t="s">
        <v>52</v>
      </c>
      <c r="C48" s="65" t="s">
        <v>2244</v>
      </c>
      <c r="D48" s="15" t="s">
        <v>26</v>
      </c>
      <c r="E48" s="15"/>
      <c r="F48" s="24">
        <f>F44+F46</f>
        <v>115000</v>
      </c>
      <c r="G48" s="758"/>
      <c r="H48" s="17">
        <f t="shared" si="3"/>
        <v>0</v>
      </c>
      <c r="I48" s="18"/>
      <c r="J48" s="61"/>
      <c r="K48" s="402"/>
      <c r="L48" s="420" t="str">
        <f t="shared" si="1"/>
        <v/>
      </c>
      <c r="M48" s="401" t="str">
        <f t="shared" si="2"/>
        <v/>
      </c>
    </row>
    <row r="49" spans="2:13" x14ac:dyDescent="0.25">
      <c r="B49" s="58"/>
      <c r="C49" s="65"/>
      <c r="D49" s="15"/>
      <c r="E49" s="15"/>
      <c r="F49" s="24"/>
      <c r="G49" s="422"/>
      <c r="H49" s="17" t="str">
        <f t="shared" si="3"/>
        <v/>
      </c>
      <c r="I49" s="18"/>
      <c r="J49" s="62"/>
      <c r="K49" s="62"/>
      <c r="L49" s="420" t="str">
        <f t="shared" ref="L49" si="4">IF(J49="","",F66*K49)</f>
        <v/>
      </c>
      <c r="M49" s="401" t="str">
        <f t="shared" si="2"/>
        <v/>
      </c>
    </row>
    <row r="50" spans="2:13" x14ac:dyDescent="0.25">
      <c r="B50" s="58" t="s">
        <v>43</v>
      </c>
      <c r="C50" s="65" t="s">
        <v>838</v>
      </c>
      <c r="D50" s="15"/>
      <c r="E50" s="15"/>
      <c r="F50" s="24"/>
      <c r="G50" s="422"/>
      <c r="H50" s="17" t="str">
        <f t="shared" si="3"/>
        <v/>
      </c>
      <c r="I50" s="18"/>
      <c r="J50" s="62"/>
      <c r="K50" s="62"/>
      <c r="L50" s="420" t="str">
        <f>IF(J50="","",#REF!*K50)</f>
        <v/>
      </c>
      <c r="M50" s="401" t="str">
        <f t="shared" si="2"/>
        <v/>
      </c>
    </row>
    <row r="51" spans="2:13" x14ac:dyDescent="0.25">
      <c r="B51" s="58"/>
      <c r="C51" s="65"/>
      <c r="D51" s="15"/>
      <c r="E51" s="15"/>
      <c r="F51" s="24"/>
      <c r="G51" s="422"/>
      <c r="H51" s="17" t="str">
        <f t="shared" si="3"/>
        <v/>
      </c>
      <c r="I51" s="18"/>
      <c r="J51" s="62"/>
      <c r="K51" s="62"/>
      <c r="L51" s="420" t="str">
        <f>IF(J51="","",#REF!*K51)</f>
        <v/>
      </c>
      <c r="M51" s="401" t="str">
        <f t="shared" si="2"/>
        <v/>
      </c>
    </row>
    <row r="52" spans="2:13" x14ac:dyDescent="0.25">
      <c r="B52" s="58" t="s">
        <v>271</v>
      </c>
      <c r="C52" s="65" t="s">
        <v>839</v>
      </c>
      <c r="D52" s="15" t="s">
        <v>556</v>
      </c>
      <c r="E52" s="15"/>
      <c r="F52" s="24">
        <v>200000</v>
      </c>
      <c r="G52" s="422">
        <v>1</v>
      </c>
      <c r="H52" s="17">
        <f t="shared" si="3"/>
        <v>200000</v>
      </c>
      <c r="I52" s="18"/>
      <c r="J52" s="62"/>
      <c r="K52" s="62"/>
      <c r="L52" s="420" t="str">
        <f t="shared" ref="L52:L66" si="5">IF(J52="","",F67*K52)</f>
        <v/>
      </c>
      <c r="M52" s="401" t="str">
        <f t="shared" si="2"/>
        <v/>
      </c>
    </row>
    <row r="53" spans="2:13" x14ac:dyDescent="0.25">
      <c r="B53" s="58"/>
      <c r="C53" s="65"/>
      <c r="D53" s="15"/>
      <c r="E53" s="15"/>
      <c r="F53" s="24"/>
      <c r="G53" s="422"/>
      <c r="H53" s="17" t="str">
        <f t="shared" si="3"/>
        <v/>
      </c>
      <c r="I53" s="18"/>
      <c r="J53" s="62"/>
      <c r="K53" s="62"/>
      <c r="L53" s="420" t="str">
        <f t="shared" si="5"/>
        <v/>
      </c>
      <c r="M53" s="401" t="str">
        <f t="shared" si="2"/>
        <v/>
      </c>
    </row>
    <row r="54" spans="2:13" ht="25" x14ac:dyDescent="0.25">
      <c r="B54" s="58" t="s">
        <v>820</v>
      </c>
      <c r="C54" s="65" t="s">
        <v>2246</v>
      </c>
      <c r="D54" s="15" t="s">
        <v>26</v>
      </c>
      <c r="E54" s="15"/>
      <c r="F54" s="24">
        <f>F52</f>
        <v>200000</v>
      </c>
      <c r="G54" s="425"/>
      <c r="H54" s="17">
        <f t="shared" si="3"/>
        <v>0</v>
      </c>
      <c r="I54" s="18"/>
      <c r="J54" s="62"/>
      <c r="K54" s="62"/>
      <c r="L54" s="420" t="str">
        <f t="shared" si="5"/>
        <v/>
      </c>
      <c r="M54" s="401" t="str">
        <f t="shared" si="2"/>
        <v/>
      </c>
    </row>
    <row r="55" spans="2:13" x14ac:dyDescent="0.25">
      <c r="B55" s="58"/>
      <c r="C55" s="65"/>
      <c r="D55" s="61"/>
      <c r="E55" s="61"/>
      <c r="F55" s="24"/>
      <c r="G55" s="422"/>
      <c r="H55" s="17" t="str">
        <f t="shared" si="3"/>
        <v/>
      </c>
      <c r="I55" s="63"/>
      <c r="J55" s="62"/>
      <c r="K55" s="62"/>
      <c r="L55" s="420" t="str">
        <f t="shared" si="5"/>
        <v/>
      </c>
      <c r="M55" s="401" t="str">
        <f t="shared" si="2"/>
        <v/>
      </c>
    </row>
    <row r="56" spans="2:13" ht="25" x14ac:dyDescent="0.25">
      <c r="B56" s="58" t="s">
        <v>44</v>
      </c>
      <c r="C56" s="65" t="s">
        <v>824</v>
      </c>
      <c r="D56" s="15"/>
      <c r="E56" s="15"/>
      <c r="F56" s="24"/>
      <c r="G56" s="422"/>
      <c r="H56" s="17" t="str">
        <f t="shared" si="3"/>
        <v/>
      </c>
      <c r="I56" s="18"/>
      <c r="J56" s="62"/>
      <c r="K56" s="62"/>
      <c r="L56" s="420" t="str">
        <f t="shared" si="5"/>
        <v/>
      </c>
      <c r="M56" s="401" t="str">
        <f t="shared" si="2"/>
        <v/>
      </c>
    </row>
    <row r="57" spans="2:13" x14ac:dyDescent="0.25">
      <c r="B57" s="58"/>
      <c r="C57" s="65"/>
      <c r="D57" s="15"/>
      <c r="E57" s="15"/>
      <c r="F57" s="24"/>
      <c r="G57" s="422"/>
      <c r="H57" s="17" t="str">
        <f t="shared" si="3"/>
        <v/>
      </c>
      <c r="I57" s="69"/>
      <c r="J57" s="62"/>
      <c r="K57" s="62"/>
      <c r="L57" s="420" t="str">
        <f t="shared" si="5"/>
        <v/>
      </c>
      <c r="M57" s="401" t="str">
        <f t="shared" si="2"/>
        <v/>
      </c>
    </row>
    <row r="58" spans="2:13" x14ac:dyDescent="0.25">
      <c r="B58" s="58" t="s">
        <v>821</v>
      </c>
      <c r="C58" s="65" t="s">
        <v>840</v>
      </c>
      <c r="D58" s="15" t="s">
        <v>783</v>
      </c>
      <c r="E58" s="15"/>
      <c r="F58" s="24">
        <v>150</v>
      </c>
      <c r="G58" s="422"/>
      <c r="H58" s="17">
        <f t="shared" si="3"/>
        <v>0</v>
      </c>
      <c r="I58" s="63"/>
      <c r="J58" s="62"/>
      <c r="K58" s="62"/>
      <c r="L58" s="420" t="str">
        <f t="shared" si="5"/>
        <v/>
      </c>
      <c r="M58" s="401" t="str">
        <f t="shared" si="2"/>
        <v/>
      </c>
    </row>
    <row r="59" spans="2:13" x14ac:dyDescent="0.25">
      <c r="B59" s="58"/>
      <c r="C59" s="65"/>
      <c r="D59" s="15"/>
      <c r="E59" s="15"/>
      <c r="F59" s="24"/>
      <c r="G59" s="422"/>
      <c r="H59" s="17" t="str">
        <f t="shared" si="3"/>
        <v/>
      </c>
      <c r="I59" s="18"/>
      <c r="J59" s="62"/>
      <c r="K59" s="62"/>
      <c r="L59" s="420" t="str">
        <f t="shared" si="5"/>
        <v/>
      </c>
      <c r="M59" s="401" t="str">
        <f t="shared" si="2"/>
        <v/>
      </c>
    </row>
    <row r="60" spans="2:13" x14ac:dyDescent="0.25">
      <c r="B60" s="58" t="s">
        <v>822</v>
      </c>
      <c r="C60" s="65" t="s">
        <v>825</v>
      </c>
      <c r="D60" s="15" t="s">
        <v>783</v>
      </c>
      <c r="E60" s="15"/>
      <c r="F60" s="24">
        <v>180</v>
      </c>
      <c r="G60" s="422"/>
      <c r="H60" s="17">
        <f t="shared" si="3"/>
        <v>0</v>
      </c>
      <c r="I60" s="18"/>
      <c r="J60" s="62"/>
      <c r="K60" s="62"/>
      <c r="L60" s="420" t="str">
        <f t="shared" si="5"/>
        <v/>
      </c>
      <c r="M60" s="401" t="str">
        <f t="shared" si="2"/>
        <v/>
      </c>
    </row>
    <row r="61" spans="2:13" x14ac:dyDescent="0.25">
      <c r="B61" s="58"/>
      <c r="C61" s="65"/>
      <c r="D61" s="15"/>
      <c r="E61" s="15"/>
      <c r="F61" s="24"/>
      <c r="G61" s="422"/>
      <c r="H61" s="17" t="str">
        <f t="shared" si="3"/>
        <v/>
      </c>
      <c r="I61" s="18"/>
      <c r="J61" s="62"/>
      <c r="K61" s="62"/>
      <c r="L61" s="420" t="str">
        <f t="shared" si="5"/>
        <v/>
      </c>
      <c r="M61" s="401" t="str">
        <f t="shared" si="2"/>
        <v/>
      </c>
    </row>
    <row r="62" spans="2:13" x14ac:dyDescent="0.25">
      <c r="B62" s="58" t="s">
        <v>45</v>
      </c>
      <c r="C62" s="65" t="s">
        <v>1706</v>
      </c>
      <c r="D62" s="15"/>
      <c r="E62" s="15"/>
      <c r="F62" s="24"/>
      <c r="G62" s="422"/>
      <c r="H62" s="17"/>
      <c r="I62" s="18"/>
      <c r="J62" s="62"/>
      <c r="K62" s="62"/>
      <c r="L62" s="420" t="str">
        <f t="shared" si="5"/>
        <v/>
      </c>
      <c r="M62" s="401" t="str">
        <f t="shared" si="2"/>
        <v/>
      </c>
    </row>
    <row r="63" spans="2:13" x14ac:dyDescent="0.25">
      <c r="B63" s="58"/>
      <c r="C63" s="65"/>
      <c r="D63" s="15"/>
      <c r="E63" s="15"/>
      <c r="F63" s="24"/>
      <c r="G63" s="422"/>
      <c r="H63" s="17"/>
      <c r="I63" s="18"/>
      <c r="J63" s="62"/>
      <c r="K63" s="62"/>
      <c r="L63" s="420" t="str">
        <f t="shared" si="5"/>
        <v/>
      </c>
      <c r="M63" s="401" t="str">
        <f t="shared" si="2"/>
        <v/>
      </c>
    </row>
    <row r="64" spans="2:13" x14ac:dyDescent="0.25">
      <c r="B64" s="58" t="s">
        <v>1707</v>
      </c>
      <c r="C64" s="65" t="s">
        <v>1708</v>
      </c>
      <c r="D64" s="15" t="s">
        <v>557</v>
      </c>
      <c r="E64" s="15"/>
      <c r="F64" s="24">
        <v>50000</v>
      </c>
      <c r="G64" s="422">
        <v>1</v>
      </c>
      <c r="H64" s="17">
        <f t="shared" ref="H64" si="6">IF(D64="","",F64*G64)</f>
        <v>50000</v>
      </c>
      <c r="I64" s="18"/>
      <c r="J64" s="62"/>
      <c r="K64" s="62"/>
      <c r="L64" s="420" t="str">
        <f t="shared" si="5"/>
        <v/>
      </c>
      <c r="M64" s="401" t="str">
        <f t="shared" si="2"/>
        <v/>
      </c>
    </row>
    <row r="65" spans="2:13" x14ac:dyDescent="0.25">
      <c r="B65" s="58"/>
      <c r="C65" s="65"/>
      <c r="D65" s="15"/>
      <c r="E65" s="15"/>
      <c r="F65" s="24"/>
      <c r="G65" s="422"/>
      <c r="H65" s="17"/>
      <c r="I65" s="18"/>
      <c r="J65" s="62"/>
      <c r="K65" s="62"/>
      <c r="L65" s="420" t="str">
        <f t="shared" si="5"/>
        <v/>
      </c>
      <c r="M65" s="401" t="str">
        <f t="shared" si="2"/>
        <v/>
      </c>
    </row>
    <row r="66" spans="2:13" ht="25" x14ac:dyDescent="0.25">
      <c r="B66" s="58" t="s">
        <v>1709</v>
      </c>
      <c r="C66" s="65" t="s">
        <v>2247</v>
      </c>
      <c r="D66" s="15" t="s">
        <v>26</v>
      </c>
      <c r="E66" s="15"/>
      <c r="F66" s="24">
        <f>F64</f>
        <v>50000</v>
      </c>
      <c r="G66" s="425"/>
      <c r="H66" s="17">
        <f t="shared" ref="H66" si="7">IF(D66="","",F66*G66)</f>
        <v>0</v>
      </c>
      <c r="I66" s="18"/>
      <c r="J66" s="61"/>
      <c r="K66" s="62"/>
      <c r="L66" s="420" t="str">
        <f t="shared" si="5"/>
        <v/>
      </c>
      <c r="M66" s="401" t="str">
        <f t="shared" si="2"/>
        <v/>
      </c>
    </row>
    <row r="67" spans="2:13" ht="8.25" customHeight="1" x14ac:dyDescent="0.25">
      <c r="B67" s="58"/>
      <c r="C67" s="65"/>
      <c r="D67" s="15"/>
      <c r="E67" s="15"/>
      <c r="F67" s="15"/>
      <c r="G67" s="422"/>
      <c r="H67" s="17" t="str">
        <f>IF(D67="","",F67*G67)</f>
        <v/>
      </c>
      <c r="I67" s="18"/>
      <c r="J67" s="61"/>
      <c r="K67" s="696"/>
      <c r="L67" s="420" t="str">
        <f>IF(J67="","",F78*K67)</f>
        <v/>
      </c>
      <c r="M67" s="401" t="str">
        <f t="shared" si="2"/>
        <v/>
      </c>
    </row>
    <row r="68" spans="2:13" s="28" customFormat="1" ht="19.5" customHeight="1" x14ac:dyDescent="0.25">
      <c r="B68" s="135" t="str">
        <f>$B$12</f>
        <v>E</v>
      </c>
      <c r="C68" s="642" t="str">
        <f>"TOTAL CARRIED FORWARD"&amp;IF(H68=H$1," TO SUMMARY (Page C"&amp;Page_F&amp;")","")</f>
        <v>TOTAL CARRIED FORWARD TO SUMMARY (Page C67)</v>
      </c>
      <c r="D68" s="643"/>
      <c r="E68" s="643"/>
      <c r="F68" s="643"/>
      <c r="G68" s="854"/>
      <c r="H68" s="33">
        <f>SUM(H11:H67)</f>
        <v>690000</v>
      </c>
      <c r="I68" s="34"/>
      <c r="J68" s="408"/>
      <c r="K68" s="406"/>
      <c r="L68" s="418">
        <f>SUM(L11:L67)</f>
        <v>100000</v>
      </c>
      <c r="M68" s="407" t="str">
        <f t="shared" si="2"/>
        <v/>
      </c>
    </row>
  </sheetData>
  <mergeCells count="4">
    <mergeCell ref="F3:H3"/>
    <mergeCell ref="B6:G6"/>
    <mergeCell ref="H6:H9"/>
    <mergeCell ref="B7:G9"/>
  </mergeCells>
  <conditionalFormatting sqref="G11:H68">
    <cfRule type="expression" dxfId="40" priority="1">
      <formula>AND(_Show_Price=FALSE,$D11&lt;&gt;"Prime Cost",$D11&lt;&gt;"PC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7">
    <tabColor rgb="FFFF0000"/>
    <pageSetUpPr fitToPage="1"/>
  </sheetPr>
  <dimension ref="B2:U56"/>
  <sheetViews>
    <sheetView view="pageBreakPreview" zoomScale="60" zoomScaleNormal="70" workbookViewId="0">
      <selection activeCell="F808" sqref="F808"/>
    </sheetView>
  </sheetViews>
  <sheetFormatPr defaultColWidth="9.1796875" defaultRowHeight="14.5" x14ac:dyDescent="0.25"/>
  <cols>
    <col min="1" max="1" width="1.26953125" style="260" customWidth="1"/>
    <col min="2" max="2" width="3.81640625" style="258" customWidth="1"/>
    <col min="3" max="3" width="41.453125" style="260" customWidth="1"/>
    <col min="4" max="4" width="34.81640625" style="260" bestFit="1" customWidth="1"/>
    <col min="5" max="8" width="15.453125" style="260" customWidth="1"/>
    <col min="9" max="9" width="19.54296875" style="260" customWidth="1"/>
    <col min="10" max="10" width="17" style="260" customWidth="1"/>
    <col min="11" max="12" width="12.7265625" style="260" customWidth="1"/>
    <col min="13" max="13" width="15.453125" style="260" customWidth="1"/>
    <col min="14" max="14" width="17" style="260" customWidth="1"/>
    <col min="15" max="15" width="2.7265625" style="260" customWidth="1"/>
    <col min="16" max="19" width="14.26953125" style="260" bestFit="1" customWidth="1"/>
    <col min="20" max="21" width="15.7265625" style="260" bestFit="1" customWidth="1"/>
    <col min="22" max="16384" width="9.1796875" style="260"/>
  </cols>
  <sheetData>
    <row r="2" spans="2:21" ht="37.9" customHeight="1" x14ac:dyDescent="0.25">
      <c r="C2" s="259" t="s">
        <v>1002</v>
      </c>
    </row>
    <row r="3" spans="2:21" ht="18.5" hidden="1" x14ac:dyDescent="0.25">
      <c r="B3" s="261"/>
      <c r="C3" s="262" t="s">
        <v>1003</v>
      </c>
      <c r="D3" s="262"/>
      <c r="E3" s="262"/>
      <c r="F3" s="262"/>
      <c r="G3" s="262"/>
      <c r="H3" s="262"/>
      <c r="I3" s="262"/>
      <c r="J3" s="262"/>
      <c r="K3" s="262"/>
      <c r="L3" s="262"/>
      <c r="M3" s="262"/>
      <c r="N3" s="262"/>
    </row>
    <row r="4" spans="2:21" ht="18.5" hidden="1" x14ac:dyDescent="0.25">
      <c r="B4" s="261"/>
      <c r="C4" s="262" t="s">
        <v>1004</v>
      </c>
      <c r="D4" s="262"/>
      <c r="E4" s="262"/>
      <c r="F4" s="262"/>
      <c r="G4" s="262"/>
      <c r="H4" s="262"/>
      <c r="I4" s="262"/>
      <c r="J4" s="262"/>
      <c r="K4" s="262"/>
      <c r="L4" s="262"/>
      <c r="M4" s="262"/>
      <c r="N4" s="262"/>
    </row>
    <row r="5" spans="2:21" ht="18.5" hidden="1" x14ac:dyDescent="0.25">
      <c r="B5" s="261"/>
      <c r="C5" s="262"/>
      <c r="D5" s="262"/>
      <c r="E5" s="262"/>
      <c r="F5" s="262"/>
      <c r="G5" s="262"/>
      <c r="H5" s="262"/>
      <c r="I5" s="262"/>
      <c r="J5" s="262"/>
      <c r="K5" s="262"/>
      <c r="L5" s="262"/>
      <c r="M5" s="262"/>
      <c r="N5" s="262"/>
    </row>
    <row r="6" spans="2:21" ht="18.5" hidden="1" x14ac:dyDescent="0.25">
      <c r="B6" s="261"/>
      <c r="C6" s="262" t="s">
        <v>1005</v>
      </c>
      <c r="D6" s="262"/>
      <c r="E6" s="262"/>
      <c r="F6" s="262"/>
      <c r="G6" s="262"/>
      <c r="H6" s="262"/>
      <c r="I6" s="262"/>
      <c r="J6" s="262"/>
      <c r="K6" s="262"/>
      <c r="L6" s="262"/>
      <c r="M6" s="262"/>
      <c r="N6" s="262"/>
    </row>
    <row r="7" spans="2:21" ht="18.5" hidden="1" x14ac:dyDescent="0.25">
      <c r="B7" s="261"/>
      <c r="C7" s="263"/>
      <c r="D7" s="262"/>
      <c r="E7" s="262"/>
      <c r="F7" s="262"/>
      <c r="G7" s="262"/>
      <c r="H7" s="262"/>
      <c r="I7" s="262"/>
      <c r="J7" s="262"/>
      <c r="K7" s="262"/>
      <c r="L7" s="262"/>
      <c r="M7" s="262"/>
      <c r="N7" s="262"/>
    </row>
    <row r="8" spans="2:21" ht="18.5" hidden="1" x14ac:dyDescent="0.25">
      <c r="B8" s="261"/>
      <c r="C8" s="262"/>
      <c r="D8" s="262"/>
      <c r="E8" s="262"/>
      <c r="F8" s="262"/>
      <c r="G8" s="262"/>
      <c r="H8" s="262"/>
      <c r="I8" s="262"/>
      <c r="J8" s="262"/>
      <c r="K8" s="262"/>
      <c r="L8" s="262"/>
      <c r="M8" s="262"/>
      <c r="N8" s="262"/>
    </row>
    <row r="9" spans="2:21" ht="18.5" hidden="1" x14ac:dyDescent="0.25">
      <c r="B9" s="261"/>
      <c r="C9" s="262" t="s">
        <v>1006</v>
      </c>
      <c r="D9" s="262"/>
      <c r="E9" s="262"/>
      <c r="F9" s="262"/>
      <c r="G9" s="262"/>
      <c r="H9" s="262"/>
      <c r="I9" s="262"/>
      <c r="J9" s="262"/>
      <c r="K9" s="262"/>
      <c r="L9" s="262"/>
      <c r="M9" s="262"/>
      <c r="N9" s="262"/>
    </row>
    <row r="10" spans="2:21" ht="18.5" hidden="1" x14ac:dyDescent="0.25">
      <c r="B10" s="261"/>
      <c r="C10" s="264" t="s">
        <v>1007</v>
      </c>
      <c r="D10" s="265">
        <v>358.29</v>
      </c>
      <c r="E10" s="262"/>
      <c r="F10" s="262"/>
      <c r="G10" s="262"/>
      <c r="H10" s="262"/>
      <c r="I10" s="262"/>
      <c r="J10" s="262"/>
      <c r="K10" s="262"/>
      <c r="L10" s="262"/>
      <c r="M10" s="262"/>
      <c r="N10" s="262"/>
    </row>
    <row r="11" spans="2:21" ht="18.5" hidden="1" x14ac:dyDescent="0.25">
      <c r="B11" s="261"/>
      <c r="C11" s="262"/>
      <c r="D11" s="262"/>
      <c r="E11" s="262"/>
      <c r="F11" s="262"/>
      <c r="G11" s="262"/>
      <c r="H11" s="262"/>
      <c r="I11" s="262"/>
      <c r="J11" s="262"/>
      <c r="K11" s="262"/>
      <c r="L11" s="262"/>
      <c r="M11" s="262"/>
      <c r="N11" s="262"/>
    </row>
    <row r="12" spans="2:21" ht="18.5" hidden="1" x14ac:dyDescent="0.25">
      <c r="B12" s="261"/>
      <c r="C12" s="262" t="s">
        <v>1008</v>
      </c>
      <c r="D12" s="262" t="s">
        <v>1009</v>
      </c>
      <c r="E12" s="262"/>
      <c r="F12" s="262"/>
      <c r="G12" s="262"/>
      <c r="H12" s="262"/>
      <c r="I12" s="262"/>
      <c r="J12" s="262"/>
      <c r="K12" s="262"/>
      <c r="L12" s="262"/>
      <c r="M12" s="262"/>
      <c r="N12" s="262"/>
    </row>
    <row r="13" spans="2:21" ht="18.5" hidden="1" x14ac:dyDescent="0.25">
      <c r="B13" s="261"/>
      <c r="C13" s="262" t="s">
        <v>1010</v>
      </c>
      <c r="D13" s="262"/>
      <c r="E13" s="262"/>
      <c r="F13" s="262"/>
      <c r="G13" s="262"/>
      <c r="H13" s="262"/>
      <c r="I13" s="262"/>
      <c r="J13" s="262"/>
      <c r="K13" s="262"/>
      <c r="L13" s="262"/>
      <c r="M13" s="262"/>
      <c r="N13" s="262"/>
    </row>
    <row r="14" spans="2:21" ht="18.5" hidden="1" x14ac:dyDescent="0.25">
      <c r="B14" s="261"/>
      <c r="C14" s="262" t="s">
        <v>1011</v>
      </c>
      <c r="D14" s="262"/>
      <c r="E14" s="262"/>
      <c r="F14" s="262"/>
      <c r="G14" s="262"/>
      <c r="H14" s="262"/>
      <c r="I14" s="262"/>
      <c r="J14" s="266">
        <v>21</v>
      </c>
      <c r="K14" s="262"/>
      <c r="M14" s="262"/>
      <c r="N14" s="262"/>
    </row>
    <row r="15" spans="2:21" ht="18.5" hidden="1" x14ac:dyDescent="0.25">
      <c r="B15" s="261"/>
      <c r="C15" s="266" t="s">
        <v>1012</v>
      </c>
      <c r="D15" s="266">
        <v>1</v>
      </c>
      <c r="E15" s="266">
        <v>2</v>
      </c>
      <c r="F15" s="266">
        <v>3</v>
      </c>
      <c r="G15" s="266">
        <v>4</v>
      </c>
      <c r="H15" s="266">
        <v>5</v>
      </c>
      <c r="I15" s="266">
        <v>6</v>
      </c>
      <c r="J15" s="266">
        <v>7</v>
      </c>
      <c r="K15" s="266">
        <v>8</v>
      </c>
      <c r="L15" s="266">
        <v>9</v>
      </c>
      <c r="M15" s="266">
        <v>10</v>
      </c>
      <c r="N15" s="266">
        <v>11</v>
      </c>
      <c r="O15" s="266">
        <v>12</v>
      </c>
      <c r="P15" s="266">
        <v>13</v>
      </c>
      <c r="Q15" s="266">
        <v>14</v>
      </c>
      <c r="R15" s="266">
        <v>15</v>
      </c>
      <c r="S15" s="266">
        <v>16</v>
      </c>
      <c r="T15" s="266">
        <v>17</v>
      </c>
      <c r="U15" s="266">
        <v>18</v>
      </c>
    </row>
    <row r="16" spans="2:21" ht="18.5" hidden="1" x14ac:dyDescent="0.25">
      <c r="B16" s="261"/>
      <c r="C16" s="266" t="s">
        <v>1013</v>
      </c>
      <c r="D16" s="266">
        <f>SUM(C16)+$J$14</f>
        <v>21</v>
      </c>
      <c r="E16" s="266">
        <f t="shared" ref="E16:U16" si="0">SUM(D16)+$J$14</f>
        <v>42</v>
      </c>
      <c r="F16" s="266">
        <f t="shared" si="0"/>
        <v>63</v>
      </c>
      <c r="G16" s="266">
        <f t="shared" si="0"/>
        <v>84</v>
      </c>
      <c r="H16" s="266">
        <f t="shared" si="0"/>
        <v>105</v>
      </c>
      <c r="I16" s="266">
        <f t="shared" si="0"/>
        <v>126</v>
      </c>
      <c r="J16" s="266">
        <f t="shared" si="0"/>
        <v>147</v>
      </c>
      <c r="K16" s="266">
        <f t="shared" si="0"/>
        <v>168</v>
      </c>
      <c r="L16" s="266">
        <f t="shared" si="0"/>
        <v>189</v>
      </c>
      <c r="M16" s="266">
        <f t="shared" si="0"/>
        <v>210</v>
      </c>
      <c r="N16" s="266">
        <f t="shared" si="0"/>
        <v>231</v>
      </c>
      <c r="O16" s="266">
        <f t="shared" si="0"/>
        <v>252</v>
      </c>
      <c r="P16" s="266">
        <f t="shared" si="0"/>
        <v>273</v>
      </c>
      <c r="Q16" s="266">
        <f t="shared" si="0"/>
        <v>294</v>
      </c>
      <c r="R16" s="266">
        <f t="shared" si="0"/>
        <v>315</v>
      </c>
      <c r="S16" s="266">
        <f t="shared" si="0"/>
        <v>336</v>
      </c>
      <c r="T16" s="266">
        <f t="shared" si="0"/>
        <v>357</v>
      </c>
      <c r="U16" s="266">
        <f t="shared" si="0"/>
        <v>378</v>
      </c>
    </row>
    <row r="17" spans="2:21" ht="18.5" hidden="1" x14ac:dyDescent="0.25">
      <c r="B17" s="261"/>
      <c r="C17" s="262"/>
      <c r="D17" s="262"/>
      <c r="E17" s="262"/>
      <c r="F17" s="262"/>
      <c r="G17" s="262"/>
      <c r="H17" s="262"/>
      <c r="I17" s="262"/>
      <c r="J17" s="262"/>
      <c r="K17" s="262"/>
      <c r="L17" s="262"/>
      <c r="M17" s="262"/>
      <c r="N17" s="262"/>
    </row>
    <row r="18" spans="2:21" ht="18.5" hidden="1" x14ac:dyDescent="0.25">
      <c r="B18" s="261"/>
      <c r="C18" s="262" t="s">
        <v>1014</v>
      </c>
      <c r="D18" s="262"/>
      <c r="E18" s="262"/>
      <c r="F18" s="262"/>
      <c r="G18" s="262"/>
      <c r="H18" s="262"/>
      <c r="I18" s="262"/>
      <c r="J18" s="262"/>
      <c r="K18" s="262"/>
      <c r="L18" s="262"/>
      <c r="M18" s="262"/>
      <c r="N18" s="262"/>
    </row>
    <row r="19" spans="2:21" ht="18.5" hidden="1" x14ac:dyDescent="0.25">
      <c r="B19" s="261"/>
      <c r="C19" s="262" t="s">
        <v>1015</v>
      </c>
      <c r="D19" s="262"/>
      <c r="E19" s="262"/>
      <c r="F19" s="262"/>
      <c r="G19" s="262"/>
      <c r="H19" s="262"/>
      <c r="I19" s="262"/>
      <c r="J19" s="262"/>
      <c r="K19" s="262"/>
      <c r="L19" s="262"/>
      <c r="M19" s="262"/>
      <c r="N19" s="262"/>
    </row>
    <row r="20" spans="2:21" ht="18.5" hidden="1" x14ac:dyDescent="0.25">
      <c r="B20" s="261"/>
      <c r="C20" s="262" t="s">
        <v>1016</v>
      </c>
      <c r="D20" s="262"/>
      <c r="E20" s="262"/>
      <c r="F20" s="262"/>
      <c r="G20" s="262"/>
      <c r="H20" s="262"/>
      <c r="I20" s="262"/>
      <c r="J20" s="262"/>
      <c r="K20" s="262"/>
      <c r="L20" s="262"/>
      <c r="M20" s="262"/>
      <c r="N20" s="262"/>
    </row>
    <row r="21" spans="2:21" ht="18.5" hidden="1" x14ac:dyDescent="0.25">
      <c r="B21" s="261"/>
      <c r="C21" s="262"/>
      <c r="D21" s="262"/>
      <c r="E21" s="262"/>
      <c r="F21" s="262"/>
      <c r="G21" s="262"/>
      <c r="H21" s="262"/>
      <c r="I21" s="262"/>
      <c r="J21" s="262"/>
      <c r="K21" s="262"/>
      <c r="L21" s="262"/>
      <c r="M21" s="262"/>
      <c r="N21" s="262"/>
    </row>
    <row r="22" spans="2:21" ht="18.5" hidden="1" x14ac:dyDescent="0.25">
      <c r="B22" s="261"/>
      <c r="C22" s="267" t="s">
        <v>1017</v>
      </c>
      <c r="D22" s="267"/>
      <c r="E22" s="267"/>
      <c r="F22" s="267"/>
      <c r="G22" s="267"/>
      <c r="H22" s="262"/>
      <c r="I22" s="262"/>
      <c r="J22" s="262"/>
      <c r="K22" s="262"/>
      <c r="L22" s="262"/>
      <c r="M22" s="262"/>
      <c r="N22" s="262"/>
    </row>
    <row r="23" spans="2:21" ht="18.5" hidden="1" x14ac:dyDescent="0.25">
      <c r="B23" s="261"/>
      <c r="C23" s="268" t="s">
        <v>1018</v>
      </c>
      <c r="D23" s="269">
        <f>D10</f>
        <v>358.29</v>
      </c>
      <c r="E23" s="267"/>
      <c r="F23" s="267"/>
      <c r="G23" s="267"/>
      <c r="H23" s="262"/>
      <c r="I23" s="262"/>
      <c r="J23" s="262"/>
      <c r="K23" s="262"/>
      <c r="L23" s="262"/>
      <c r="M23" s="262"/>
      <c r="N23" s="262"/>
    </row>
    <row r="24" spans="2:21" ht="18.5" hidden="1" x14ac:dyDescent="0.25">
      <c r="B24" s="261"/>
      <c r="C24" s="270" t="s">
        <v>1019</v>
      </c>
      <c r="D24" s="270">
        <v>1</v>
      </c>
      <c r="E24" s="270">
        <v>2</v>
      </c>
      <c r="F24" s="270">
        <v>3</v>
      </c>
      <c r="G24" s="270">
        <v>4</v>
      </c>
      <c r="H24" s="266">
        <v>5</v>
      </c>
      <c r="I24" s="266">
        <v>6</v>
      </c>
      <c r="J24" s="266">
        <v>7</v>
      </c>
      <c r="K24" s="266">
        <v>8</v>
      </c>
      <c r="L24" s="266">
        <v>9</v>
      </c>
      <c r="M24" s="266">
        <v>10</v>
      </c>
      <c r="N24" s="266">
        <v>11</v>
      </c>
      <c r="O24" s="266">
        <v>12</v>
      </c>
      <c r="P24" s="266">
        <v>13</v>
      </c>
      <c r="Q24" s="266">
        <v>14</v>
      </c>
      <c r="R24" s="266">
        <v>15</v>
      </c>
      <c r="S24" s="266">
        <v>16</v>
      </c>
      <c r="T24" s="266">
        <v>17</v>
      </c>
      <c r="U24" s="266">
        <v>18</v>
      </c>
    </row>
    <row r="25" spans="2:21" ht="18.5" hidden="1" x14ac:dyDescent="0.25">
      <c r="B25" s="261"/>
      <c r="C25" s="270" t="s">
        <v>1020</v>
      </c>
      <c r="D25" s="266">
        <f>SUM(C25)+$J$14</f>
        <v>21</v>
      </c>
      <c r="E25" s="266">
        <f t="shared" ref="E25:U25" si="1">SUM(D25)+$J$14</f>
        <v>42</v>
      </c>
      <c r="F25" s="271">
        <f>E25</f>
        <v>42</v>
      </c>
      <c r="G25" s="266">
        <f t="shared" si="1"/>
        <v>63</v>
      </c>
      <c r="H25" s="266">
        <f t="shared" si="1"/>
        <v>84</v>
      </c>
      <c r="I25" s="266">
        <f t="shared" si="1"/>
        <v>105</v>
      </c>
      <c r="J25" s="266">
        <f t="shared" si="1"/>
        <v>126</v>
      </c>
      <c r="K25" s="266">
        <f t="shared" si="1"/>
        <v>147</v>
      </c>
      <c r="L25" s="266">
        <f t="shared" si="1"/>
        <v>168</v>
      </c>
      <c r="M25" s="266">
        <f t="shared" si="1"/>
        <v>189</v>
      </c>
      <c r="N25" s="266">
        <f t="shared" si="1"/>
        <v>210</v>
      </c>
      <c r="O25" s="266">
        <f t="shared" si="1"/>
        <v>231</v>
      </c>
      <c r="P25" s="266">
        <f t="shared" si="1"/>
        <v>252</v>
      </c>
      <c r="Q25" s="271">
        <f>P25</f>
        <v>252</v>
      </c>
      <c r="R25" s="266">
        <f t="shared" si="1"/>
        <v>273</v>
      </c>
      <c r="S25" s="266">
        <f t="shared" si="1"/>
        <v>294</v>
      </c>
      <c r="T25" s="266">
        <f t="shared" si="1"/>
        <v>315</v>
      </c>
      <c r="U25" s="266">
        <f t="shared" si="1"/>
        <v>336</v>
      </c>
    </row>
    <row r="26" spans="2:21" ht="18.5" hidden="1" x14ac:dyDescent="0.25">
      <c r="B26" s="261"/>
      <c r="C26" s="270" t="s">
        <v>1021</v>
      </c>
      <c r="D26" s="272">
        <f>$D$23*D25</f>
        <v>7524.09</v>
      </c>
      <c r="E26" s="272">
        <f>$D$23*E25</f>
        <v>15048.18</v>
      </c>
      <c r="F26" s="272">
        <f>$D$23*F25</f>
        <v>15048.18</v>
      </c>
      <c r="G26" s="272">
        <f>$D$23*G25</f>
        <v>22572.27</v>
      </c>
      <c r="H26" s="272">
        <f>$D$23*H25</f>
        <v>30096.36</v>
      </c>
      <c r="I26" s="272">
        <f t="shared" ref="I26:U26" si="2">$D$23*I25</f>
        <v>37620.450000000004</v>
      </c>
      <c r="J26" s="272">
        <f t="shared" si="2"/>
        <v>45144.54</v>
      </c>
      <c r="K26" s="272">
        <f t="shared" si="2"/>
        <v>52668.630000000005</v>
      </c>
      <c r="L26" s="272">
        <f t="shared" si="2"/>
        <v>60192.72</v>
      </c>
      <c r="M26" s="272">
        <f t="shared" si="2"/>
        <v>67716.81</v>
      </c>
      <c r="N26" s="272">
        <f t="shared" si="2"/>
        <v>75240.900000000009</v>
      </c>
      <c r="O26" s="272">
        <f t="shared" si="2"/>
        <v>82764.990000000005</v>
      </c>
      <c r="P26" s="272">
        <f t="shared" si="2"/>
        <v>90289.08</v>
      </c>
      <c r="Q26" s="272">
        <f t="shared" si="2"/>
        <v>90289.08</v>
      </c>
      <c r="R26" s="272">
        <f t="shared" si="2"/>
        <v>97813.170000000013</v>
      </c>
      <c r="S26" s="272">
        <f t="shared" si="2"/>
        <v>105337.26000000001</v>
      </c>
      <c r="T26" s="272">
        <f t="shared" si="2"/>
        <v>112861.35</v>
      </c>
      <c r="U26" s="272">
        <f t="shared" si="2"/>
        <v>120385.44</v>
      </c>
    </row>
    <row r="27" spans="2:21" ht="18.5" hidden="1" x14ac:dyDescent="0.25">
      <c r="B27" s="261"/>
      <c r="C27" s="267"/>
      <c r="D27" s="267"/>
      <c r="E27" s="267"/>
      <c r="F27" s="267"/>
      <c r="G27" s="267"/>
      <c r="H27" s="262"/>
      <c r="I27" s="262"/>
      <c r="J27" s="262"/>
      <c r="K27" s="262"/>
      <c r="L27" s="262"/>
      <c r="M27" s="262"/>
      <c r="N27" s="262"/>
    </row>
    <row r="28" spans="2:21" ht="18.5" hidden="1" x14ac:dyDescent="0.25">
      <c r="B28" s="261"/>
      <c r="C28" s="267" t="s">
        <v>1022</v>
      </c>
      <c r="D28" s="267"/>
      <c r="E28" s="267"/>
      <c r="F28" s="267"/>
      <c r="G28" s="267"/>
      <c r="H28" s="262"/>
      <c r="I28" s="262"/>
      <c r="J28" s="262"/>
      <c r="K28" s="262"/>
      <c r="L28" s="262"/>
      <c r="M28" s="262"/>
      <c r="N28" s="262"/>
    </row>
    <row r="29" spans="2:21" ht="18.5" hidden="1" x14ac:dyDescent="0.25">
      <c r="B29" s="261"/>
      <c r="C29" s="267" t="s">
        <v>1023</v>
      </c>
      <c r="D29" s="267"/>
      <c r="E29" s="267"/>
      <c r="F29" s="267"/>
      <c r="G29" s="267"/>
      <c r="H29" s="262"/>
      <c r="I29" s="262"/>
      <c r="J29" s="262"/>
      <c r="K29" s="262"/>
      <c r="L29" s="262"/>
      <c r="M29" s="262"/>
      <c r="N29" s="262"/>
    </row>
    <row r="30" spans="2:21" ht="18.5" hidden="1" x14ac:dyDescent="0.25">
      <c r="B30" s="261"/>
      <c r="C30" s="267" t="s">
        <v>1024</v>
      </c>
      <c r="D30" s="267"/>
      <c r="E30" s="267"/>
      <c r="F30" s="267"/>
      <c r="G30" s="267"/>
      <c r="H30" s="262"/>
      <c r="I30" s="262"/>
      <c r="J30" s="262"/>
      <c r="K30" s="262"/>
      <c r="L30" s="262"/>
      <c r="M30" s="262"/>
      <c r="N30" s="262"/>
    </row>
    <row r="31" spans="2:21" ht="18.5" hidden="1" x14ac:dyDescent="0.25">
      <c r="B31" s="261"/>
      <c r="C31" s="273" t="s">
        <v>1025</v>
      </c>
      <c r="D31" s="267"/>
      <c r="E31" s="267"/>
      <c r="F31" s="267"/>
      <c r="G31" s="267"/>
      <c r="H31" s="262"/>
      <c r="I31" s="262"/>
      <c r="J31" s="262"/>
      <c r="K31" s="262"/>
      <c r="L31" s="262"/>
      <c r="M31" s="262"/>
      <c r="N31" s="262"/>
    </row>
    <row r="32" spans="2:21" ht="18.5" hidden="1" x14ac:dyDescent="0.25">
      <c r="B32" s="261"/>
      <c r="C32" s="268" t="s">
        <v>1026</v>
      </c>
      <c r="D32" s="274">
        <v>16582021.050000001</v>
      </c>
      <c r="E32" s="267"/>
      <c r="F32" s="267"/>
      <c r="G32" s="267"/>
      <c r="H32" s="262"/>
      <c r="I32" s="262"/>
      <c r="J32" s="262"/>
      <c r="K32" s="262"/>
      <c r="L32" s="262"/>
      <c r="M32" s="262"/>
      <c r="N32" s="262"/>
    </row>
    <row r="33" spans="2:14" ht="18.5" x14ac:dyDescent="0.25">
      <c r="B33" s="261"/>
      <c r="C33" s="268" t="s">
        <v>1027</v>
      </c>
      <c r="D33" s="270">
        <f>D23</f>
        <v>358.29</v>
      </c>
      <c r="E33" s="267"/>
      <c r="F33" s="267"/>
      <c r="G33" s="267"/>
      <c r="H33" s="262"/>
      <c r="I33" s="262"/>
      <c r="J33" s="262"/>
      <c r="K33" s="262"/>
      <c r="L33" s="262"/>
      <c r="M33" s="262"/>
      <c r="N33" s="262"/>
    </row>
    <row r="34" spans="2:14" ht="18.5" x14ac:dyDescent="0.25">
      <c r="B34" s="261"/>
      <c r="C34" s="268" t="s">
        <v>1028</v>
      </c>
      <c r="D34" s="275">
        <v>0.05</v>
      </c>
      <c r="E34" s="276"/>
      <c r="F34" s="267"/>
      <c r="G34" s="267"/>
      <c r="H34" s="262"/>
      <c r="I34" s="262"/>
      <c r="J34" s="262"/>
      <c r="K34" s="262"/>
      <c r="L34" s="262"/>
      <c r="M34" s="262"/>
      <c r="N34" s="262"/>
    </row>
    <row r="35" spans="2:14" ht="18.5" x14ac:dyDescent="0.25">
      <c r="B35" s="261"/>
      <c r="C35" s="268" t="s">
        <v>1029</v>
      </c>
      <c r="D35" s="274">
        <f>D32*D34</f>
        <v>829101.05250000011</v>
      </c>
      <c r="E35" s="267"/>
      <c r="F35" s="267"/>
      <c r="G35" s="267"/>
      <c r="H35" s="262"/>
      <c r="I35" s="262"/>
      <c r="J35" s="262"/>
      <c r="K35" s="262"/>
      <c r="L35" s="262"/>
      <c r="M35" s="262"/>
      <c r="N35" s="262"/>
    </row>
    <row r="36" spans="2:14" ht="18.5" x14ac:dyDescent="0.25">
      <c r="B36" s="261"/>
      <c r="C36" s="268" t="s">
        <v>1030</v>
      </c>
      <c r="D36" s="274">
        <v>5</v>
      </c>
      <c r="E36" s="267"/>
      <c r="F36" s="267"/>
      <c r="G36" s="267"/>
      <c r="H36" s="262"/>
      <c r="I36" s="262"/>
      <c r="J36" s="262"/>
      <c r="K36" s="262"/>
      <c r="L36" s="262"/>
      <c r="M36" s="262"/>
      <c r="N36" s="262"/>
    </row>
    <row r="37" spans="2:14" ht="18.5" x14ac:dyDescent="0.25">
      <c r="B37" s="261"/>
      <c r="C37" s="268" t="s">
        <v>1031</v>
      </c>
      <c r="D37" s="274">
        <f>D36*22</f>
        <v>110</v>
      </c>
      <c r="E37" s="267"/>
      <c r="F37" s="267"/>
      <c r="G37" s="267"/>
      <c r="H37" s="262"/>
      <c r="I37" s="262"/>
      <c r="J37" s="262"/>
      <c r="K37" s="262"/>
      <c r="L37" s="262"/>
      <c r="M37" s="262"/>
      <c r="N37" s="262"/>
    </row>
    <row r="38" spans="2:14" ht="18.5" x14ac:dyDescent="0.25">
      <c r="B38" s="261"/>
      <c r="C38" s="277" t="s">
        <v>1032</v>
      </c>
      <c r="D38" s="274">
        <f>D33*D37</f>
        <v>39411.9</v>
      </c>
      <c r="E38" s="262"/>
      <c r="F38" s="262"/>
      <c r="G38" s="264"/>
      <c r="H38" s="262"/>
      <c r="I38" s="262"/>
      <c r="J38" s="264"/>
      <c r="K38" s="262"/>
      <c r="L38" s="262"/>
      <c r="M38" s="262"/>
      <c r="N38" s="262"/>
    </row>
    <row r="39" spans="2:14" ht="18.5" x14ac:dyDescent="0.25">
      <c r="B39" s="261"/>
      <c r="C39" s="262"/>
      <c r="D39" s="267"/>
      <c r="E39" s="262"/>
      <c r="F39" s="262"/>
      <c r="G39" s="262"/>
      <c r="H39" s="262"/>
      <c r="I39" s="262"/>
      <c r="J39" s="262"/>
      <c r="K39" s="262"/>
      <c r="L39" s="262"/>
      <c r="M39" s="262"/>
      <c r="N39" s="262"/>
    </row>
    <row r="40" spans="2:14" ht="18.5" x14ac:dyDescent="0.25">
      <c r="B40" s="261"/>
      <c r="C40" s="278" t="s">
        <v>1033</v>
      </c>
      <c r="D40" s="279">
        <f>ROUNDDOWN(D35/D38,0)</f>
        <v>21</v>
      </c>
      <c r="E40" s="262"/>
      <c r="F40" s="262"/>
      <c r="G40" s="262"/>
      <c r="H40" s="262"/>
      <c r="I40" s="262"/>
      <c r="J40" s="262"/>
      <c r="K40" s="262"/>
      <c r="L40" s="262"/>
      <c r="M40" s="262"/>
      <c r="N40" s="262"/>
    </row>
    <row r="41" spans="2:14" ht="18.5" x14ac:dyDescent="0.25">
      <c r="B41" s="261"/>
      <c r="C41" s="262"/>
      <c r="D41" s="267"/>
      <c r="E41" s="262"/>
      <c r="F41" s="262"/>
      <c r="G41" s="262"/>
      <c r="H41" s="262"/>
      <c r="I41" s="262"/>
      <c r="J41" s="262"/>
      <c r="K41" s="262"/>
      <c r="L41" s="262"/>
      <c r="M41" s="262"/>
      <c r="N41" s="262"/>
    </row>
    <row r="42" spans="2:14" ht="18.5" x14ac:dyDescent="0.25">
      <c r="B42" s="261"/>
      <c r="C42" s="280" t="s">
        <v>1034</v>
      </c>
      <c r="D42" s="281">
        <f>D40*D37/E46</f>
        <v>10.043478260869565</v>
      </c>
      <c r="E42" s="262"/>
      <c r="F42" s="262"/>
      <c r="G42" s="262"/>
      <c r="H42" s="262"/>
      <c r="I42" s="262"/>
      <c r="J42" s="262"/>
      <c r="K42" s="262"/>
      <c r="L42" s="262"/>
      <c r="M42" s="262"/>
      <c r="N42" s="262"/>
    </row>
    <row r="43" spans="2:14" ht="18.5" x14ac:dyDescent="0.25">
      <c r="B43" s="261"/>
      <c r="C43" s="262"/>
      <c r="D43" s="262"/>
      <c r="E43" s="262"/>
      <c r="F43" s="262"/>
      <c r="G43" s="262"/>
      <c r="H43" s="262"/>
      <c r="I43" s="262"/>
      <c r="J43" s="262"/>
      <c r="K43" s="262"/>
      <c r="L43" s="262"/>
      <c r="M43" s="262"/>
      <c r="N43" s="262"/>
    </row>
    <row r="44" spans="2:14" ht="18.5" x14ac:dyDescent="0.25">
      <c r="B44" s="261"/>
      <c r="C44" s="262"/>
      <c r="D44" s="262"/>
      <c r="E44" s="262"/>
      <c r="F44" s="262"/>
      <c r="G44" s="262"/>
      <c r="H44" s="262"/>
      <c r="I44" s="262"/>
      <c r="J44" s="262"/>
      <c r="K44" s="262"/>
      <c r="L44" s="262"/>
      <c r="M44" s="262"/>
      <c r="N44" s="262"/>
    </row>
    <row r="45" spans="2:14" ht="18.5" x14ac:dyDescent="0.25">
      <c r="B45" s="261"/>
      <c r="C45" s="262" t="s">
        <v>1035</v>
      </c>
      <c r="D45" s="262"/>
      <c r="E45" s="262"/>
      <c r="F45" s="262"/>
      <c r="G45" s="262"/>
      <c r="H45" s="262"/>
      <c r="I45" s="262"/>
      <c r="J45" s="262"/>
      <c r="K45" s="262"/>
      <c r="L45" s="262"/>
      <c r="M45" s="262"/>
      <c r="N45" s="262"/>
    </row>
    <row r="46" spans="2:14" ht="18.5" x14ac:dyDescent="0.25">
      <c r="B46" s="261"/>
      <c r="C46" s="262"/>
      <c r="D46" s="264" t="s">
        <v>1036</v>
      </c>
      <c r="E46" s="282">
        <v>230</v>
      </c>
      <c r="F46" s="262"/>
      <c r="G46" s="262"/>
      <c r="H46" s="262"/>
      <c r="I46" s="262"/>
      <c r="J46" s="262"/>
      <c r="K46" s="262"/>
      <c r="L46" s="262"/>
      <c r="M46" s="262"/>
      <c r="N46" s="262"/>
    </row>
    <row r="47" spans="2:14" s="283" customFormat="1" ht="18.5" x14ac:dyDescent="0.25">
      <c r="B47" s="1086" t="s">
        <v>1037</v>
      </c>
      <c r="C47" s="1087"/>
      <c r="D47" s="1087"/>
      <c r="E47" s="1087"/>
      <c r="F47" s="1087"/>
      <c r="G47" s="1087"/>
      <c r="H47" s="1087"/>
      <c r="I47" s="1087"/>
      <c r="J47" s="1087"/>
      <c r="K47" s="1087"/>
      <c r="L47" s="1087"/>
      <c r="M47" s="1087"/>
      <c r="N47" s="1088"/>
    </row>
    <row r="48" spans="2:14" s="284" customFormat="1" ht="18.5" x14ac:dyDescent="0.25">
      <c r="B48" s="1089" t="s">
        <v>1038</v>
      </c>
      <c r="C48" s="1089" t="s">
        <v>1039</v>
      </c>
      <c r="D48" s="1089" t="s">
        <v>1040</v>
      </c>
      <c r="E48" s="1089" t="s">
        <v>1041</v>
      </c>
      <c r="F48" s="1083" t="s">
        <v>1042</v>
      </c>
      <c r="G48" s="1083" t="s">
        <v>1043</v>
      </c>
      <c r="H48" s="1083"/>
      <c r="I48" s="1089" t="s">
        <v>1044</v>
      </c>
      <c r="J48" s="1089" t="s">
        <v>1045</v>
      </c>
      <c r="K48" s="1091" t="s">
        <v>1046</v>
      </c>
      <c r="L48" s="1092"/>
      <c r="M48" s="1082" t="s">
        <v>1047</v>
      </c>
      <c r="N48" s="1083" t="s">
        <v>1048</v>
      </c>
    </row>
    <row r="49" spans="2:14" s="284" customFormat="1" ht="18.5" x14ac:dyDescent="0.25">
      <c r="B49" s="1090"/>
      <c r="C49" s="1090"/>
      <c r="D49" s="1090"/>
      <c r="E49" s="1090"/>
      <c r="F49" s="1083"/>
      <c r="G49" s="285" t="s">
        <v>1049</v>
      </c>
      <c r="H49" s="285" t="s">
        <v>805</v>
      </c>
      <c r="I49" s="1090"/>
      <c r="J49" s="1090"/>
      <c r="K49" s="286" t="s">
        <v>1050</v>
      </c>
      <c r="L49" s="286" t="s">
        <v>1051</v>
      </c>
      <c r="M49" s="1082"/>
      <c r="N49" s="1083"/>
    </row>
    <row r="50" spans="2:14" s="283" customFormat="1" ht="129.5" x14ac:dyDescent="0.25">
      <c r="B50" s="282">
        <v>1</v>
      </c>
      <c r="C50" s="287" t="str">
        <f>ContractDescription</f>
        <v>THE CONSTRUCTION OF EARTHWORKS, LAYERWORKS, SURFACING, CULVERTS AND CWAKA RIVER BRIDGE FROM KM 11.600 TO KM 14.000 ON MAIN ROAD P494 IN THE KING CETSHWAYO DISTRICT UNDER EMPANGENI REGION</v>
      </c>
      <c r="D50" s="288">
        <f ca="1">Summary!G16</f>
        <v>32990705</v>
      </c>
      <c r="E50" s="289">
        <f ca="1">'WD Calc'!L803</f>
        <v>0.13668371863269616</v>
      </c>
      <c r="F50" s="290">
        <f>_LabourDaily</f>
        <v>358.32</v>
      </c>
      <c r="G50" s="291">
        <f>_ContractPeriod</f>
        <v>22</v>
      </c>
      <c r="H50" s="292">
        <f>ROUND($E$46*G50/12,0)-20</f>
        <v>402</v>
      </c>
      <c r="I50" s="290">
        <f ca="1">D50*E50</f>
        <v>4509292.2397142826</v>
      </c>
      <c r="J50" s="290">
        <f>F50*H50</f>
        <v>144044.63999999998</v>
      </c>
      <c r="K50" s="293">
        <f ca="1">ROUNDDOWN(I50/J50/1.2,0)</f>
        <v>26</v>
      </c>
      <c r="L50" s="293">
        <f ca="1">K50*H50/$E$46</f>
        <v>45.443478260869568</v>
      </c>
      <c r="M50" s="294"/>
      <c r="N50" s="294"/>
    </row>
    <row r="51" spans="2:14" s="283" customFormat="1" ht="18.5" x14ac:dyDescent="0.25">
      <c r="B51" s="282"/>
      <c r="C51" s="287"/>
      <c r="D51" s="295"/>
      <c r="E51" s="296"/>
      <c r="F51" s="293"/>
      <c r="G51" s="297"/>
      <c r="H51" s="292"/>
      <c r="I51" s="290"/>
      <c r="J51" s="290"/>
      <c r="K51" s="293"/>
      <c r="L51" s="293"/>
      <c r="M51" s="282"/>
      <c r="N51" s="282"/>
    </row>
    <row r="52" spans="2:14" s="305" customFormat="1" ht="18.5" x14ac:dyDescent="0.25">
      <c r="B52" s="282"/>
      <c r="C52" s="298" t="s">
        <v>1052</v>
      </c>
      <c r="D52" s="299">
        <f ca="1">SUM(D50:D51)</f>
        <v>32990705</v>
      </c>
      <c r="E52" s="300"/>
      <c r="F52" s="301"/>
      <c r="G52" s="301"/>
      <c r="H52" s="302"/>
      <c r="I52" s="299">
        <f ca="1">SUM(I50:I51)</f>
        <v>4509292.2397142826</v>
      </c>
      <c r="J52" s="299">
        <f>SUM(J50:J51)</f>
        <v>144044.63999999998</v>
      </c>
      <c r="K52" s="303">
        <f ca="1">SUM(K50:K51)</f>
        <v>26</v>
      </c>
      <c r="L52" s="303">
        <f ca="1">SUM(L50:L51)</f>
        <v>45.443478260869568</v>
      </c>
      <c r="M52" s="304"/>
      <c r="N52" s="304"/>
    </row>
    <row r="53" spans="2:14" x14ac:dyDescent="0.25">
      <c r="B53" s="260"/>
      <c r="C53" s="1084"/>
      <c r="D53" s="1084"/>
      <c r="E53" s="1084"/>
      <c r="F53" s="1084"/>
      <c r="G53" s="1084"/>
      <c r="H53" s="1084"/>
    </row>
    <row r="54" spans="2:14" ht="15.5" x14ac:dyDescent="0.25">
      <c r="C54" s="306" t="s">
        <v>1053</v>
      </c>
    </row>
    <row r="55" spans="2:14" x14ac:dyDescent="0.25">
      <c r="B55" s="260"/>
      <c r="C55" s="1085"/>
      <c r="D55" s="1085"/>
      <c r="E55" s="1085"/>
      <c r="F55" s="1085"/>
      <c r="G55" s="1085"/>
      <c r="H55" s="1085"/>
      <c r="I55" s="1085"/>
    </row>
    <row r="56" spans="2:14" x14ac:dyDescent="0.25">
      <c r="D56" s="307"/>
    </row>
  </sheetData>
  <mergeCells count="14">
    <mergeCell ref="M48:M49"/>
    <mergeCell ref="N48:N49"/>
    <mergeCell ref="C53:H53"/>
    <mergeCell ref="C55:I55"/>
    <mergeCell ref="B47:N47"/>
    <mergeCell ref="B48:B49"/>
    <mergeCell ref="C48:C49"/>
    <mergeCell ref="D48:D49"/>
    <mergeCell ref="E48:E49"/>
    <mergeCell ref="F48:F49"/>
    <mergeCell ref="G48:H48"/>
    <mergeCell ref="I48:I49"/>
    <mergeCell ref="J48:J49"/>
    <mergeCell ref="K48:L48"/>
  </mergeCells>
  <pageMargins left="0.43307086614173229" right="0.31496062992125984" top="0.43307086614173229" bottom="0.62992125984251968" header="0.31496062992125984" footer="0.31496062992125984"/>
  <pageSetup paperSize="8" scale="8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3">
    <tabColor rgb="FF0070C0"/>
  </sheetPr>
  <dimension ref="B1:L1048493"/>
  <sheetViews>
    <sheetView view="pageBreakPreview" zoomScale="90" zoomScaleNormal="100" zoomScaleSheetLayoutView="90" zoomScalePageLayoutView="150" workbookViewId="0">
      <selection activeCell="C28" sqref="C28"/>
    </sheetView>
  </sheetViews>
  <sheetFormatPr defaultColWidth="8.81640625" defaultRowHeight="12.5" x14ac:dyDescent="0.25"/>
  <cols>
    <col min="1" max="1" width="0.81640625" style="49" customWidth="1"/>
    <col min="2" max="2" width="15.7265625" style="52" customWidth="1"/>
    <col min="3" max="3" width="74.7265625" style="50" customWidth="1"/>
    <col min="4" max="5" width="15.7265625" style="49" customWidth="1"/>
    <col min="6" max="6" width="0.81640625" style="49" customWidth="1"/>
    <col min="7" max="7" width="8.81640625" style="49"/>
    <col min="8" max="8" width="15.453125" style="49" customWidth="1"/>
    <col min="9" max="9" width="12.54296875" style="49" customWidth="1"/>
    <col min="10" max="10" width="9.453125" style="49" customWidth="1"/>
    <col min="11" max="16384" width="8.81640625" style="49"/>
  </cols>
  <sheetData>
    <row r="1" spans="2:12" ht="13" x14ac:dyDescent="0.25">
      <c r="C1" s="132" t="str">
        <f>"Page C"&amp;Page_F</f>
        <v>Page C67</v>
      </c>
      <c r="E1" s="639">
        <f>MAX(E2:E70)</f>
        <v>690000</v>
      </c>
    </row>
    <row r="2" spans="2:12" ht="13" x14ac:dyDescent="0.25">
      <c r="B2" s="2" t="str">
        <f>Client1</f>
        <v>Province of KwaZulu-Natal</v>
      </c>
      <c r="E2" s="6" t="str">
        <f>"Contract No. "&amp;ContractNo</f>
        <v>Contract No. ZNB 00399/00000/HOD/INF/21/T</v>
      </c>
    </row>
    <row r="3" spans="2:12" s="1" customFormat="1" ht="18" customHeight="1" x14ac:dyDescent="0.25">
      <c r="B3" s="87" t="str">
        <f>Client2</f>
        <v>Department of Transport</v>
      </c>
      <c r="C3" s="50"/>
      <c r="D3" s="4"/>
      <c r="I3" s="4"/>
    </row>
    <row r="4" spans="2:12" s="1" customFormat="1" ht="16.5" customHeight="1" x14ac:dyDescent="0.25">
      <c r="B4" s="77"/>
      <c r="C4" s="90"/>
      <c r="D4" s="78"/>
      <c r="E4" s="79"/>
      <c r="G4" s="5"/>
      <c r="H4" s="5"/>
      <c r="I4" s="4"/>
    </row>
    <row r="5" spans="2:12" s="1" customFormat="1" ht="7.5" customHeight="1" x14ac:dyDescent="0.25">
      <c r="B5" s="1135" t="str">
        <f>ContractDescription</f>
        <v>THE CONSTRUCTION OF EARTHWORKS, LAYERWORKS, SURFACING, CULVERTS AND CWAKA RIVER BRIDGE FROM KM 11.600 TO KM 14.000 ON MAIN ROAD P494 IN THE KING CETSHWAYO DISTRICT UNDER EMPANGENI REGION</v>
      </c>
      <c r="C5" s="1136"/>
      <c r="D5" s="1136"/>
      <c r="E5" s="1145"/>
      <c r="G5" s="5"/>
      <c r="H5" s="5"/>
      <c r="I5" s="4"/>
    </row>
    <row r="6" spans="2:12" ht="12.75" customHeight="1" x14ac:dyDescent="0.25">
      <c r="B6" s="1117"/>
      <c r="C6" s="1118"/>
      <c r="D6" s="1118"/>
      <c r="E6" s="1146"/>
    </row>
    <row r="7" spans="2:12" ht="7.5" customHeight="1" x14ac:dyDescent="0.25">
      <c r="B7" s="1119"/>
      <c r="C7" s="1120"/>
      <c r="D7" s="1120"/>
      <c r="E7" s="1147"/>
    </row>
    <row r="8" spans="2:12" ht="25.5" customHeight="1" x14ac:dyDescent="0.25">
      <c r="B8" s="1154" t="str">
        <f>"SCHEDULE"&amp;" "&amp;B11&amp;": "&amp;C11</f>
        <v>SCHEDULE E: EXPANDED PUBLIC WORKS PROGRAMME (EPWP)</v>
      </c>
      <c r="C8" s="1155"/>
      <c r="D8" s="1155"/>
      <c r="E8" s="1156"/>
    </row>
    <row r="9" spans="2:12" ht="13" x14ac:dyDescent="0.25">
      <c r="B9" s="11" t="s">
        <v>804</v>
      </c>
      <c r="C9" s="627" t="s">
        <v>1</v>
      </c>
      <c r="D9" s="11" t="s">
        <v>784</v>
      </c>
      <c r="E9" s="11" t="s">
        <v>5</v>
      </c>
      <c r="L9" s="131"/>
    </row>
    <row r="10" spans="2:12" ht="12.75" customHeight="1" x14ac:dyDescent="0.25">
      <c r="B10" s="20"/>
      <c r="C10" s="628"/>
      <c r="D10" s="21"/>
      <c r="E10" s="633"/>
      <c r="L10" s="131"/>
    </row>
    <row r="11" spans="2:12" ht="12.75" customHeight="1" x14ac:dyDescent="0.25">
      <c r="B11" s="20" t="str">
        <f>'Chapter E'!B12</f>
        <v>E</v>
      </c>
      <c r="C11" s="81" t="str">
        <f>'Chapter E'!C12</f>
        <v>EXPANDED PUBLIC WORKS PROGRAMME (EPWP)</v>
      </c>
      <c r="D11" s="676">
        <f>Page_F-1</f>
        <v>66</v>
      </c>
      <c r="E11" s="637">
        <f>'Chapter E'!H68</f>
        <v>690000</v>
      </c>
    </row>
    <row r="12" spans="2:12" ht="12.75" customHeight="1" x14ac:dyDescent="0.25">
      <c r="B12" s="21"/>
      <c r="C12" s="629"/>
      <c r="D12" s="21"/>
      <c r="E12" s="634"/>
    </row>
    <row r="13" spans="2:12" ht="12.75" customHeight="1" x14ac:dyDescent="0.25">
      <c r="B13" s="21"/>
      <c r="C13" s="629"/>
      <c r="D13" s="21"/>
      <c r="E13" s="634"/>
    </row>
    <row r="14" spans="2:12" ht="12.75" customHeight="1" x14ac:dyDescent="0.25">
      <c r="B14" s="21"/>
      <c r="C14" s="629"/>
      <c r="D14" s="21"/>
      <c r="E14" s="634"/>
    </row>
    <row r="15" spans="2:12" ht="12.75" customHeight="1" x14ac:dyDescent="0.25">
      <c r="B15" s="21"/>
      <c r="C15" s="629"/>
      <c r="D15" s="21"/>
      <c r="E15" s="634"/>
    </row>
    <row r="16" spans="2:12" ht="12.75" customHeight="1" x14ac:dyDescent="0.25">
      <c r="B16" s="21"/>
      <c r="C16" s="629"/>
      <c r="D16" s="21"/>
      <c r="E16" s="634"/>
    </row>
    <row r="17" spans="2:5" ht="12.75" customHeight="1" x14ac:dyDescent="0.25">
      <c r="B17" s="21"/>
      <c r="C17" s="629"/>
      <c r="D17" s="21"/>
      <c r="E17" s="634"/>
    </row>
    <row r="18" spans="2:5" ht="12.75" customHeight="1" x14ac:dyDescent="0.25">
      <c r="B18" s="21"/>
      <c r="C18" s="629"/>
      <c r="D18" s="21"/>
      <c r="E18" s="634"/>
    </row>
    <row r="19" spans="2:5" ht="12.75" customHeight="1" x14ac:dyDescent="0.25">
      <c r="B19" s="21"/>
      <c r="C19" s="629"/>
      <c r="D19" s="21"/>
      <c r="E19" s="634"/>
    </row>
    <row r="20" spans="2:5" ht="12.75" customHeight="1" x14ac:dyDescent="0.25">
      <c r="B20" s="21"/>
      <c r="C20" s="629"/>
      <c r="D20" s="21"/>
      <c r="E20" s="634"/>
    </row>
    <row r="21" spans="2:5" ht="12.75" customHeight="1" x14ac:dyDescent="0.25">
      <c r="B21" s="21"/>
      <c r="C21" s="629"/>
      <c r="D21" s="21"/>
      <c r="E21" s="634"/>
    </row>
    <row r="22" spans="2:5" ht="12.75" customHeight="1" x14ac:dyDescent="0.25">
      <c r="B22" s="21"/>
      <c r="C22" s="629"/>
      <c r="D22" s="21"/>
      <c r="E22" s="634"/>
    </row>
    <row r="23" spans="2:5" ht="12.75" customHeight="1" x14ac:dyDescent="0.25">
      <c r="B23" s="21"/>
      <c r="C23" s="629"/>
      <c r="D23" s="21"/>
      <c r="E23" s="634"/>
    </row>
    <row r="24" spans="2:5" ht="12.75" customHeight="1" x14ac:dyDescent="0.25">
      <c r="B24" s="21"/>
      <c r="C24" s="629"/>
      <c r="D24" s="21"/>
      <c r="E24" s="634"/>
    </row>
    <row r="25" spans="2:5" ht="12.75" customHeight="1" x14ac:dyDescent="0.25">
      <c r="B25" s="21"/>
      <c r="C25" s="629"/>
      <c r="D25" s="21"/>
      <c r="E25" s="634"/>
    </row>
    <row r="26" spans="2:5" ht="12.75" customHeight="1" x14ac:dyDescent="0.25">
      <c r="B26" s="21"/>
      <c r="C26" s="629"/>
      <c r="D26" s="21"/>
      <c r="E26" s="634"/>
    </row>
    <row r="27" spans="2:5" ht="12.75" customHeight="1" x14ac:dyDescent="0.25">
      <c r="B27" s="21"/>
      <c r="C27" s="629"/>
      <c r="D27" s="81"/>
      <c r="E27" s="634"/>
    </row>
    <row r="28" spans="2:5" ht="12.75" customHeight="1" x14ac:dyDescent="0.25">
      <c r="B28" s="21"/>
      <c r="C28" s="629"/>
      <c r="D28" s="81"/>
      <c r="E28" s="634"/>
    </row>
    <row r="29" spans="2:5" ht="12.75" customHeight="1" x14ac:dyDescent="0.25">
      <c r="B29" s="21"/>
      <c r="C29" s="629"/>
      <c r="D29" s="81"/>
      <c r="E29" s="634"/>
    </row>
    <row r="30" spans="2:5" ht="12.75" customHeight="1" x14ac:dyDescent="0.25">
      <c r="B30" s="21"/>
      <c r="C30" s="629"/>
      <c r="D30" s="81"/>
      <c r="E30" s="634"/>
    </row>
    <row r="31" spans="2:5" ht="12.75" customHeight="1" x14ac:dyDescent="0.25">
      <c r="B31" s="21"/>
      <c r="C31" s="629"/>
      <c r="D31" s="81"/>
      <c r="E31" s="634"/>
    </row>
    <row r="32" spans="2:5" ht="12.75" customHeight="1" x14ac:dyDescent="0.25">
      <c r="B32" s="21"/>
      <c r="C32" s="629"/>
      <c r="D32" s="81"/>
      <c r="E32" s="634"/>
    </row>
    <row r="33" spans="2:5" ht="12.75" customHeight="1" x14ac:dyDescent="0.25">
      <c r="B33" s="21"/>
      <c r="C33" s="629"/>
      <c r="D33" s="81"/>
      <c r="E33" s="634"/>
    </row>
    <row r="34" spans="2:5" ht="13" x14ac:dyDescent="0.25">
      <c r="B34" s="21"/>
      <c r="C34" s="629"/>
      <c r="D34" s="81"/>
      <c r="E34" s="634"/>
    </row>
    <row r="35" spans="2:5" ht="13" x14ac:dyDescent="0.25">
      <c r="B35" s="21"/>
      <c r="C35" s="629"/>
      <c r="D35" s="81"/>
      <c r="E35" s="634"/>
    </row>
    <row r="36" spans="2:5" ht="13" x14ac:dyDescent="0.25">
      <c r="B36" s="21"/>
      <c r="C36" s="629"/>
      <c r="D36" s="81"/>
      <c r="E36" s="634"/>
    </row>
    <row r="37" spans="2:5" ht="13" x14ac:dyDescent="0.25">
      <c r="B37" s="21"/>
      <c r="C37" s="629"/>
      <c r="D37" s="81"/>
      <c r="E37" s="634"/>
    </row>
    <row r="38" spans="2:5" ht="13" x14ac:dyDescent="0.25">
      <c r="B38" s="21"/>
      <c r="C38" s="629"/>
      <c r="D38" s="81"/>
      <c r="E38" s="634"/>
    </row>
    <row r="39" spans="2:5" ht="13" x14ac:dyDescent="0.25">
      <c r="B39" s="21"/>
      <c r="C39" s="629"/>
      <c r="D39" s="81"/>
      <c r="E39" s="634"/>
    </row>
    <row r="40" spans="2:5" ht="13" x14ac:dyDescent="0.25">
      <c r="B40" s="21"/>
      <c r="C40" s="629"/>
      <c r="D40" s="81"/>
      <c r="E40" s="634"/>
    </row>
    <row r="41" spans="2:5" ht="13" x14ac:dyDescent="0.25">
      <c r="B41" s="21"/>
      <c r="C41" s="629"/>
      <c r="D41" s="81"/>
      <c r="E41" s="634"/>
    </row>
    <row r="42" spans="2:5" ht="12.75" customHeight="1" x14ac:dyDescent="0.25">
      <c r="B42" s="21"/>
      <c r="C42" s="629"/>
      <c r="D42" s="81"/>
      <c r="E42" s="634"/>
    </row>
    <row r="43" spans="2:5" ht="13" x14ac:dyDescent="0.25">
      <c r="B43" s="21"/>
      <c r="C43" s="629"/>
      <c r="D43" s="81"/>
      <c r="E43" s="634"/>
    </row>
    <row r="44" spans="2:5" ht="13" x14ac:dyDescent="0.25">
      <c r="B44" s="21"/>
      <c r="C44" s="629"/>
      <c r="D44" s="81"/>
      <c r="E44" s="634"/>
    </row>
    <row r="45" spans="2:5" ht="13" x14ac:dyDescent="0.25">
      <c r="B45" s="21"/>
      <c r="C45" s="629"/>
      <c r="D45" s="81"/>
      <c r="E45" s="634"/>
    </row>
    <row r="46" spans="2:5" ht="13" x14ac:dyDescent="0.25">
      <c r="B46" s="21"/>
      <c r="C46" s="629"/>
      <c r="D46" s="81"/>
      <c r="E46" s="634"/>
    </row>
    <row r="47" spans="2:5" ht="13" x14ac:dyDescent="0.25">
      <c r="B47" s="21"/>
      <c r="C47" s="629"/>
      <c r="D47" s="81"/>
      <c r="E47" s="634"/>
    </row>
    <row r="48" spans="2:5" ht="13" x14ac:dyDescent="0.25">
      <c r="B48" s="21"/>
      <c r="C48" s="629"/>
      <c r="D48" s="81"/>
      <c r="E48" s="634"/>
    </row>
    <row r="49" spans="2:5" ht="13" x14ac:dyDescent="0.25">
      <c r="B49" s="21"/>
      <c r="C49" s="629"/>
      <c r="D49" s="81"/>
      <c r="E49" s="634"/>
    </row>
    <row r="50" spans="2:5" ht="13" x14ac:dyDescent="0.25">
      <c r="B50" s="21"/>
      <c r="C50" s="629"/>
      <c r="D50" s="81"/>
      <c r="E50" s="634"/>
    </row>
    <row r="51" spans="2:5" ht="13" x14ac:dyDescent="0.25">
      <c r="B51" s="21"/>
      <c r="C51" s="629"/>
      <c r="D51" s="81"/>
      <c r="E51" s="634"/>
    </row>
    <row r="52" spans="2:5" ht="13" x14ac:dyDescent="0.25">
      <c r="B52" s="21"/>
      <c r="C52" s="629"/>
      <c r="D52" s="81"/>
      <c r="E52" s="634"/>
    </row>
    <row r="53" spans="2:5" ht="13" x14ac:dyDescent="0.25">
      <c r="B53" s="21"/>
      <c r="C53" s="629"/>
      <c r="D53" s="81"/>
      <c r="E53" s="634"/>
    </row>
    <row r="54" spans="2:5" ht="13" x14ac:dyDescent="0.25">
      <c r="B54" s="21"/>
      <c r="C54" s="629"/>
      <c r="D54" s="81"/>
      <c r="E54" s="634"/>
    </row>
    <row r="55" spans="2:5" ht="13" x14ac:dyDescent="0.25">
      <c r="B55" s="21"/>
      <c r="C55" s="629"/>
      <c r="D55" s="81"/>
      <c r="E55" s="634"/>
    </row>
    <row r="56" spans="2:5" ht="13" x14ac:dyDescent="0.25">
      <c r="B56" s="21"/>
      <c r="C56" s="629"/>
      <c r="D56" s="81"/>
      <c r="E56" s="634"/>
    </row>
    <row r="57" spans="2:5" ht="13" x14ac:dyDescent="0.25">
      <c r="B57" s="21"/>
      <c r="C57" s="629"/>
      <c r="D57" s="81"/>
      <c r="E57" s="634"/>
    </row>
    <row r="58" spans="2:5" ht="13" x14ac:dyDescent="0.25">
      <c r="B58" s="21"/>
      <c r="C58" s="629"/>
      <c r="D58" s="81"/>
      <c r="E58" s="634"/>
    </row>
    <row r="59" spans="2:5" ht="13" x14ac:dyDescent="0.25">
      <c r="B59" s="21"/>
      <c r="C59" s="629"/>
      <c r="D59" s="81"/>
      <c r="E59" s="634"/>
    </row>
    <row r="60" spans="2:5" ht="13" x14ac:dyDescent="0.25">
      <c r="B60" s="21"/>
      <c r="C60" s="629"/>
      <c r="D60" s="81"/>
      <c r="E60" s="634"/>
    </row>
    <row r="61" spans="2:5" ht="13" x14ac:dyDescent="0.25">
      <c r="B61" s="20"/>
      <c r="C61" s="629"/>
      <c r="D61" s="81"/>
      <c r="E61" s="634"/>
    </row>
    <row r="62" spans="2:5" ht="13" x14ac:dyDescent="0.25">
      <c r="B62" s="21"/>
      <c r="C62" s="629"/>
      <c r="D62" s="81"/>
      <c r="E62" s="634"/>
    </row>
    <row r="63" spans="2:5" ht="13" x14ac:dyDescent="0.25">
      <c r="B63" s="20"/>
      <c r="C63" s="629"/>
      <c r="D63" s="81"/>
      <c r="E63" s="634"/>
    </row>
    <row r="64" spans="2:5" ht="13" x14ac:dyDescent="0.25">
      <c r="B64" s="21"/>
      <c r="C64" s="629"/>
      <c r="D64" s="81"/>
      <c r="E64" s="634"/>
    </row>
    <row r="65" spans="2:6" ht="13" x14ac:dyDescent="0.25">
      <c r="B65" s="21"/>
      <c r="C65" s="629"/>
      <c r="D65" s="81"/>
      <c r="E65" s="634"/>
    </row>
    <row r="66" spans="2:6" ht="13" x14ac:dyDescent="0.25">
      <c r="B66" s="21"/>
      <c r="C66" s="629"/>
      <c r="D66" s="81"/>
      <c r="E66" s="634"/>
    </row>
    <row r="67" spans="2:6" ht="13" x14ac:dyDescent="0.25">
      <c r="B67" s="21"/>
      <c r="C67" s="629"/>
      <c r="D67" s="81"/>
      <c r="E67" s="634"/>
    </row>
    <row r="68" spans="2:6" ht="13" x14ac:dyDescent="0.25">
      <c r="B68" s="21"/>
      <c r="C68" s="629"/>
      <c r="D68" s="81"/>
      <c r="E68" s="634"/>
    </row>
    <row r="69" spans="2:6" ht="13" x14ac:dyDescent="0.25">
      <c r="B69" s="141"/>
      <c r="C69" s="630"/>
      <c r="D69" s="140"/>
      <c r="E69" s="635"/>
    </row>
    <row r="70" spans="2:6" s="28" customFormat="1" ht="19.5" customHeight="1" x14ac:dyDescent="0.25">
      <c r="B70" s="638" t="str">
        <f>"TOTAL SCHEDULE E: EPWP CARRIED FORWARD"&amp;IF(E70=E$1," TO SUMMARY (Page C"&amp;_Summary&amp;")","")</f>
        <v>TOTAL SCHEDULE E: EPWP CARRIED FORWARD TO SUMMARY (Page C73)</v>
      </c>
      <c r="C70" s="30"/>
      <c r="D70" s="631"/>
      <c r="E70" s="636">
        <f>SUM(E10:E69)</f>
        <v>690000</v>
      </c>
      <c r="F70" s="34"/>
    </row>
    <row r="1048493" spans="3:3" x14ac:dyDescent="0.25">
      <c r="C1048493" s="621"/>
    </row>
  </sheetData>
  <mergeCells count="2">
    <mergeCell ref="B8:E8"/>
    <mergeCell ref="B5:E7"/>
  </mergeCells>
  <conditionalFormatting sqref="E10:E70">
    <cfRule type="expression" dxfId="39" priority="1">
      <formula>_Show_Price=FALSE</formula>
    </cfRule>
  </conditionalFormatting>
  <pageMargins left="0.43307086614173229" right="0.31496062992125984" top="0.43307086614173229" bottom="0.62992125984251968" header="0.31496062992125984" footer="0.31496062992125984"/>
  <pageSetup paperSize="9" scale="77" firstPageNumber="32"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&amp;L&amp;"Arial,Bold"_________________________________________________________________________________________________________________________
CIDB OPEN TENDER: Contract Ver. 20-10-2021: COTO&amp;R&amp;"Arial,Bold"_____________________
C&amp;P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4">
    <tabColor rgb="FF00B050"/>
  </sheetPr>
  <dimension ref="A1:R123"/>
  <sheetViews>
    <sheetView view="pageBreakPreview" zoomScale="90" zoomScaleNormal="125" zoomScaleSheetLayoutView="90" zoomScalePageLayoutView="125" workbookViewId="0">
      <pane ySplit="2" topLeftCell="A3" activePane="bottomLeft" state="frozen"/>
      <selection activeCell="C28" sqref="C28"/>
      <selection pane="bottomLeft" activeCell="G18" sqref="G18"/>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0.453125" style="1" customWidth="1"/>
    <col min="12" max="12" width="14.26953125" style="1" customWidth="1"/>
    <col min="13" max="13" width="18.1796875" style="1" customWidth="1"/>
    <col min="14" max="14" width="16.54296875" style="1" customWidth="1"/>
    <col min="15" max="16384" width="6.81640625" style="1"/>
  </cols>
  <sheetData>
    <row r="1" spans="1:18" s="242" customFormat="1" ht="11.5" x14ac:dyDescent="0.25">
      <c r="B1" s="243"/>
      <c r="C1" s="244" t="s">
        <v>993</v>
      </c>
      <c r="D1" s="245"/>
      <c r="E1" s="245"/>
      <c r="F1" s="245"/>
      <c r="G1" s="245"/>
      <c r="H1" s="247">
        <f ca="1">MAX(H2:H123)</f>
        <v>22222800</v>
      </c>
      <c r="I1" s="247">
        <f>MAX(I2:I75)</f>
        <v>0</v>
      </c>
      <c r="J1" s="248"/>
      <c r="K1" s="249"/>
      <c r="L1" s="417">
        <f>MAX(L2:L123)</f>
        <v>0</v>
      </c>
      <c r="M1" s="249"/>
      <c r="N1" s="250"/>
      <c r="Q1" s="451" t="s">
        <v>1087</v>
      </c>
      <c r="R1" s="452">
        <v>100</v>
      </c>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8" ht="13" x14ac:dyDescent="0.25">
      <c r="B3" s="2" t="str">
        <f>Client1</f>
        <v>Province of KwaZulu-Natal</v>
      </c>
      <c r="F3" s="1124" t="str">
        <f>"Contract No. "&amp;ContractNo</f>
        <v>Contract No. ZNB 00399/00000/HOD/INF/21/T</v>
      </c>
      <c r="G3" s="1124"/>
      <c r="H3" s="1124"/>
    </row>
    <row r="4" spans="1:18" ht="13" x14ac:dyDescent="0.25">
      <c r="B4" s="87" t="str">
        <f>Client2</f>
        <v>Department of Transport</v>
      </c>
    </row>
    <row r="5" spans="1:18" x14ac:dyDescent="0.25">
      <c r="B5" s="77"/>
      <c r="C5" s="77"/>
      <c r="D5" s="78"/>
      <c r="E5" s="78"/>
      <c r="F5" s="78"/>
      <c r="G5" s="79"/>
      <c r="H5" s="89"/>
    </row>
    <row r="6" spans="1:18" ht="13" x14ac:dyDescent="0.25">
      <c r="B6" s="1112" t="s">
        <v>2251</v>
      </c>
      <c r="C6" s="1113"/>
      <c r="D6" s="1113"/>
      <c r="E6" s="1113"/>
      <c r="F6" s="1113"/>
      <c r="G6" s="1113"/>
      <c r="H6" s="1114" t="str">
        <f>"CHAPTER "&amp;B12</f>
        <v>CHAPTER F</v>
      </c>
      <c r="I6" s="6"/>
    </row>
    <row r="7" spans="1:18"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15"/>
      <c r="I7" s="8"/>
    </row>
    <row r="8" spans="1:18" ht="12.75" customHeight="1" x14ac:dyDescent="0.25">
      <c r="B8" s="1117"/>
      <c r="C8" s="1118"/>
      <c r="D8" s="1118"/>
      <c r="E8" s="1118"/>
      <c r="F8" s="1118"/>
      <c r="G8" s="1118"/>
      <c r="H8" s="1115"/>
      <c r="I8" s="8"/>
    </row>
    <row r="9" spans="1:18" ht="7.5" customHeight="1" x14ac:dyDescent="0.25">
      <c r="B9" s="1119"/>
      <c r="C9" s="1120"/>
      <c r="D9" s="1120"/>
      <c r="E9" s="1120"/>
      <c r="F9" s="1120"/>
      <c r="G9" s="1120"/>
      <c r="H9" s="1116"/>
      <c r="I9" s="8"/>
    </row>
    <row r="10" spans="1:18"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8" x14ac:dyDescent="0.25">
      <c r="B11" s="56"/>
      <c r="C11" s="65"/>
      <c r="D11" s="15"/>
      <c r="E11" s="15"/>
      <c r="F11" s="15"/>
      <c r="G11" s="411"/>
      <c r="H11" s="17" t="str">
        <f t="shared" ref="H11:H53" si="0">IF(D11="","",F11*G11)</f>
        <v/>
      </c>
      <c r="I11" s="18"/>
      <c r="J11" s="61"/>
      <c r="K11" s="399"/>
      <c r="L11" s="420" t="str">
        <f t="shared" ref="L11" si="1">IF(J11="","",F11*K11)</f>
        <v/>
      </c>
      <c r="M11" s="401" t="str">
        <f t="shared" ref="M11:M54" si="2">IF(J11="","",IF(SUM(H11)=0,"",L11/H11))</f>
        <v/>
      </c>
    </row>
    <row r="12" spans="1:18" ht="13" x14ac:dyDescent="0.25">
      <c r="B12" s="146" t="s">
        <v>833</v>
      </c>
      <c r="C12" s="672" t="s">
        <v>844</v>
      </c>
      <c r="D12" s="15"/>
      <c r="E12" s="15"/>
      <c r="F12" s="15"/>
      <c r="G12" s="411"/>
      <c r="H12" s="17" t="str">
        <f t="shared" si="0"/>
        <v/>
      </c>
      <c r="I12" s="18"/>
      <c r="J12" s="61"/>
      <c r="K12" s="399"/>
      <c r="L12" s="420" t="str">
        <f t="shared" ref="L12:L40" si="3">IF(J12="","",F12*K12)</f>
        <v/>
      </c>
      <c r="M12" s="401" t="str">
        <f t="shared" ref="M12:M40" si="4">IF(J12="","",IF(SUM(H12)=0,"",L12/H12))</f>
        <v/>
      </c>
    </row>
    <row r="13" spans="1:18" x14ac:dyDescent="0.25">
      <c r="B13" s="58"/>
      <c r="C13" s="65"/>
      <c r="D13" s="15"/>
      <c r="E13" s="15"/>
      <c r="F13" s="15"/>
      <c r="G13" s="411"/>
      <c r="H13" s="17" t="str">
        <f t="shared" si="0"/>
        <v/>
      </c>
      <c r="I13" s="18"/>
      <c r="J13" s="61"/>
      <c r="K13" s="399"/>
      <c r="L13" s="420" t="str">
        <f t="shared" si="3"/>
        <v/>
      </c>
      <c r="M13" s="401" t="str">
        <f t="shared" si="4"/>
        <v/>
      </c>
    </row>
    <row r="14" spans="1:18" ht="13" x14ac:dyDescent="0.25">
      <c r="B14" s="146" t="s">
        <v>2248</v>
      </c>
      <c r="C14" s="672" t="s">
        <v>845</v>
      </c>
      <c r="D14" s="15"/>
      <c r="E14" s="15"/>
      <c r="F14" s="15"/>
      <c r="G14" s="411"/>
      <c r="H14" s="17" t="str">
        <f t="shared" si="0"/>
        <v/>
      </c>
      <c r="I14" s="18"/>
      <c r="J14" s="61"/>
      <c r="K14" s="399"/>
      <c r="L14" s="420" t="str">
        <f t="shared" si="3"/>
        <v/>
      </c>
      <c r="M14" s="401" t="str">
        <f t="shared" si="4"/>
        <v/>
      </c>
    </row>
    <row r="15" spans="1:18" ht="13" x14ac:dyDescent="0.25">
      <c r="B15" s="146"/>
      <c r="C15" s="65"/>
      <c r="D15" s="15"/>
      <c r="E15" s="15"/>
      <c r="F15" s="15"/>
      <c r="G15" s="411"/>
      <c r="H15" s="17" t="str">
        <f t="shared" si="0"/>
        <v/>
      </c>
      <c r="I15" s="18"/>
      <c r="J15" s="61"/>
      <c r="K15" s="399"/>
      <c r="L15" s="420" t="str">
        <f t="shared" si="3"/>
        <v/>
      </c>
      <c r="M15" s="401" t="str">
        <f t="shared" si="4"/>
        <v/>
      </c>
    </row>
    <row r="16" spans="1:18" ht="25" x14ac:dyDescent="0.25">
      <c r="B16" s="58" t="s">
        <v>39</v>
      </c>
      <c r="C16" s="65" t="s">
        <v>846</v>
      </c>
      <c r="D16" s="15"/>
      <c r="E16" s="15"/>
      <c r="F16" s="24"/>
      <c r="G16" s="703"/>
      <c r="H16" s="17" t="str">
        <f t="shared" si="0"/>
        <v/>
      </c>
      <c r="I16" s="57"/>
      <c r="J16" s="61"/>
      <c r="K16" s="400"/>
      <c r="L16" s="420" t="str">
        <f t="shared" si="3"/>
        <v/>
      </c>
      <c r="M16" s="401" t="str">
        <f t="shared" si="4"/>
        <v/>
      </c>
    </row>
    <row r="17" spans="2:13" ht="13" x14ac:dyDescent="0.25">
      <c r="B17" s="146"/>
      <c r="C17" s="65"/>
      <c r="D17" s="15"/>
      <c r="E17" s="15"/>
      <c r="F17" s="24"/>
      <c r="G17" s="703"/>
      <c r="H17" s="17" t="str">
        <f t="shared" si="0"/>
        <v/>
      </c>
      <c r="I17" s="57"/>
      <c r="J17" s="61"/>
      <c r="K17" s="399"/>
      <c r="L17" s="420" t="str">
        <f t="shared" si="3"/>
        <v/>
      </c>
      <c r="M17" s="401" t="str">
        <f t="shared" si="4"/>
        <v/>
      </c>
    </row>
    <row r="18" spans="2:13" ht="50" x14ac:dyDescent="0.25">
      <c r="B18" s="58" t="s">
        <v>152</v>
      </c>
      <c r="C18" s="65" t="s">
        <v>847</v>
      </c>
      <c r="D18" s="15" t="s">
        <v>34</v>
      </c>
      <c r="E18" s="15"/>
      <c r="F18" s="24">
        <v>10</v>
      </c>
      <c r="G18" s="411"/>
      <c r="H18" s="17">
        <f t="shared" si="0"/>
        <v>0</v>
      </c>
      <c r="I18" s="18"/>
      <c r="J18" s="61"/>
      <c r="K18" s="399"/>
      <c r="L18" s="420" t="str">
        <f t="shared" si="3"/>
        <v/>
      </c>
      <c r="M18" s="401" t="str">
        <f t="shared" si="4"/>
        <v/>
      </c>
    </row>
    <row r="19" spans="2:13" x14ac:dyDescent="0.25">
      <c r="B19" s="58"/>
      <c r="C19" s="65"/>
      <c r="D19" s="15"/>
      <c r="E19" s="15"/>
      <c r="F19" s="24"/>
      <c r="G19" s="423"/>
      <c r="H19" s="17" t="str">
        <f t="shared" si="0"/>
        <v/>
      </c>
      <c r="I19" s="18"/>
      <c r="J19" s="61"/>
      <c r="K19" s="399"/>
      <c r="L19" s="420" t="str">
        <f t="shared" si="3"/>
        <v/>
      </c>
      <c r="M19" s="401" t="str">
        <f t="shared" si="4"/>
        <v/>
      </c>
    </row>
    <row r="20" spans="2:13" ht="50" x14ac:dyDescent="0.25">
      <c r="B20" s="58" t="s">
        <v>154</v>
      </c>
      <c r="C20" s="65" t="s">
        <v>848</v>
      </c>
      <c r="D20" s="15" t="s">
        <v>34</v>
      </c>
      <c r="E20" s="15"/>
      <c r="F20" s="24">
        <v>5</v>
      </c>
      <c r="G20" s="421"/>
      <c r="H20" s="17">
        <f t="shared" si="0"/>
        <v>0</v>
      </c>
      <c r="I20" s="63"/>
      <c r="J20" s="61"/>
      <c r="K20" s="402"/>
      <c r="L20" s="420" t="str">
        <f t="shared" si="3"/>
        <v/>
      </c>
      <c r="M20" s="401" t="str">
        <f t="shared" si="4"/>
        <v/>
      </c>
    </row>
    <row r="21" spans="2:13" x14ac:dyDescent="0.25">
      <c r="B21" s="58"/>
      <c r="C21" s="784"/>
      <c r="D21" s="15"/>
      <c r="E21" s="15"/>
      <c r="F21" s="24"/>
      <c r="G21" s="421"/>
      <c r="H21" s="17" t="str">
        <f t="shared" si="0"/>
        <v/>
      </c>
      <c r="I21" s="63"/>
      <c r="J21" s="61"/>
      <c r="K21" s="402"/>
      <c r="L21" s="420" t="str">
        <f t="shared" si="3"/>
        <v/>
      </c>
      <c r="M21" s="401" t="str">
        <f t="shared" si="4"/>
        <v/>
      </c>
    </row>
    <row r="22" spans="2:13" ht="50" x14ac:dyDescent="0.25">
      <c r="B22" s="58" t="s">
        <v>252</v>
      </c>
      <c r="C22" s="65" t="s">
        <v>849</v>
      </c>
      <c r="D22" s="15" t="s">
        <v>34</v>
      </c>
      <c r="E22" s="15"/>
      <c r="F22" s="24">
        <v>1</v>
      </c>
      <c r="G22" s="422"/>
      <c r="H22" s="17">
        <f t="shared" si="0"/>
        <v>0</v>
      </c>
      <c r="I22" s="63"/>
      <c r="J22" s="61"/>
      <c r="K22" s="402"/>
      <c r="L22" s="420" t="str">
        <f t="shared" si="3"/>
        <v/>
      </c>
      <c r="M22" s="401" t="str">
        <f t="shared" si="4"/>
        <v/>
      </c>
    </row>
    <row r="23" spans="2:13" x14ac:dyDescent="0.25">
      <c r="B23" s="58"/>
      <c r="C23" s="65"/>
      <c r="D23" s="15"/>
      <c r="E23" s="15"/>
      <c r="F23" s="24"/>
      <c r="G23" s="421"/>
      <c r="H23" s="17" t="str">
        <f t="shared" si="0"/>
        <v/>
      </c>
      <c r="I23" s="63"/>
      <c r="J23" s="61"/>
      <c r="K23" s="402"/>
      <c r="L23" s="420" t="str">
        <f t="shared" si="3"/>
        <v/>
      </c>
      <c r="M23" s="401" t="str">
        <f t="shared" si="4"/>
        <v/>
      </c>
    </row>
    <row r="24" spans="2:13" x14ac:dyDescent="0.25">
      <c r="B24" s="58"/>
      <c r="C24" s="65"/>
      <c r="D24" s="15"/>
      <c r="E24" s="15"/>
      <c r="F24" s="24"/>
      <c r="G24" s="422"/>
      <c r="H24" s="17"/>
      <c r="I24" s="63"/>
      <c r="J24" s="61"/>
      <c r="K24" s="402"/>
      <c r="L24" s="420" t="str">
        <f t="shared" si="3"/>
        <v/>
      </c>
      <c r="M24" s="401" t="str">
        <f t="shared" si="4"/>
        <v/>
      </c>
    </row>
    <row r="25" spans="2:13" x14ac:dyDescent="0.25">
      <c r="B25" s="58"/>
      <c r="C25" s="65"/>
      <c r="D25" s="15"/>
      <c r="E25" s="15"/>
      <c r="F25" s="24"/>
      <c r="G25" s="421"/>
      <c r="H25" s="17" t="str">
        <f t="shared" si="0"/>
        <v/>
      </c>
      <c r="I25" s="63"/>
      <c r="J25" s="61"/>
      <c r="K25" s="402"/>
      <c r="L25" s="420" t="str">
        <f t="shared" si="3"/>
        <v/>
      </c>
      <c r="M25" s="401" t="str">
        <f t="shared" si="4"/>
        <v/>
      </c>
    </row>
    <row r="26" spans="2:13" ht="50" x14ac:dyDescent="0.25">
      <c r="B26" s="58" t="s">
        <v>826</v>
      </c>
      <c r="C26" s="65" t="s">
        <v>850</v>
      </c>
      <c r="D26" s="15" t="s">
        <v>34</v>
      </c>
      <c r="E26" s="15"/>
      <c r="F26" s="24">
        <v>1</v>
      </c>
      <c r="G26" s="422"/>
      <c r="H26" s="17">
        <f t="shared" si="0"/>
        <v>0</v>
      </c>
      <c r="I26" s="57"/>
      <c r="J26" s="62"/>
      <c r="K26" s="62"/>
      <c r="L26" s="420" t="str">
        <f t="shared" si="3"/>
        <v/>
      </c>
      <c r="M26" s="401" t="str">
        <f t="shared" si="4"/>
        <v/>
      </c>
    </row>
    <row r="27" spans="2:13" x14ac:dyDescent="0.25">
      <c r="B27" s="58"/>
      <c r="C27" s="65"/>
      <c r="D27" s="15"/>
      <c r="E27" s="15"/>
      <c r="F27" s="24"/>
      <c r="G27" s="411"/>
      <c r="H27" s="17" t="str">
        <f t="shared" si="0"/>
        <v/>
      </c>
      <c r="I27" s="18"/>
      <c r="J27" s="62"/>
      <c r="K27" s="62"/>
      <c r="L27" s="420" t="str">
        <f t="shared" si="3"/>
        <v/>
      </c>
      <c r="M27" s="401" t="str">
        <f t="shared" si="4"/>
        <v/>
      </c>
    </row>
    <row r="28" spans="2:13" s="36" customFormat="1" x14ac:dyDescent="0.25">
      <c r="B28" s="58"/>
      <c r="C28" s="65"/>
      <c r="D28" s="15"/>
      <c r="E28" s="15"/>
      <c r="F28" s="759"/>
      <c r="G28" s="422"/>
      <c r="H28" s="17" t="str">
        <f t="shared" si="0"/>
        <v/>
      </c>
      <c r="I28" s="18"/>
      <c r="J28" s="62"/>
      <c r="K28" s="62"/>
      <c r="L28" s="420" t="str">
        <f t="shared" si="3"/>
        <v/>
      </c>
      <c r="M28" s="401" t="str">
        <f t="shared" si="4"/>
        <v/>
      </c>
    </row>
    <row r="29" spans="2:13" x14ac:dyDescent="0.25">
      <c r="B29" s="58"/>
      <c r="C29" s="65"/>
      <c r="D29" s="15"/>
      <c r="E29" s="15"/>
      <c r="F29" s="24"/>
      <c r="G29" s="422"/>
      <c r="H29" s="17" t="str">
        <f t="shared" si="0"/>
        <v/>
      </c>
      <c r="I29" s="57"/>
      <c r="J29" s="62"/>
      <c r="K29" s="62"/>
      <c r="L29" s="420" t="str">
        <f t="shared" si="3"/>
        <v/>
      </c>
      <c r="M29" s="401" t="str">
        <f t="shared" si="4"/>
        <v/>
      </c>
    </row>
    <row r="30" spans="2:13" ht="26" x14ac:dyDescent="0.25">
      <c r="B30" s="146" t="s">
        <v>2249</v>
      </c>
      <c r="C30" s="672" t="s">
        <v>851</v>
      </c>
      <c r="D30" s="15"/>
      <c r="E30" s="15"/>
      <c r="F30" s="24"/>
      <c r="G30" s="422"/>
      <c r="H30" s="17" t="str">
        <f t="shared" si="0"/>
        <v/>
      </c>
      <c r="I30" s="57"/>
      <c r="J30" s="62"/>
      <c r="K30" s="62"/>
      <c r="L30" s="420" t="str">
        <f t="shared" si="3"/>
        <v/>
      </c>
      <c r="M30" s="401" t="str">
        <f t="shared" si="4"/>
        <v/>
      </c>
    </row>
    <row r="31" spans="2:13" x14ac:dyDescent="0.25">
      <c r="B31" s="58"/>
      <c r="C31" s="65"/>
      <c r="D31" s="15"/>
      <c r="E31" s="15"/>
      <c r="F31" s="24"/>
      <c r="G31" s="411"/>
      <c r="H31" s="17" t="str">
        <f t="shared" si="0"/>
        <v/>
      </c>
      <c r="I31" s="18"/>
      <c r="J31" s="62"/>
      <c r="K31" s="62"/>
      <c r="L31" s="420" t="str">
        <f t="shared" si="3"/>
        <v/>
      </c>
      <c r="M31" s="401" t="str">
        <f t="shared" si="4"/>
        <v/>
      </c>
    </row>
    <row r="32" spans="2:13" ht="25" x14ac:dyDescent="0.25">
      <c r="B32" s="58" t="s">
        <v>39</v>
      </c>
      <c r="C32" s="65" t="s">
        <v>852</v>
      </c>
      <c r="D32" s="15" t="s">
        <v>556</v>
      </c>
      <c r="E32" s="15"/>
      <c r="F32" s="985">
        <f ca="1">ROUND(CPG!D100*0.9,-2)</f>
        <v>19640500</v>
      </c>
      <c r="G32" s="422">
        <v>1</v>
      </c>
      <c r="H32" s="17">
        <f t="shared" ca="1" si="0"/>
        <v>19640500</v>
      </c>
      <c r="I32" s="18"/>
      <c r="J32" s="62"/>
      <c r="K32" s="62"/>
      <c r="L32" s="420" t="str">
        <f t="shared" si="3"/>
        <v/>
      </c>
      <c r="M32" s="401" t="str">
        <f t="shared" si="4"/>
        <v/>
      </c>
    </row>
    <row r="33" spans="2:13" x14ac:dyDescent="0.25">
      <c r="B33" s="58"/>
      <c r="C33" s="65"/>
      <c r="D33" s="15"/>
      <c r="E33" s="15"/>
      <c r="F33" s="24"/>
      <c r="G33" s="423"/>
      <c r="H33" s="17" t="str">
        <f t="shared" si="0"/>
        <v/>
      </c>
      <c r="I33" s="18"/>
      <c r="J33" s="62"/>
      <c r="K33" s="62"/>
      <c r="L33" s="420" t="str">
        <f t="shared" si="3"/>
        <v/>
      </c>
      <c r="M33" s="401" t="str">
        <f t="shared" si="4"/>
        <v/>
      </c>
    </row>
    <row r="34" spans="2:13" ht="25" x14ac:dyDescent="0.25">
      <c r="B34" s="58" t="s">
        <v>41</v>
      </c>
      <c r="C34" s="798" t="s">
        <v>2253</v>
      </c>
      <c r="D34" s="15" t="s">
        <v>26</v>
      </c>
      <c r="E34" s="15"/>
      <c r="F34" s="24">
        <f ca="1">F32</f>
        <v>19640500</v>
      </c>
      <c r="G34" s="760"/>
      <c r="H34" s="17">
        <f t="shared" ca="1" si="0"/>
        <v>0</v>
      </c>
      <c r="I34" s="18"/>
      <c r="J34" s="62"/>
      <c r="K34" s="62"/>
      <c r="L34" s="420" t="str">
        <f t="shared" si="3"/>
        <v/>
      </c>
      <c r="M34" s="401" t="str">
        <f t="shared" si="4"/>
        <v/>
      </c>
    </row>
    <row r="35" spans="2:13" x14ac:dyDescent="0.25">
      <c r="B35" s="58"/>
      <c r="C35" s="65"/>
      <c r="D35" s="15"/>
      <c r="E35" s="15"/>
      <c r="F35" s="15"/>
      <c r="G35" s="411"/>
      <c r="H35" s="17" t="str">
        <f t="shared" si="0"/>
        <v/>
      </c>
      <c r="I35" s="18"/>
      <c r="J35" s="62"/>
      <c r="K35" s="62"/>
      <c r="L35" s="420" t="str">
        <f t="shared" si="3"/>
        <v/>
      </c>
      <c r="M35" s="401" t="str">
        <f t="shared" si="4"/>
        <v/>
      </c>
    </row>
    <row r="36" spans="2:13" ht="25" x14ac:dyDescent="0.25">
      <c r="B36" s="58" t="s">
        <v>52</v>
      </c>
      <c r="C36" s="798" t="s">
        <v>853</v>
      </c>
      <c r="D36" s="15" t="s">
        <v>556</v>
      </c>
      <c r="E36" s="15"/>
      <c r="F36" s="985">
        <f ca="1">ROUND(CPG!D100*0.1,-2)</f>
        <v>2182300</v>
      </c>
      <c r="G36" s="411">
        <v>1</v>
      </c>
      <c r="H36" s="17">
        <f t="shared" ca="1" si="0"/>
        <v>2182300</v>
      </c>
      <c r="I36" s="18"/>
      <c r="J36" s="62"/>
      <c r="K36" s="62"/>
      <c r="L36" s="420" t="str">
        <f t="shared" si="3"/>
        <v/>
      </c>
      <c r="M36" s="401" t="str">
        <f t="shared" si="4"/>
        <v/>
      </c>
    </row>
    <row r="37" spans="2:13" x14ac:dyDescent="0.25">
      <c r="B37" s="58"/>
      <c r="C37" s="65"/>
      <c r="D37" s="15"/>
      <c r="E37" s="15"/>
      <c r="F37" s="15"/>
      <c r="G37" s="422"/>
      <c r="H37" s="17" t="str">
        <f t="shared" si="0"/>
        <v/>
      </c>
      <c r="I37" s="18"/>
      <c r="J37" s="62"/>
      <c r="K37" s="62"/>
      <c r="L37" s="420" t="str">
        <f t="shared" si="3"/>
        <v/>
      </c>
      <c r="M37" s="401" t="str">
        <f t="shared" si="4"/>
        <v/>
      </c>
    </row>
    <row r="38" spans="2:13" ht="25" x14ac:dyDescent="0.25">
      <c r="B38" s="58" t="s">
        <v>43</v>
      </c>
      <c r="C38" s="65" t="s">
        <v>2254</v>
      </c>
      <c r="D38" s="15" t="s">
        <v>26</v>
      </c>
      <c r="E38" s="15"/>
      <c r="F38" s="761">
        <f ca="1">F36</f>
        <v>2182300</v>
      </c>
      <c r="G38" s="760"/>
      <c r="H38" s="17">
        <f t="shared" ca="1" si="0"/>
        <v>0</v>
      </c>
      <c r="I38" s="18"/>
      <c r="J38" s="62"/>
      <c r="K38" s="62"/>
      <c r="L38" s="420" t="str">
        <f t="shared" si="3"/>
        <v/>
      </c>
      <c r="M38" s="401" t="str">
        <f t="shared" si="4"/>
        <v/>
      </c>
    </row>
    <row r="39" spans="2:13" x14ac:dyDescent="0.25">
      <c r="B39" s="58"/>
      <c r="C39" s="65"/>
      <c r="D39" s="15"/>
      <c r="E39" s="15"/>
      <c r="F39" s="15"/>
      <c r="G39" s="422"/>
      <c r="H39" s="17" t="str">
        <f t="shared" si="0"/>
        <v/>
      </c>
      <c r="I39" s="18"/>
      <c r="J39" s="62"/>
      <c r="K39" s="62"/>
      <c r="L39" s="420" t="str">
        <f t="shared" si="3"/>
        <v/>
      </c>
      <c r="M39" s="401" t="str">
        <f t="shared" si="4"/>
        <v/>
      </c>
    </row>
    <row r="40" spans="2:13" ht="25" x14ac:dyDescent="0.25">
      <c r="B40" s="58" t="s">
        <v>44</v>
      </c>
      <c r="C40" s="65" t="s">
        <v>854</v>
      </c>
      <c r="D40" s="15"/>
      <c r="E40" s="15"/>
      <c r="F40" s="15"/>
      <c r="G40" s="422"/>
      <c r="H40" s="17" t="str">
        <f t="shared" si="0"/>
        <v/>
      </c>
      <c r="I40" s="18"/>
      <c r="J40" s="62"/>
      <c r="K40" s="62"/>
      <c r="L40" s="420" t="str">
        <f t="shared" si="3"/>
        <v/>
      </c>
      <c r="M40" s="401" t="str">
        <f t="shared" si="4"/>
        <v/>
      </c>
    </row>
    <row r="41" spans="2:13" x14ac:dyDescent="0.25">
      <c r="B41" s="58"/>
      <c r="C41" s="65"/>
      <c r="D41" s="15"/>
      <c r="E41" s="15"/>
      <c r="F41" s="15"/>
      <c r="G41" s="422"/>
      <c r="H41" s="17" t="str">
        <f t="shared" si="0"/>
        <v/>
      </c>
      <c r="I41" s="18"/>
      <c r="J41" s="62"/>
      <c r="K41" s="62"/>
      <c r="L41" s="420" t="str">
        <f t="shared" ref="L41:L53" si="5">IF(J41="","",F41*K41)</f>
        <v/>
      </c>
      <c r="M41" s="401" t="str">
        <f t="shared" ref="M41:M53" si="6">IF(J41="","",IF(SUM(H41)=0,"",L41/H41))</f>
        <v/>
      </c>
    </row>
    <row r="42" spans="2:13" ht="25" x14ac:dyDescent="0.25">
      <c r="B42" s="58"/>
      <c r="C42" s="65" t="s">
        <v>2291</v>
      </c>
      <c r="D42" s="15" t="s">
        <v>979</v>
      </c>
      <c r="E42" s="15"/>
      <c r="F42" s="15">
        <v>17</v>
      </c>
      <c r="G42" s="422"/>
      <c r="H42" s="17">
        <f t="shared" si="0"/>
        <v>0</v>
      </c>
      <c r="I42" s="18"/>
      <c r="J42" s="62"/>
      <c r="K42" s="62"/>
      <c r="L42" s="420" t="str">
        <f t="shared" si="5"/>
        <v/>
      </c>
      <c r="M42" s="401" t="str">
        <f t="shared" si="6"/>
        <v/>
      </c>
    </row>
    <row r="43" spans="2:13" x14ac:dyDescent="0.25">
      <c r="B43" s="58"/>
      <c r="C43" s="65"/>
      <c r="D43" s="15"/>
      <c r="E43" s="15"/>
      <c r="F43" s="15"/>
      <c r="G43" s="422"/>
      <c r="H43" s="17" t="str">
        <f t="shared" si="0"/>
        <v/>
      </c>
      <c r="I43" s="18"/>
      <c r="J43" s="62"/>
      <c r="K43" s="62"/>
      <c r="L43" s="420" t="str">
        <f t="shared" si="5"/>
        <v/>
      </c>
      <c r="M43" s="401" t="str">
        <f t="shared" si="6"/>
        <v/>
      </c>
    </row>
    <row r="44" spans="2:13" ht="25" x14ac:dyDescent="0.25">
      <c r="B44" s="58"/>
      <c r="C44" s="65" t="s">
        <v>2292</v>
      </c>
      <c r="D44" s="15" t="s">
        <v>2289</v>
      </c>
      <c r="E44" s="15"/>
      <c r="F44" s="15">
        <f>17*3</f>
        <v>51</v>
      </c>
      <c r="G44" s="422"/>
      <c r="H44" s="17">
        <f t="shared" si="0"/>
        <v>0</v>
      </c>
      <c r="I44" s="18"/>
      <c r="J44" s="62"/>
      <c r="K44" s="62"/>
      <c r="L44" s="420" t="str">
        <f t="shared" si="5"/>
        <v/>
      </c>
      <c r="M44" s="401" t="str">
        <f t="shared" si="6"/>
        <v/>
      </c>
    </row>
    <row r="45" spans="2:13" x14ac:dyDescent="0.25">
      <c r="B45" s="58"/>
      <c r="C45" s="65"/>
      <c r="D45" s="15"/>
      <c r="E45" s="15"/>
      <c r="F45" s="15"/>
      <c r="G45" s="424"/>
      <c r="H45" s="17" t="str">
        <f t="shared" si="0"/>
        <v/>
      </c>
      <c r="I45" s="18"/>
      <c r="J45" s="62"/>
      <c r="K45" s="62"/>
      <c r="L45" s="420" t="str">
        <f t="shared" si="5"/>
        <v/>
      </c>
      <c r="M45" s="401" t="str">
        <f t="shared" si="6"/>
        <v/>
      </c>
    </row>
    <row r="46" spans="2:13" ht="25" x14ac:dyDescent="0.25">
      <c r="B46" s="58"/>
      <c r="C46" s="65" t="s">
        <v>2290</v>
      </c>
      <c r="D46" s="15" t="s">
        <v>979</v>
      </c>
      <c r="E46" s="15"/>
      <c r="F46" s="15">
        <f>F42</f>
        <v>17</v>
      </c>
      <c r="G46" s="422"/>
      <c r="H46" s="17">
        <f t="shared" si="0"/>
        <v>0</v>
      </c>
      <c r="I46" s="18"/>
      <c r="J46" s="62"/>
      <c r="K46" s="62"/>
      <c r="L46" s="420" t="str">
        <f t="shared" si="5"/>
        <v/>
      </c>
      <c r="M46" s="401" t="str">
        <f t="shared" si="6"/>
        <v/>
      </c>
    </row>
    <row r="47" spans="2:13" x14ac:dyDescent="0.25">
      <c r="B47" s="58"/>
      <c r="C47" s="65"/>
      <c r="D47" s="15"/>
      <c r="E47" s="15"/>
      <c r="F47" s="15"/>
      <c r="G47" s="422"/>
      <c r="H47" s="17" t="str">
        <f t="shared" si="0"/>
        <v/>
      </c>
      <c r="I47" s="18"/>
      <c r="J47" s="62"/>
      <c r="K47" s="62"/>
      <c r="L47" s="420" t="str">
        <f t="shared" si="5"/>
        <v/>
      </c>
      <c r="M47" s="401" t="str">
        <f t="shared" si="6"/>
        <v/>
      </c>
    </row>
    <row r="48" spans="2:13" ht="25" x14ac:dyDescent="0.25">
      <c r="B48" s="58"/>
      <c r="C48" s="65" t="s">
        <v>2287</v>
      </c>
      <c r="D48" s="15" t="s">
        <v>2288</v>
      </c>
      <c r="E48" s="15"/>
      <c r="F48" s="15">
        <f>17*10</f>
        <v>170</v>
      </c>
      <c r="G48" s="422"/>
      <c r="H48" s="17">
        <f t="shared" si="0"/>
        <v>0</v>
      </c>
      <c r="I48" s="18"/>
      <c r="J48" s="62"/>
      <c r="K48" s="62"/>
      <c r="L48" s="420" t="str">
        <f t="shared" si="5"/>
        <v/>
      </c>
      <c r="M48" s="401" t="str">
        <f t="shared" si="6"/>
        <v/>
      </c>
    </row>
    <row r="49" spans="2:13" x14ac:dyDescent="0.25">
      <c r="B49" s="58"/>
      <c r="C49" s="65"/>
      <c r="D49" s="15"/>
      <c r="E49" s="15"/>
      <c r="F49" s="15"/>
      <c r="G49" s="422"/>
      <c r="H49" s="17" t="str">
        <f t="shared" si="0"/>
        <v/>
      </c>
      <c r="I49" s="18"/>
      <c r="J49" s="62"/>
      <c r="K49" s="62"/>
      <c r="L49" s="420" t="str">
        <f t="shared" si="5"/>
        <v/>
      </c>
      <c r="M49" s="401" t="str">
        <f t="shared" si="6"/>
        <v/>
      </c>
    </row>
    <row r="50" spans="2:13" x14ac:dyDescent="0.25">
      <c r="B50" s="58"/>
      <c r="C50" s="65"/>
      <c r="D50" s="15"/>
      <c r="E50" s="15"/>
      <c r="F50" s="15"/>
      <c r="G50" s="422"/>
      <c r="H50" s="17" t="str">
        <f t="shared" si="0"/>
        <v/>
      </c>
      <c r="I50" s="18"/>
      <c r="J50" s="61"/>
      <c r="K50" s="62"/>
      <c r="L50" s="420" t="str">
        <f t="shared" si="5"/>
        <v/>
      </c>
      <c r="M50" s="401" t="str">
        <f t="shared" si="6"/>
        <v/>
      </c>
    </row>
    <row r="51" spans="2:13" x14ac:dyDescent="0.25">
      <c r="B51" s="58"/>
      <c r="C51" s="65"/>
      <c r="D51" s="15"/>
      <c r="E51" s="15"/>
      <c r="F51" s="15"/>
      <c r="G51" s="422"/>
      <c r="H51" s="17" t="str">
        <f t="shared" si="0"/>
        <v/>
      </c>
      <c r="I51" s="18"/>
      <c r="J51" s="61"/>
      <c r="K51" s="695"/>
      <c r="L51" s="420" t="str">
        <f t="shared" si="5"/>
        <v/>
      </c>
      <c r="M51" s="401" t="str">
        <f t="shared" si="6"/>
        <v/>
      </c>
    </row>
    <row r="52" spans="2:13" x14ac:dyDescent="0.25">
      <c r="B52" s="58"/>
      <c r="C52" s="65"/>
      <c r="D52" s="15"/>
      <c r="E52" s="15"/>
      <c r="F52" s="15"/>
      <c r="G52" s="422"/>
      <c r="H52" s="17" t="str">
        <f t="shared" si="0"/>
        <v/>
      </c>
      <c r="I52" s="18"/>
      <c r="J52" s="61"/>
      <c r="K52" s="695"/>
      <c r="L52" s="420" t="str">
        <f t="shared" si="5"/>
        <v/>
      </c>
      <c r="M52" s="401" t="str">
        <f t="shared" si="6"/>
        <v/>
      </c>
    </row>
    <row r="53" spans="2:13" x14ac:dyDescent="0.25">
      <c r="B53" s="58"/>
      <c r="C53" s="65"/>
      <c r="D53" s="15"/>
      <c r="E53" s="15"/>
      <c r="F53" s="15"/>
      <c r="G53" s="422"/>
      <c r="H53" s="17" t="str">
        <f t="shared" si="0"/>
        <v/>
      </c>
      <c r="I53" s="18"/>
      <c r="J53" s="61"/>
      <c r="K53" s="696"/>
      <c r="L53" s="420" t="str">
        <f t="shared" si="5"/>
        <v/>
      </c>
      <c r="M53" s="401" t="str">
        <f t="shared" si="6"/>
        <v/>
      </c>
    </row>
    <row r="54" spans="2:13" s="28" customFormat="1" ht="19.5" customHeight="1" x14ac:dyDescent="0.25">
      <c r="B54" s="135" t="str">
        <f>$B$12</f>
        <v>F</v>
      </c>
      <c r="C54" s="30" t="str">
        <f ca="1">"TOTAL CARRIED FORWARD"&amp;IF(H54=H$1," TO SUMMARY (Page C"&amp;Page_G&amp;")","")</f>
        <v>TOTAL CARRIED FORWARD</v>
      </c>
      <c r="D54" s="31"/>
      <c r="E54" s="31"/>
      <c r="F54" s="32"/>
      <c r="G54" s="31"/>
      <c r="H54" s="33">
        <f ca="1">SUM(H11:H53)</f>
        <v>21822800</v>
      </c>
      <c r="I54" s="34"/>
      <c r="J54" s="408"/>
      <c r="K54" s="406"/>
      <c r="L54" s="418">
        <f>SUM(L11:L53)</f>
        <v>0</v>
      </c>
      <c r="M54" s="407" t="str">
        <f t="shared" si="2"/>
        <v/>
      </c>
    </row>
    <row r="55" spans="2:13" ht="13" x14ac:dyDescent="0.25">
      <c r="B55" s="1108" t="str">
        <f>Client1</f>
        <v>Province of KwaZulu-Natal</v>
      </c>
      <c r="C55" s="1108"/>
      <c r="D55" s="1108"/>
      <c r="E55" s="87"/>
      <c r="F55" s="1109" t="str">
        <f>"Contract No. "&amp;ContractNo</f>
        <v>Contract No. ZNB 00399/00000/HOD/INF/21/T</v>
      </c>
      <c r="G55" s="1109"/>
      <c r="H55" s="1109"/>
    </row>
    <row r="56" spans="2:13" ht="13" x14ac:dyDescent="0.25">
      <c r="B56" s="1108" t="str">
        <f>Client2</f>
        <v>Department of Transport</v>
      </c>
      <c r="C56" s="1108"/>
      <c r="D56" s="1108"/>
      <c r="E56" s="87"/>
      <c r="F56" s="1109"/>
      <c r="G56" s="1109"/>
      <c r="H56" s="1109"/>
    </row>
    <row r="57" spans="2:13" x14ac:dyDescent="0.25">
      <c r="B57" s="1111"/>
      <c r="C57" s="1111"/>
      <c r="D57" s="1111"/>
      <c r="E57" s="78"/>
      <c r="F57" s="1110"/>
      <c r="G57" s="1110"/>
      <c r="H57" s="1110"/>
      <c r="L57" s="939"/>
    </row>
    <row r="58" spans="2:13" ht="13" x14ac:dyDescent="0.25">
      <c r="B58" s="1112" t="str">
        <f>B6</f>
        <v>SCHEDULE F: SMALL CONTRACTOR DEVELOPMENT</v>
      </c>
      <c r="C58" s="1113"/>
      <c r="D58" s="1113"/>
      <c r="E58" s="1113"/>
      <c r="F58" s="1113"/>
      <c r="G58" s="1113"/>
      <c r="H58" s="1114" t="str">
        <f>$H$6</f>
        <v>CHAPTER F</v>
      </c>
      <c r="I58" s="6"/>
    </row>
    <row r="59" spans="2:13" ht="13" x14ac:dyDescent="0.25">
      <c r="B59" s="1117" t="str">
        <f>ContractDescription</f>
        <v>THE CONSTRUCTION OF EARTHWORKS, LAYERWORKS, SURFACING, CULVERTS AND CWAKA RIVER BRIDGE FROM KM 11.600 TO KM 14.000 ON MAIN ROAD P494 IN THE KING CETSHWAYO DISTRICT UNDER EMPANGENI REGION</v>
      </c>
      <c r="C59" s="1118"/>
      <c r="D59" s="1118"/>
      <c r="E59" s="1118"/>
      <c r="F59" s="1118"/>
      <c r="G59" s="1118"/>
      <c r="H59" s="1115"/>
      <c r="I59" s="8"/>
    </row>
    <row r="60" spans="2:13" ht="13" x14ac:dyDescent="0.25">
      <c r="B60" s="1117"/>
      <c r="C60" s="1118"/>
      <c r="D60" s="1118"/>
      <c r="E60" s="1118"/>
      <c r="F60" s="1118"/>
      <c r="G60" s="1118"/>
      <c r="H60" s="1115"/>
      <c r="I60" s="8"/>
    </row>
    <row r="61" spans="2:13" ht="13" x14ac:dyDescent="0.25">
      <c r="B61" s="1119"/>
      <c r="C61" s="1120"/>
      <c r="D61" s="1120"/>
      <c r="E61" s="1120"/>
      <c r="F61" s="1120"/>
      <c r="G61" s="1120"/>
      <c r="H61" s="1116"/>
      <c r="I61" s="8"/>
    </row>
    <row r="62" spans="2:13" s="9" customFormat="1" ht="25" customHeight="1" x14ac:dyDescent="0.25">
      <c r="B62" s="74" t="s">
        <v>0</v>
      </c>
      <c r="C62" s="11" t="s">
        <v>1</v>
      </c>
      <c r="D62" s="11" t="s">
        <v>2</v>
      </c>
      <c r="E62" s="11" t="s">
        <v>996</v>
      </c>
      <c r="F62" s="11" t="s">
        <v>3</v>
      </c>
      <c r="G62" s="11" t="s">
        <v>4</v>
      </c>
      <c r="H62" s="11" t="s">
        <v>5</v>
      </c>
      <c r="I62" s="12"/>
      <c r="J62" s="408" t="s">
        <v>996</v>
      </c>
      <c r="K62" s="253" t="s">
        <v>997</v>
      </c>
      <c r="L62" s="253" t="s">
        <v>998</v>
      </c>
      <c r="M62" s="253" t="s">
        <v>999</v>
      </c>
    </row>
    <row r="63" spans="2:13" s="28" customFormat="1" ht="19.5" customHeight="1" x14ac:dyDescent="0.25">
      <c r="B63" s="80"/>
      <c r="C63" s="30" t="s">
        <v>27</v>
      </c>
      <c r="D63" s="31"/>
      <c r="E63" s="31"/>
      <c r="F63" s="32"/>
      <c r="G63" s="31"/>
      <c r="H63" s="33">
        <f ca="1">H54</f>
        <v>21822800</v>
      </c>
      <c r="I63" s="34"/>
      <c r="J63" s="416"/>
      <c r="K63" s="409"/>
      <c r="L63" s="419">
        <f>L54</f>
        <v>0</v>
      </c>
      <c r="M63" s="410" t="str">
        <f t="shared" ref="M63:M123" si="7">IF(J63="","",IF(SUM(H63)=0,"",L63/H63))</f>
        <v/>
      </c>
    </row>
    <row r="64" spans="2:13" x14ac:dyDescent="0.25">
      <c r="B64" s="58"/>
      <c r="C64" s="65"/>
      <c r="D64" s="15"/>
      <c r="E64" s="15"/>
      <c r="F64" s="15"/>
      <c r="G64" s="422"/>
      <c r="H64" s="17" t="str">
        <f t="shared" ref="H64:H122" si="8">IF(D64="","",F64*G64)</f>
        <v/>
      </c>
      <c r="I64" s="18"/>
      <c r="J64" s="61"/>
      <c r="K64" s="399"/>
      <c r="L64" s="420" t="str">
        <f t="shared" ref="L64" si="9">IF(J64="","",F64*K64)</f>
        <v/>
      </c>
      <c r="M64" s="401" t="str">
        <f t="shared" si="7"/>
        <v/>
      </c>
    </row>
    <row r="65" spans="2:13" ht="13" x14ac:dyDescent="0.25">
      <c r="B65" s="146" t="s">
        <v>2250</v>
      </c>
      <c r="C65" s="927" t="s">
        <v>855</v>
      </c>
      <c r="D65" s="15"/>
      <c r="E65" s="15"/>
      <c r="F65" s="15"/>
      <c r="G65" s="422"/>
      <c r="H65" s="17" t="str">
        <f t="shared" si="8"/>
        <v/>
      </c>
      <c r="I65" s="18"/>
      <c r="J65" s="61"/>
      <c r="K65" s="399"/>
      <c r="L65" s="420" t="str">
        <f t="shared" ref="L65:L122" si="10">IF(J65="","",F65*K65)</f>
        <v/>
      </c>
      <c r="M65" s="401" t="str">
        <f t="shared" ref="M65:M122" si="11">IF(J65="","",IF(SUM(H65)=0,"",L65/H65))</f>
        <v/>
      </c>
    </row>
    <row r="66" spans="2:13" x14ac:dyDescent="0.25">
      <c r="B66" s="58"/>
      <c r="C66" s="65"/>
      <c r="D66" s="15"/>
      <c r="E66" s="15"/>
      <c r="F66" s="761"/>
      <c r="G66" s="422"/>
      <c r="H66" s="17" t="str">
        <f t="shared" si="8"/>
        <v/>
      </c>
      <c r="I66" s="18"/>
      <c r="J66" s="61"/>
      <c r="K66" s="399"/>
      <c r="L66" s="420" t="str">
        <f t="shared" si="10"/>
        <v/>
      </c>
      <c r="M66" s="401" t="str">
        <f t="shared" si="11"/>
        <v/>
      </c>
    </row>
    <row r="67" spans="2:13" x14ac:dyDescent="0.25">
      <c r="B67" s="58" t="s">
        <v>39</v>
      </c>
      <c r="C67" s="65" t="s">
        <v>815</v>
      </c>
      <c r="D67" s="15"/>
      <c r="E67" s="15"/>
      <c r="F67" s="761"/>
      <c r="G67" s="422"/>
      <c r="H67" s="17" t="str">
        <f t="shared" si="8"/>
        <v/>
      </c>
      <c r="I67" s="18"/>
      <c r="J67" s="61"/>
      <c r="K67" s="399"/>
      <c r="L67" s="420" t="str">
        <f t="shared" si="10"/>
        <v/>
      </c>
      <c r="M67" s="401" t="str">
        <f t="shared" si="11"/>
        <v/>
      </c>
    </row>
    <row r="68" spans="2:13" ht="13" x14ac:dyDescent="0.25">
      <c r="B68" s="146"/>
      <c r="C68" s="65"/>
      <c r="D68" s="15"/>
      <c r="E68" s="15"/>
      <c r="F68" s="761"/>
      <c r="G68" s="424"/>
      <c r="H68" s="17" t="str">
        <f t="shared" si="8"/>
        <v/>
      </c>
      <c r="I68" s="18"/>
      <c r="J68" s="61"/>
      <c r="K68" s="400"/>
      <c r="L68" s="420" t="str">
        <f t="shared" si="10"/>
        <v/>
      </c>
      <c r="M68" s="401" t="str">
        <f t="shared" si="11"/>
        <v/>
      </c>
    </row>
    <row r="69" spans="2:13" x14ac:dyDescent="0.25">
      <c r="B69" s="58" t="s">
        <v>152</v>
      </c>
      <c r="C69" s="65" t="s">
        <v>816</v>
      </c>
      <c r="D69" s="15" t="s">
        <v>556</v>
      </c>
      <c r="E69" s="15"/>
      <c r="F69" s="761">
        <v>100000</v>
      </c>
      <c r="G69" s="424">
        <v>1</v>
      </c>
      <c r="H69" s="17">
        <f t="shared" si="8"/>
        <v>100000</v>
      </c>
      <c r="I69" s="18"/>
      <c r="J69" s="61"/>
      <c r="K69" s="399"/>
      <c r="L69" s="420" t="str">
        <f t="shared" si="10"/>
        <v/>
      </c>
      <c r="M69" s="401" t="str">
        <f t="shared" si="11"/>
        <v/>
      </c>
    </row>
    <row r="70" spans="2:13" x14ac:dyDescent="0.25">
      <c r="B70" s="58"/>
      <c r="C70" s="65"/>
      <c r="D70" s="15"/>
      <c r="E70" s="15"/>
      <c r="F70" s="761"/>
      <c r="G70" s="422"/>
      <c r="H70" s="17" t="str">
        <f t="shared" si="8"/>
        <v/>
      </c>
      <c r="I70" s="18"/>
      <c r="J70" s="61"/>
      <c r="K70" s="399"/>
      <c r="L70" s="420" t="str">
        <f t="shared" si="10"/>
        <v/>
      </c>
      <c r="M70" s="401" t="str">
        <f t="shared" si="11"/>
        <v/>
      </c>
    </row>
    <row r="71" spans="2:13" ht="25" x14ac:dyDescent="0.25">
      <c r="B71" s="58" t="s">
        <v>154</v>
      </c>
      <c r="C71" s="65" t="s">
        <v>856</v>
      </c>
      <c r="D71" s="15" t="s">
        <v>26</v>
      </c>
      <c r="E71" s="15"/>
      <c r="F71" s="761">
        <f>F69</f>
        <v>100000</v>
      </c>
      <c r="G71" s="425"/>
      <c r="H71" s="17">
        <f t="shared" si="8"/>
        <v>0</v>
      </c>
      <c r="I71" s="18"/>
      <c r="J71" s="61"/>
      <c r="K71" s="399"/>
      <c r="L71" s="420" t="str">
        <f t="shared" si="10"/>
        <v/>
      </c>
      <c r="M71" s="401" t="str">
        <f t="shared" si="11"/>
        <v/>
      </c>
    </row>
    <row r="72" spans="2:13" x14ac:dyDescent="0.25">
      <c r="B72" s="58"/>
      <c r="C72" s="784"/>
      <c r="D72" s="15"/>
      <c r="E72" s="15"/>
      <c r="F72" s="761"/>
      <c r="G72" s="422"/>
      <c r="H72" s="17" t="str">
        <f t="shared" si="8"/>
        <v/>
      </c>
      <c r="I72" s="18"/>
      <c r="J72" s="61"/>
      <c r="K72" s="402"/>
      <c r="L72" s="420" t="str">
        <f t="shared" si="10"/>
        <v/>
      </c>
      <c r="M72" s="401" t="str">
        <f t="shared" si="11"/>
        <v/>
      </c>
    </row>
    <row r="73" spans="2:13" x14ac:dyDescent="0.25">
      <c r="B73" s="58" t="s">
        <v>41</v>
      </c>
      <c r="C73" s="65" t="s">
        <v>817</v>
      </c>
      <c r="D73" s="15"/>
      <c r="E73" s="15"/>
      <c r="F73" s="761"/>
      <c r="G73" s="422"/>
      <c r="H73" s="17" t="str">
        <f t="shared" si="8"/>
        <v/>
      </c>
      <c r="I73" s="18"/>
      <c r="J73" s="61"/>
      <c r="K73" s="402"/>
      <c r="L73" s="420" t="str">
        <f t="shared" si="10"/>
        <v/>
      </c>
      <c r="M73" s="401" t="str">
        <f t="shared" si="11"/>
        <v/>
      </c>
    </row>
    <row r="74" spans="2:13" x14ac:dyDescent="0.25">
      <c r="B74" s="58"/>
      <c r="C74" s="65"/>
      <c r="D74" s="15"/>
      <c r="E74" s="15"/>
      <c r="F74" s="761"/>
      <c r="G74" s="422"/>
      <c r="H74" s="17" t="str">
        <f t="shared" si="8"/>
        <v/>
      </c>
      <c r="I74" s="18"/>
      <c r="J74" s="61"/>
      <c r="K74" s="402"/>
      <c r="L74" s="420" t="str">
        <f t="shared" si="10"/>
        <v/>
      </c>
      <c r="M74" s="401" t="str">
        <f t="shared" si="11"/>
        <v/>
      </c>
    </row>
    <row r="75" spans="2:13" x14ac:dyDescent="0.25">
      <c r="B75" s="58" t="s">
        <v>217</v>
      </c>
      <c r="C75" s="65" t="s">
        <v>816</v>
      </c>
      <c r="D75" s="15" t="s">
        <v>556</v>
      </c>
      <c r="E75" s="15"/>
      <c r="F75" s="761">
        <v>100000</v>
      </c>
      <c r="G75" s="422">
        <v>1</v>
      </c>
      <c r="H75" s="17">
        <f t="shared" si="8"/>
        <v>100000</v>
      </c>
      <c r="I75" s="18"/>
      <c r="J75" s="61"/>
      <c r="K75" s="402"/>
      <c r="L75" s="420" t="str">
        <f t="shared" si="10"/>
        <v/>
      </c>
      <c r="M75" s="401" t="str">
        <f t="shared" si="11"/>
        <v/>
      </c>
    </row>
    <row r="76" spans="2:13" x14ac:dyDescent="0.25">
      <c r="B76" s="58"/>
      <c r="C76" s="65"/>
      <c r="D76" s="15"/>
      <c r="E76" s="15"/>
      <c r="F76" s="761"/>
      <c r="G76" s="422"/>
      <c r="H76" s="17" t="str">
        <f t="shared" si="8"/>
        <v/>
      </c>
      <c r="I76" s="63"/>
      <c r="J76" s="61"/>
      <c r="K76" s="402"/>
      <c r="L76" s="420" t="str">
        <f t="shared" si="10"/>
        <v/>
      </c>
      <c r="M76" s="401" t="str">
        <f t="shared" si="11"/>
        <v/>
      </c>
    </row>
    <row r="77" spans="2:13" ht="25" x14ac:dyDescent="0.25">
      <c r="B77" s="58" t="s">
        <v>218</v>
      </c>
      <c r="C77" s="65" t="s">
        <v>857</v>
      </c>
      <c r="D77" s="15" t="s">
        <v>26</v>
      </c>
      <c r="E77" s="15"/>
      <c r="F77" s="761">
        <f>F75</f>
        <v>100000</v>
      </c>
      <c r="G77" s="425"/>
      <c r="H77" s="17">
        <f t="shared" si="8"/>
        <v>0</v>
      </c>
      <c r="I77" s="18"/>
      <c r="J77" s="61"/>
      <c r="K77" s="402"/>
      <c r="L77" s="420" t="str">
        <f t="shared" si="10"/>
        <v/>
      </c>
      <c r="M77" s="401" t="str">
        <f t="shared" si="11"/>
        <v/>
      </c>
    </row>
    <row r="78" spans="2:13" x14ac:dyDescent="0.25">
      <c r="B78" s="58"/>
      <c r="C78" s="65"/>
      <c r="D78" s="15"/>
      <c r="E78" s="15"/>
      <c r="F78" s="761"/>
      <c r="G78" s="422"/>
      <c r="H78" s="17" t="str">
        <f t="shared" si="8"/>
        <v/>
      </c>
      <c r="I78" s="69"/>
      <c r="J78" s="62"/>
      <c r="K78" s="62"/>
      <c r="L78" s="420" t="str">
        <f t="shared" si="10"/>
        <v/>
      </c>
      <c r="M78" s="401" t="str">
        <f t="shared" si="11"/>
        <v/>
      </c>
    </row>
    <row r="79" spans="2:13" x14ac:dyDescent="0.25">
      <c r="B79" s="58" t="s">
        <v>42</v>
      </c>
      <c r="C79" s="65" t="s">
        <v>819</v>
      </c>
      <c r="D79" s="15"/>
      <c r="E79" s="15"/>
      <c r="F79" s="761"/>
      <c r="G79" s="422"/>
      <c r="H79" s="17" t="str">
        <f t="shared" si="8"/>
        <v/>
      </c>
      <c r="I79" s="63"/>
      <c r="J79" s="62"/>
      <c r="K79" s="62"/>
      <c r="L79" s="420" t="str">
        <f t="shared" si="10"/>
        <v/>
      </c>
      <c r="M79" s="401" t="str">
        <f t="shared" si="11"/>
        <v/>
      </c>
    </row>
    <row r="80" spans="2:13" x14ac:dyDescent="0.25">
      <c r="B80" s="58"/>
      <c r="C80" s="65"/>
      <c r="D80" s="15"/>
      <c r="E80" s="15"/>
      <c r="F80" s="761"/>
      <c r="G80" s="422"/>
      <c r="H80" s="17" t="str">
        <f t="shared" si="8"/>
        <v/>
      </c>
      <c r="I80" s="18"/>
      <c r="J80" s="62"/>
      <c r="K80" s="62"/>
      <c r="L80" s="420" t="str">
        <f t="shared" si="10"/>
        <v/>
      </c>
      <c r="M80" s="401" t="str">
        <f t="shared" si="11"/>
        <v/>
      </c>
    </row>
    <row r="81" spans="2:13" x14ac:dyDescent="0.25">
      <c r="B81" s="58" t="s">
        <v>253</v>
      </c>
      <c r="C81" s="65" t="s">
        <v>816</v>
      </c>
      <c r="D81" s="15" t="s">
        <v>556</v>
      </c>
      <c r="E81" s="15"/>
      <c r="F81" s="761">
        <v>100000</v>
      </c>
      <c r="G81" s="422">
        <v>1</v>
      </c>
      <c r="H81" s="17">
        <f t="shared" si="8"/>
        <v>100000</v>
      </c>
      <c r="I81" s="18"/>
      <c r="J81" s="62"/>
      <c r="K81" s="62"/>
      <c r="L81" s="420" t="str">
        <f t="shared" si="10"/>
        <v/>
      </c>
      <c r="M81" s="401" t="str">
        <f t="shared" si="11"/>
        <v/>
      </c>
    </row>
    <row r="82" spans="2:13" x14ac:dyDescent="0.25">
      <c r="B82" s="58"/>
      <c r="C82" s="65"/>
      <c r="D82" s="15"/>
      <c r="E82" s="15"/>
      <c r="F82" s="761"/>
      <c r="G82" s="422"/>
      <c r="H82" s="17" t="str">
        <f t="shared" si="8"/>
        <v/>
      </c>
      <c r="I82" s="18"/>
      <c r="J82" s="62"/>
      <c r="K82" s="62"/>
      <c r="L82" s="420" t="str">
        <f t="shared" si="10"/>
        <v/>
      </c>
      <c r="M82" s="401" t="str">
        <f t="shared" si="11"/>
        <v/>
      </c>
    </row>
    <row r="83" spans="2:13" ht="25" x14ac:dyDescent="0.25">
      <c r="B83" s="58" t="s">
        <v>254</v>
      </c>
      <c r="C83" s="65" t="s">
        <v>858</v>
      </c>
      <c r="D83" s="15" t="s">
        <v>26</v>
      </c>
      <c r="E83" s="15"/>
      <c r="F83" s="761">
        <v>100000</v>
      </c>
      <c r="G83" s="425"/>
      <c r="H83" s="17">
        <f t="shared" si="8"/>
        <v>0</v>
      </c>
      <c r="I83" s="18"/>
      <c r="J83" s="62"/>
      <c r="K83" s="62"/>
      <c r="L83" s="420" t="str">
        <f t="shared" si="10"/>
        <v/>
      </c>
      <c r="M83" s="401" t="str">
        <f t="shared" si="11"/>
        <v/>
      </c>
    </row>
    <row r="84" spans="2:13" x14ac:dyDescent="0.25">
      <c r="B84" s="58"/>
      <c r="C84" s="65"/>
      <c r="D84" s="15"/>
      <c r="E84" s="15"/>
      <c r="F84" s="761"/>
      <c r="G84" s="422"/>
      <c r="H84" s="17" t="str">
        <f t="shared" si="8"/>
        <v/>
      </c>
      <c r="I84" s="18"/>
      <c r="J84" s="62"/>
      <c r="K84" s="62"/>
      <c r="L84" s="420" t="str">
        <f t="shared" si="10"/>
        <v/>
      </c>
      <c r="M84" s="401" t="str">
        <f t="shared" si="11"/>
        <v/>
      </c>
    </row>
    <row r="85" spans="2:13" ht="25" x14ac:dyDescent="0.25">
      <c r="B85" s="58" t="s">
        <v>43</v>
      </c>
      <c r="C85" s="65" t="s">
        <v>834</v>
      </c>
      <c r="D85" s="15"/>
      <c r="E85" s="15"/>
      <c r="F85" s="761"/>
      <c r="G85" s="422"/>
      <c r="H85" s="17" t="str">
        <f t="shared" si="8"/>
        <v/>
      </c>
      <c r="I85" s="18"/>
      <c r="J85" s="62"/>
      <c r="K85" s="62"/>
      <c r="L85" s="420" t="str">
        <f t="shared" si="10"/>
        <v/>
      </c>
      <c r="M85" s="401" t="str">
        <f t="shared" si="11"/>
        <v/>
      </c>
    </row>
    <row r="86" spans="2:13" x14ac:dyDescent="0.25">
      <c r="B86" s="58"/>
      <c r="C86" s="65"/>
      <c r="D86" s="15"/>
      <c r="E86" s="15"/>
      <c r="F86" s="761"/>
      <c r="G86" s="422"/>
      <c r="H86" s="17" t="str">
        <f t="shared" si="8"/>
        <v/>
      </c>
      <c r="I86" s="18"/>
      <c r="J86" s="62"/>
      <c r="K86" s="62"/>
      <c r="L86" s="420" t="str">
        <f t="shared" si="10"/>
        <v/>
      </c>
      <c r="M86" s="401" t="str">
        <f t="shared" si="11"/>
        <v/>
      </c>
    </row>
    <row r="87" spans="2:13" x14ac:dyDescent="0.25">
      <c r="B87" s="58" t="s">
        <v>271</v>
      </c>
      <c r="C87" s="65" t="s">
        <v>835</v>
      </c>
      <c r="D87" s="15" t="s">
        <v>556</v>
      </c>
      <c r="E87" s="15"/>
      <c r="F87" s="761">
        <v>100000</v>
      </c>
      <c r="G87" s="422">
        <v>1</v>
      </c>
      <c r="H87" s="17">
        <f t="shared" si="8"/>
        <v>100000</v>
      </c>
      <c r="I87" s="18"/>
      <c r="J87" s="62"/>
      <c r="K87" s="62"/>
      <c r="L87" s="420" t="str">
        <f t="shared" si="10"/>
        <v/>
      </c>
      <c r="M87" s="401" t="str">
        <f t="shared" si="11"/>
        <v/>
      </c>
    </row>
    <row r="88" spans="2:13" x14ac:dyDescent="0.25">
      <c r="B88" s="58"/>
      <c r="C88" s="65"/>
      <c r="D88" s="15"/>
      <c r="E88" s="15"/>
      <c r="F88" s="761"/>
      <c r="G88" s="422"/>
      <c r="H88" s="17" t="str">
        <f t="shared" si="8"/>
        <v/>
      </c>
      <c r="I88" s="18"/>
      <c r="J88" s="62"/>
      <c r="K88" s="62"/>
      <c r="L88" s="420" t="str">
        <f t="shared" si="10"/>
        <v/>
      </c>
      <c r="M88" s="401" t="str">
        <f t="shared" si="11"/>
        <v/>
      </c>
    </row>
    <row r="89" spans="2:13" ht="25" x14ac:dyDescent="0.25">
      <c r="B89" s="58" t="s">
        <v>820</v>
      </c>
      <c r="C89" s="65" t="s">
        <v>859</v>
      </c>
      <c r="D89" s="15" t="s">
        <v>26</v>
      </c>
      <c r="E89" s="15"/>
      <c r="F89" s="761">
        <f>F87</f>
        <v>100000</v>
      </c>
      <c r="G89" s="425"/>
      <c r="H89" s="17">
        <f t="shared" si="8"/>
        <v>0</v>
      </c>
      <c r="I89" s="18"/>
      <c r="J89" s="62"/>
      <c r="K89" s="62"/>
      <c r="L89" s="420" t="str">
        <f t="shared" si="10"/>
        <v/>
      </c>
      <c r="M89" s="401" t="str">
        <f t="shared" si="11"/>
        <v/>
      </c>
    </row>
    <row r="90" spans="2:13" x14ac:dyDescent="0.25">
      <c r="B90" s="58"/>
      <c r="C90" s="65"/>
      <c r="D90" s="15"/>
      <c r="E90" s="15"/>
      <c r="F90" s="761"/>
      <c r="G90" s="422"/>
      <c r="H90" s="17" t="str">
        <f t="shared" si="8"/>
        <v/>
      </c>
      <c r="I90" s="18"/>
      <c r="J90" s="62"/>
      <c r="K90" s="62"/>
      <c r="L90" s="420" t="str">
        <f t="shared" si="10"/>
        <v/>
      </c>
      <c r="M90" s="401" t="str">
        <f t="shared" si="11"/>
        <v/>
      </c>
    </row>
    <row r="91" spans="2:13" ht="25" x14ac:dyDescent="0.25">
      <c r="B91" s="58" t="s">
        <v>44</v>
      </c>
      <c r="C91" s="65" t="s">
        <v>1705</v>
      </c>
      <c r="D91" s="15" t="s">
        <v>562</v>
      </c>
      <c r="E91" s="15"/>
      <c r="F91" s="761">
        <v>1</v>
      </c>
      <c r="G91" s="422"/>
      <c r="H91" s="17">
        <f t="shared" si="8"/>
        <v>0</v>
      </c>
      <c r="I91" s="18"/>
      <c r="J91" s="62"/>
      <c r="K91" s="62"/>
      <c r="L91" s="420" t="str">
        <f t="shared" si="10"/>
        <v/>
      </c>
      <c r="M91" s="401" t="str">
        <f t="shared" si="11"/>
        <v/>
      </c>
    </row>
    <row r="92" spans="2:13" x14ac:dyDescent="0.25">
      <c r="B92" s="58"/>
      <c r="C92" s="65"/>
      <c r="D92" s="15"/>
      <c r="E92" s="15"/>
      <c r="F92" s="761"/>
      <c r="G92" s="422"/>
      <c r="H92" s="17" t="str">
        <f t="shared" si="8"/>
        <v/>
      </c>
      <c r="I92" s="18"/>
      <c r="J92" s="62"/>
      <c r="K92" s="62"/>
      <c r="L92" s="420" t="str">
        <f t="shared" si="10"/>
        <v/>
      </c>
      <c r="M92" s="401" t="str">
        <f t="shared" si="11"/>
        <v/>
      </c>
    </row>
    <row r="93" spans="2:13" x14ac:dyDescent="0.25">
      <c r="B93" s="58"/>
      <c r="C93" s="65"/>
      <c r="D93" s="15"/>
      <c r="E93" s="15"/>
      <c r="F93" s="761"/>
      <c r="G93" s="422"/>
      <c r="H93" s="17" t="str">
        <f t="shared" si="8"/>
        <v/>
      </c>
      <c r="I93" s="18"/>
      <c r="J93" s="62"/>
      <c r="K93" s="62"/>
      <c r="L93" s="420" t="str">
        <f t="shared" si="10"/>
        <v/>
      </c>
      <c r="M93" s="401" t="str">
        <f t="shared" si="11"/>
        <v/>
      </c>
    </row>
    <row r="94" spans="2:13" x14ac:dyDescent="0.25">
      <c r="B94" s="58"/>
      <c r="C94" s="65"/>
      <c r="D94" s="15"/>
      <c r="E94" s="15"/>
      <c r="F94" s="761"/>
      <c r="G94" s="422"/>
      <c r="H94" s="17" t="str">
        <f t="shared" si="8"/>
        <v/>
      </c>
      <c r="I94" s="18"/>
      <c r="J94" s="62"/>
      <c r="K94" s="62"/>
      <c r="L94" s="420" t="str">
        <f t="shared" si="10"/>
        <v/>
      </c>
      <c r="M94" s="401" t="str">
        <f t="shared" si="11"/>
        <v/>
      </c>
    </row>
    <row r="95" spans="2:13" x14ac:dyDescent="0.25">
      <c r="B95" s="58"/>
      <c r="C95" s="65"/>
      <c r="D95" s="15"/>
      <c r="E95" s="15"/>
      <c r="F95" s="761"/>
      <c r="G95" s="422"/>
      <c r="H95" s="17" t="str">
        <f t="shared" si="8"/>
        <v/>
      </c>
      <c r="I95" s="18"/>
      <c r="J95" s="62"/>
      <c r="K95" s="62"/>
      <c r="L95" s="420" t="str">
        <f t="shared" si="10"/>
        <v/>
      </c>
      <c r="M95" s="401" t="str">
        <f t="shared" si="11"/>
        <v/>
      </c>
    </row>
    <row r="96" spans="2:13" x14ac:dyDescent="0.25">
      <c r="B96" s="58"/>
      <c r="C96" s="65"/>
      <c r="D96" s="15"/>
      <c r="E96" s="15"/>
      <c r="F96" s="761"/>
      <c r="G96" s="422"/>
      <c r="H96" s="17" t="str">
        <f t="shared" si="8"/>
        <v/>
      </c>
      <c r="I96" s="18"/>
      <c r="J96" s="62"/>
      <c r="K96" s="62"/>
      <c r="L96" s="420" t="str">
        <f t="shared" si="10"/>
        <v/>
      </c>
      <c r="M96" s="401" t="str">
        <f t="shared" si="11"/>
        <v/>
      </c>
    </row>
    <row r="97" spans="2:13" x14ac:dyDescent="0.25">
      <c r="B97" s="58"/>
      <c r="C97" s="65"/>
      <c r="D97" s="15"/>
      <c r="E97" s="15"/>
      <c r="F97" s="761"/>
      <c r="G97" s="422"/>
      <c r="H97" s="17" t="str">
        <f t="shared" si="8"/>
        <v/>
      </c>
      <c r="I97" s="18"/>
      <c r="J97" s="62"/>
      <c r="K97" s="62"/>
      <c r="L97" s="420" t="str">
        <f t="shared" si="10"/>
        <v/>
      </c>
      <c r="M97" s="401" t="str">
        <f t="shared" si="11"/>
        <v/>
      </c>
    </row>
    <row r="98" spans="2:13" x14ac:dyDescent="0.25">
      <c r="B98" s="58"/>
      <c r="C98" s="65"/>
      <c r="D98" s="15"/>
      <c r="E98" s="15"/>
      <c r="F98" s="761"/>
      <c r="G98" s="422"/>
      <c r="H98" s="17" t="str">
        <f t="shared" si="8"/>
        <v/>
      </c>
      <c r="I98" s="18"/>
      <c r="J98" s="62"/>
      <c r="K98" s="62"/>
      <c r="L98" s="420" t="str">
        <f t="shared" si="10"/>
        <v/>
      </c>
      <c r="M98" s="401" t="str">
        <f t="shared" si="11"/>
        <v/>
      </c>
    </row>
    <row r="99" spans="2:13" x14ac:dyDescent="0.25">
      <c r="B99" s="58"/>
      <c r="C99" s="65"/>
      <c r="D99" s="15"/>
      <c r="E99" s="15"/>
      <c r="F99" s="761"/>
      <c r="G99" s="422"/>
      <c r="H99" s="17" t="str">
        <f t="shared" si="8"/>
        <v/>
      </c>
      <c r="I99" s="18"/>
      <c r="J99" s="62"/>
      <c r="K99" s="62"/>
      <c r="L99" s="420" t="str">
        <f t="shared" ref="L99:L116" si="12">IF(J99="","",F99*K99)</f>
        <v/>
      </c>
      <c r="M99" s="401" t="str">
        <f t="shared" ref="M99:M116" si="13">IF(J99="","",IF(SUM(H99)=0,"",L99/H99))</f>
        <v/>
      </c>
    </row>
    <row r="100" spans="2:13" x14ac:dyDescent="0.25">
      <c r="B100" s="58"/>
      <c r="C100" s="65"/>
      <c r="D100" s="15"/>
      <c r="E100" s="15"/>
      <c r="F100" s="761"/>
      <c r="G100" s="422"/>
      <c r="H100" s="17" t="str">
        <f t="shared" si="8"/>
        <v/>
      </c>
      <c r="I100" s="18"/>
      <c r="J100" s="62"/>
      <c r="K100" s="62"/>
      <c r="L100" s="420" t="str">
        <f t="shared" si="12"/>
        <v/>
      </c>
      <c r="M100" s="401" t="str">
        <f t="shared" si="13"/>
        <v/>
      </c>
    </row>
    <row r="101" spans="2:13" x14ac:dyDescent="0.25">
      <c r="B101" s="58"/>
      <c r="C101" s="65"/>
      <c r="D101" s="15"/>
      <c r="E101" s="15"/>
      <c r="F101" s="761"/>
      <c r="G101" s="422"/>
      <c r="H101" s="17" t="str">
        <f t="shared" si="8"/>
        <v/>
      </c>
      <c r="I101" s="18"/>
      <c r="J101" s="62"/>
      <c r="K101" s="62"/>
      <c r="L101" s="420" t="str">
        <f t="shared" si="12"/>
        <v/>
      </c>
      <c r="M101" s="401" t="str">
        <f t="shared" si="13"/>
        <v/>
      </c>
    </row>
    <row r="102" spans="2:13" x14ac:dyDescent="0.25">
      <c r="B102" s="58"/>
      <c r="C102" s="65"/>
      <c r="D102" s="15"/>
      <c r="E102" s="15"/>
      <c r="F102" s="761"/>
      <c r="G102" s="422"/>
      <c r="H102" s="17" t="str">
        <f t="shared" si="8"/>
        <v/>
      </c>
      <c r="I102" s="18"/>
      <c r="J102" s="62"/>
      <c r="K102" s="62"/>
      <c r="L102" s="420" t="str">
        <f t="shared" si="12"/>
        <v/>
      </c>
      <c r="M102" s="401" t="str">
        <f t="shared" si="13"/>
        <v/>
      </c>
    </row>
    <row r="103" spans="2:13" x14ac:dyDescent="0.25">
      <c r="B103" s="58"/>
      <c r="C103" s="65"/>
      <c r="D103" s="15"/>
      <c r="E103" s="15"/>
      <c r="F103" s="761"/>
      <c r="G103" s="422"/>
      <c r="H103" s="17" t="str">
        <f t="shared" si="8"/>
        <v/>
      </c>
      <c r="I103" s="18"/>
      <c r="J103" s="62"/>
      <c r="K103" s="62"/>
      <c r="L103" s="420" t="str">
        <f t="shared" si="12"/>
        <v/>
      </c>
      <c r="M103" s="401" t="str">
        <f t="shared" si="13"/>
        <v/>
      </c>
    </row>
    <row r="104" spans="2:13" x14ac:dyDescent="0.25">
      <c r="B104" s="58"/>
      <c r="C104" s="65"/>
      <c r="D104" s="15"/>
      <c r="E104" s="15"/>
      <c r="F104" s="761"/>
      <c r="G104" s="422"/>
      <c r="H104" s="17" t="str">
        <f t="shared" si="8"/>
        <v/>
      </c>
      <c r="I104" s="18"/>
      <c r="J104" s="62"/>
      <c r="K104" s="62"/>
      <c r="L104" s="420" t="str">
        <f t="shared" si="12"/>
        <v/>
      </c>
      <c r="M104" s="401" t="str">
        <f t="shared" si="13"/>
        <v/>
      </c>
    </row>
    <row r="105" spans="2:13" x14ac:dyDescent="0.25">
      <c r="B105" s="58"/>
      <c r="C105" s="65"/>
      <c r="D105" s="15"/>
      <c r="E105" s="15"/>
      <c r="F105" s="761"/>
      <c r="G105" s="422"/>
      <c r="H105" s="17" t="str">
        <f t="shared" si="8"/>
        <v/>
      </c>
      <c r="I105" s="18"/>
      <c r="J105" s="62"/>
      <c r="K105" s="62"/>
      <c r="L105" s="420" t="str">
        <f t="shared" si="12"/>
        <v/>
      </c>
      <c r="M105" s="401" t="str">
        <f t="shared" si="13"/>
        <v/>
      </c>
    </row>
    <row r="106" spans="2:13" x14ac:dyDescent="0.25">
      <c r="B106" s="58"/>
      <c r="C106" s="65"/>
      <c r="D106" s="15"/>
      <c r="E106" s="15"/>
      <c r="F106" s="761"/>
      <c r="G106" s="422"/>
      <c r="H106" s="17" t="str">
        <f t="shared" si="8"/>
        <v/>
      </c>
      <c r="I106" s="18"/>
      <c r="J106" s="62"/>
      <c r="K106" s="62"/>
      <c r="L106" s="420" t="str">
        <f t="shared" si="12"/>
        <v/>
      </c>
      <c r="M106" s="401" t="str">
        <f t="shared" si="13"/>
        <v/>
      </c>
    </row>
    <row r="107" spans="2:13" x14ac:dyDescent="0.25">
      <c r="B107" s="58"/>
      <c r="C107" s="65"/>
      <c r="D107" s="15"/>
      <c r="E107" s="15"/>
      <c r="F107" s="761"/>
      <c r="G107" s="422"/>
      <c r="H107" s="17" t="str">
        <f t="shared" si="8"/>
        <v/>
      </c>
      <c r="I107" s="18"/>
      <c r="J107" s="62"/>
      <c r="K107" s="62"/>
      <c r="L107" s="420" t="str">
        <f t="shared" si="12"/>
        <v/>
      </c>
      <c r="M107" s="401" t="str">
        <f t="shared" si="13"/>
        <v/>
      </c>
    </row>
    <row r="108" spans="2:13" x14ac:dyDescent="0.25">
      <c r="B108" s="58"/>
      <c r="C108" s="65"/>
      <c r="D108" s="15"/>
      <c r="E108" s="15"/>
      <c r="F108" s="761"/>
      <c r="G108" s="422"/>
      <c r="H108" s="17" t="str">
        <f t="shared" si="8"/>
        <v/>
      </c>
      <c r="I108" s="18"/>
      <c r="J108" s="62"/>
      <c r="K108" s="62"/>
      <c r="L108" s="420" t="str">
        <f t="shared" si="12"/>
        <v/>
      </c>
      <c r="M108" s="401" t="str">
        <f t="shared" si="13"/>
        <v/>
      </c>
    </row>
    <row r="109" spans="2:13" x14ac:dyDescent="0.25">
      <c r="B109" s="58"/>
      <c r="C109" s="65"/>
      <c r="D109" s="15"/>
      <c r="E109" s="15"/>
      <c r="F109" s="761"/>
      <c r="G109" s="422"/>
      <c r="H109" s="17" t="str">
        <f t="shared" si="8"/>
        <v/>
      </c>
      <c r="I109" s="18"/>
      <c r="J109" s="62"/>
      <c r="K109" s="62"/>
      <c r="L109" s="420" t="str">
        <f t="shared" si="12"/>
        <v/>
      </c>
      <c r="M109" s="401" t="str">
        <f t="shared" si="13"/>
        <v/>
      </c>
    </row>
    <row r="110" spans="2:13" x14ac:dyDescent="0.25">
      <c r="B110" s="58"/>
      <c r="C110" s="65"/>
      <c r="D110" s="15"/>
      <c r="E110" s="15"/>
      <c r="F110" s="761"/>
      <c r="G110" s="422"/>
      <c r="H110" s="17" t="str">
        <f t="shared" si="8"/>
        <v/>
      </c>
      <c r="I110" s="18"/>
      <c r="J110" s="62"/>
      <c r="K110" s="62"/>
      <c r="L110" s="420" t="str">
        <f t="shared" si="12"/>
        <v/>
      </c>
      <c r="M110" s="401" t="str">
        <f t="shared" si="13"/>
        <v/>
      </c>
    </row>
    <row r="111" spans="2:13" x14ac:dyDescent="0.25">
      <c r="B111" s="58"/>
      <c r="C111" s="65"/>
      <c r="D111" s="15"/>
      <c r="E111" s="15"/>
      <c r="F111" s="761"/>
      <c r="G111" s="422"/>
      <c r="H111" s="17" t="str">
        <f t="shared" si="8"/>
        <v/>
      </c>
      <c r="I111" s="18"/>
      <c r="J111" s="62"/>
      <c r="K111" s="62"/>
      <c r="L111" s="420" t="str">
        <f t="shared" si="12"/>
        <v/>
      </c>
      <c r="M111" s="401" t="str">
        <f t="shared" si="13"/>
        <v/>
      </c>
    </row>
    <row r="112" spans="2:13" x14ac:dyDescent="0.25">
      <c r="B112" s="58"/>
      <c r="C112" s="65"/>
      <c r="D112" s="15"/>
      <c r="E112" s="15"/>
      <c r="F112" s="761"/>
      <c r="G112" s="422"/>
      <c r="H112" s="17" t="str">
        <f t="shared" si="8"/>
        <v/>
      </c>
      <c r="I112" s="18"/>
      <c r="J112" s="62"/>
      <c r="K112" s="62"/>
      <c r="L112" s="420" t="str">
        <f t="shared" si="12"/>
        <v/>
      </c>
      <c r="M112" s="401" t="str">
        <f t="shared" si="13"/>
        <v/>
      </c>
    </row>
    <row r="113" spans="2:13" x14ac:dyDescent="0.25">
      <c r="B113" s="58"/>
      <c r="C113" s="65"/>
      <c r="D113" s="15"/>
      <c r="E113" s="15"/>
      <c r="F113" s="761"/>
      <c r="G113" s="422"/>
      <c r="H113" s="17" t="str">
        <f t="shared" si="8"/>
        <v/>
      </c>
      <c r="I113" s="18"/>
      <c r="J113" s="62"/>
      <c r="K113" s="62"/>
      <c r="L113" s="420" t="str">
        <f t="shared" si="12"/>
        <v/>
      </c>
      <c r="M113" s="401" t="str">
        <f t="shared" si="13"/>
        <v/>
      </c>
    </row>
    <row r="114" spans="2:13" x14ac:dyDescent="0.25">
      <c r="B114" s="58"/>
      <c r="C114" s="65"/>
      <c r="D114" s="15"/>
      <c r="E114" s="15"/>
      <c r="F114" s="761"/>
      <c r="G114" s="422"/>
      <c r="H114" s="17" t="str">
        <f t="shared" si="8"/>
        <v/>
      </c>
      <c r="I114" s="18"/>
      <c r="J114" s="62"/>
      <c r="K114" s="62"/>
      <c r="L114" s="420" t="str">
        <f t="shared" si="12"/>
        <v/>
      </c>
      <c r="M114" s="401" t="str">
        <f t="shared" si="13"/>
        <v/>
      </c>
    </row>
    <row r="115" spans="2:13" x14ac:dyDescent="0.25">
      <c r="B115" s="58"/>
      <c r="C115" s="65"/>
      <c r="D115" s="15"/>
      <c r="E115" s="15"/>
      <c r="F115" s="761"/>
      <c r="G115" s="422"/>
      <c r="H115" s="17" t="str">
        <f t="shared" si="8"/>
        <v/>
      </c>
      <c r="I115" s="18"/>
      <c r="J115" s="62"/>
      <c r="K115" s="62"/>
      <c r="L115" s="420" t="str">
        <f t="shared" si="12"/>
        <v/>
      </c>
      <c r="M115" s="401" t="str">
        <f t="shared" si="13"/>
        <v/>
      </c>
    </row>
    <row r="116" spans="2:13" x14ac:dyDescent="0.25">
      <c r="B116" s="58"/>
      <c r="C116" s="65"/>
      <c r="D116" s="15"/>
      <c r="E116" s="15"/>
      <c r="F116" s="761"/>
      <c r="G116" s="422"/>
      <c r="H116" s="17" t="str">
        <f t="shared" si="8"/>
        <v/>
      </c>
      <c r="I116" s="18"/>
      <c r="J116" s="62"/>
      <c r="K116" s="62"/>
      <c r="L116" s="420" t="str">
        <f t="shared" si="12"/>
        <v/>
      </c>
      <c r="M116" s="401" t="str">
        <f t="shared" si="13"/>
        <v/>
      </c>
    </row>
    <row r="117" spans="2:13" x14ac:dyDescent="0.25">
      <c r="B117" s="58"/>
      <c r="C117" s="65"/>
      <c r="D117" s="15"/>
      <c r="E117" s="15"/>
      <c r="F117" s="761"/>
      <c r="G117" s="422"/>
      <c r="H117" s="17" t="str">
        <f t="shared" si="8"/>
        <v/>
      </c>
      <c r="I117" s="18"/>
      <c r="J117" s="62"/>
      <c r="K117" s="62"/>
      <c r="L117" s="420" t="str">
        <f t="shared" si="10"/>
        <v/>
      </c>
      <c r="M117" s="401" t="str">
        <f t="shared" si="11"/>
        <v/>
      </c>
    </row>
    <row r="118" spans="2:13" x14ac:dyDescent="0.25">
      <c r="B118" s="58"/>
      <c r="C118" s="65"/>
      <c r="D118" s="15"/>
      <c r="E118" s="15"/>
      <c r="F118" s="761"/>
      <c r="G118" s="422"/>
      <c r="H118" s="17" t="str">
        <f t="shared" si="8"/>
        <v/>
      </c>
      <c r="I118" s="18"/>
      <c r="J118" s="62"/>
      <c r="K118" s="62"/>
      <c r="L118" s="420" t="str">
        <f t="shared" si="10"/>
        <v/>
      </c>
      <c r="M118" s="401" t="str">
        <f t="shared" si="11"/>
        <v/>
      </c>
    </row>
    <row r="119" spans="2:13" x14ac:dyDescent="0.25">
      <c r="B119" s="58"/>
      <c r="C119" s="65"/>
      <c r="D119" s="15"/>
      <c r="E119" s="15"/>
      <c r="F119" s="761"/>
      <c r="G119" s="422"/>
      <c r="H119" s="17" t="str">
        <f t="shared" si="8"/>
        <v/>
      </c>
      <c r="I119" s="18"/>
      <c r="J119" s="62"/>
      <c r="K119" s="62"/>
      <c r="L119" s="420" t="str">
        <f t="shared" si="10"/>
        <v/>
      </c>
      <c r="M119" s="401" t="str">
        <f t="shared" si="11"/>
        <v/>
      </c>
    </row>
    <row r="120" spans="2:13" x14ac:dyDescent="0.25">
      <c r="B120" s="58"/>
      <c r="C120" s="65"/>
      <c r="D120" s="15"/>
      <c r="E120" s="15"/>
      <c r="F120" s="761"/>
      <c r="G120" s="422"/>
      <c r="H120" s="17" t="str">
        <f t="shared" si="8"/>
        <v/>
      </c>
      <c r="I120" s="18"/>
      <c r="J120" s="62"/>
      <c r="K120" s="62"/>
      <c r="L120" s="420" t="str">
        <f t="shared" si="10"/>
        <v/>
      </c>
      <c r="M120" s="401" t="str">
        <f t="shared" si="11"/>
        <v/>
      </c>
    </row>
    <row r="121" spans="2:13" x14ac:dyDescent="0.25">
      <c r="B121" s="58"/>
      <c r="C121" s="65"/>
      <c r="D121" s="15"/>
      <c r="E121" s="15"/>
      <c r="F121" s="761"/>
      <c r="G121" s="422"/>
      <c r="H121" s="17" t="str">
        <f t="shared" si="8"/>
        <v/>
      </c>
      <c r="I121" s="18"/>
      <c r="J121" s="62"/>
      <c r="K121" s="62"/>
      <c r="L121" s="420" t="str">
        <f t="shared" si="10"/>
        <v/>
      </c>
      <c r="M121" s="401" t="str">
        <f t="shared" si="11"/>
        <v/>
      </c>
    </row>
    <row r="122" spans="2:13" x14ac:dyDescent="0.25">
      <c r="B122" s="58"/>
      <c r="C122" s="65"/>
      <c r="D122" s="15"/>
      <c r="E122" s="15"/>
      <c r="F122" s="15"/>
      <c r="G122" s="422"/>
      <c r="H122" s="17" t="str">
        <f t="shared" si="8"/>
        <v/>
      </c>
      <c r="I122" s="18"/>
      <c r="J122" s="61"/>
      <c r="K122" s="696"/>
      <c r="L122" s="420" t="str">
        <f t="shared" si="10"/>
        <v/>
      </c>
      <c r="M122" s="401" t="str">
        <f t="shared" si="11"/>
        <v/>
      </c>
    </row>
    <row r="123" spans="2:13" s="28" customFormat="1" ht="19.5" customHeight="1" x14ac:dyDescent="0.25">
      <c r="B123" s="135" t="str">
        <f>$B$12</f>
        <v>F</v>
      </c>
      <c r="C123" s="498" t="str">
        <f ca="1">"TOTAL CARRIED FORWARD"&amp;IF(H123=H$1," TO SUMMARY (Page C"&amp;Page_G&amp;")","")</f>
        <v>TOTAL CARRIED FORWARD TO SUMMARY (Page C70)</v>
      </c>
      <c r="D123" s="31"/>
      <c r="E123" s="31"/>
      <c r="F123" s="32"/>
      <c r="G123" s="31"/>
      <c r="H123" s="33">
        <f ca="1">SUM(H63:H122)</f>
        <v>22222800</v>
      </c>
      <c r="I123" s="34"/>
      <c r="J123" s="408"/>
      <c r="K123" s="406"/>
      <c r="L123" s="418">
        <f>SUM(L63:L122)</f>
        <v>0</v>
      </c>
      <c r="M123" s="407" t="str">
        <f t="shared" si="7"/>
        <v/>
      </c>
    </row>
  </sheetData>
  <mergeCells count="11">
    <mergeCell ref="B58:G58"/>
    <mergeCell ref="H58:H61"/>
    <mergeCell ref="B59:G61"/>
    <mergeCell ref="F3:H3"/>
    <mergeCell ref="B6:G6"/>
    <mergeCell ref="H6:H9"/>
    <mergeCell ref="B7:G9"/>
    <mergeCell ref="B55:D55"/>
    <mergeCell ref="F55:H57"/>
    <mergeCell ref="B56:D56"/>
    <mergeCell ref="B57:D57"/>
  </mergeCells>
  <conditionalFormatting sqref="G11:H54 G64:H123">
    <cfRule type="expression" dxfId="38"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54" max="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5">
    <tabColor rgb="FF0070C0"/>
  </sheetPr>
  <dimension ref="B1:L1048496"/>
  <sheetViews>
    <sheetView view="pageBreakPreview" topLeftCell="A6" zoomScaleNormal="100" zoomScaleSheetLayoutView="100" zoomScalePageLayoutView="150" workbookViewId="0">
      <selection activeCell="C28" sqref="C28"/>
    </sheetView>
  </sheetViews>
  <sheetFormatPr defaultColWidth="8.81640625" defaultRowHeight="12.5" x14ac:dyDescent="0.25"/>
  <cols>
    <col min="1" max="1" width="0.81640625" style="49" customWidth="1"/>
    <col min="2" max="2" width="15.7265625" style="52" customWidth="1"/>
    <col min="3" max="3" width="74.7265625" style="50" customWidth="1"/>
    <col min="4" max="5" width="15.7265625" style="49" customWidth="1"/>
    <col min="6" max="6" width="0.81640625" style="49" customWidth="1"/>
    <col min="7" max="7" width="8.81640625" style="49"/>
    <col min="8" max="8" width="15.453125" style="49" customWidth="1"/>
    <col min="9" max="9" width="12.54296875" style="49" customWidth="1"/>
    <col min="10" max="10" width="9.453125" style="49" customWidth="1"/>
    <col min="11" max="16384" width="8.81640625" style="49"/>
  </cols>
  <sheetData>
    <row r="1" spans="2:12" ht="13" x14ac:dyDescent="0.25">
      <c r="C1" s="132" t="str">
        <f>"Page C"&amp;Page_G</f>
        <v>Page C70</v>
      </c>
      <c r="E1" s="639">
        <f ca="1">MAX(E2:E73)</f>
        <v>22222800</v>
      </c>
    </row>
    <row r="2" spans="2:12" ht="13" x14ac:dyDescent="0.25">
      <c r="B2" s="2" t="str">
        <f>Client1</f>
        <v>Province of KwaZulu-Natal</v>
      </c>
      <c r="D2" s="6"/>
      <c r="E2" s="6" t="str">
        <f>"Contract No. "&amp;ContractNo</f>
        <v>Contract No. ZNB 00399/00000/HOD/INF/21/T</v>
      </c>
    </row>
    <row r="3" spans="2:12" s="1" customFormat="1" ht="18" customHeight="1" x14ac:dyDescent="0.25">
      <c r="B3" s="87" t="str">
        <f>Client2</f>
        <v>Department of Transport</v>
      </c>
      <c r="C3" s="50"/>
      <c r="D3" s="4"/>
      <c r="I3" s="4"/>
    </row>
    <row r="4" spans="2:12" s="1" customFormat="1" ht="16.5" customHeight="1" x14ac:dyDescent="0.25">
      <c r="B4" s="77"/>
      <c r="C4" s="90"/>
      <c r="D4" s="78"/>
      <c r="E4" s="79"/>
      <c r="G4" s="5"/>
      <c r="H4" s="5"/>
      <c r="I4" s="4"/>
    </row>
    <row r="5" spans="2:12" s="1" customFormat="1" ht="7.5" customHeight="1" x14ac:dyDescent="0.25">
      <c r="B5" s="1135" t="str">
        <f>ContractDescription</f>
        <v>THE CONSTRUCTION OF EARTHWORKS, LAYERWORKS, SURFACING, CULVERTS AND CWAKA RIVER BRIDGE FROM KM 11.600 TO KM 14.000 ON MAIN ROAD P494 IN THE KING CETSHWAYO DISTRICT UNDER EMPANGENI REGION</v>
      </c>
      <c r="C5" s="1136"/>
      <c r="D5" s="1136"/>
      <c r="E5" s="1145"/>
      <c r="G5" s="5"/>
      <c r="H5" s="5"/>
      <c r="I5" s="4"/>
    </row>
    <row r="6" spans="2:12" ht="12.75" customHeight="1" x14ac:dyDescent="0.25">
      <c r="B6" s="1117"/>
      <c r="C6" s="1118"/>
      <c r="D6" s="1118"/>
      <c r="E6" s="1146"/>
    </row>
    <row r="7" spans="2:12" ht="7.5" customHeight="1" x14ac:dyDescent="0.25">
      <c r="B7" s="1119"/>
      <c r="C7" s="1120"/>
      <c r="D7" s="1120"/>
      <c r="E7" s="1147"/>
    </row>
    <row r="8" spans="2:12" ht="25.5" customHeight="1" x14ac:dyDescent="0.25">
      <c r="B8" s="1154" t="str">
        <f>"SCHEDULE"&amp;" "&amp;B11&amp;": "&amp;C11</f>
        <v>SCHEDULE F: SMALL CONTRACTOR DEVELOPMENT</v>
      </c>
      <c r="C8" s="1155"/>
      <c r="D8" s="1155"/>
      <c r="E8" s="1156"/>
    </row>
    <row r="9" spans="2:12" ht="13" x14ac:dyDescent="0.25">
      <c r="B9" s="11" t="s">
        <v>804</v>
      </c>
      <c r="C9" s="627" t="s">
        <v>1</v>
      </c>
      <c r="D9" s="11" t="s">
        <v>784</v>
      </c>
      <c r="E9" s="11" t="s">
        <v>5</v>
      </c>
      <c r="L9" s="131"/>
    </row>
    <row r="10" spans="2:12" ht="13" x14ac:dyDescent="0.25">
      <c r="B10" s="20"/>
      <c r="C10" s="628"/>
      <c r="D10" s="21"/>
      <c r="E10" s="633"/>
      <c r="L10" s="131"/>
    </row>
    <row r="11" spans="2:12" ht="12.75" customHeight="1" x14ac:dyDescent="0.25">
      <c r="B11" s="20" t="str">
        <f>'Chapter F'!B12</f>
        <v>F</v>
      </c>
      <c r="C11" s="81" t="str">
        <f>'Chapter F'!C12</f>
        <v>SMALL CONTRACTOR DEVELOPMENT</v>
      </c>
      <c r="D11" s="676">
        <f>Page_G-1</f>
        <v>69</v>
      </c>
      <c r="E11" s="861">
        <f ca="1">'Chapter F'!H123</f>
        <v>22222800</v>
      </c>
    </row>
    <row r="12" spans="2:12" ht="12.75" customHeight="1" x14ac:dyDescent="0.25">
      <c r="B12" s="21"/>
      <c r="C12" s="629"/>
      <c r="D12" s="21"/>
      <c r="E12" s="634"/>
    </row>
    <row r="13" spans="2:12" ht="12.75" customHeight="1" x14ac:dyDescent="0.25">
      <c r="B13" s="21"/>
      <c r="C13" s="629"/>
      <c r="D13" s="21"/>
      <c r="E13" s="634"/>
    </row>
    <row r="14" spans="2:12" ht="12.75" customHeight="1" x14ac:dyDescent="0.25">
      <c r="B14" s="21"/>
      <c r="C14" s="629"/>
      <c r="D14" s="21"/>
      <c r="E14" s="634"/>
    </row>
    <row r="15" spans="2:12" ht="12.75" customHeight="1" x14ac:dyDescent="0.25">
      <c r="B15" s="21"/>
      <c r="C15" s="629"/>
      <c r="D15" s="21"/>
      <c r="E15" s="634"/>
    </row>
    <row r="16" spans="2:12" ht="12.75" customHeight="1" x14ac:dyDescent="0.25">
      <c r="B16" s="21"/>
      <c r="C16" s="629"/>
      <c r="D16" s="21"/>
      <c r="E16" s="634"/>
    </row>
    <row r="17" spans="2:5" ht="12.75" customHeight="1" x14ac:dyDescent="0.25">
      <c r="B17" s="21"/>
      <c r="C17" s="629"/>
      <c r="D17" s="21"/>
      <c r="E17" s="634"/>
    </row>
    <row r="18" spans="2:5" ht="12.75" customHeight="1" x14ac:dyDescent="0.25">
      <c r="B18" s="21"/>
      <c r="C18" s="629"/>
      <c r="D18" s="21"/>
      <c r="E18" s="634"/>
    </row>
    <row r="19" spans="2:5" ht="12.75" customHeight="1" x14ac:dyDescent="0.25">
      <c r="B19" s="21"/>
      <c r="C19" s="629"/>
      <c r="D19" s="21"/>
      <c r="E19" s="634"/>
    </row>
    <row r="20" spans="2:5" ht="12.75" customHeight="1" x14ac:dyDescent="0.25">
      <c r="B20" s="21"/>
      <c r="C20" s="629"/>
      <c r="D20" s="21"/>
      <c r="E20" s="634"/>
    </row>
    <row r="21" spans="2:5" ht="12.75" customHeight="1" x14ac:dyDescent="0.25">
      <c r="B21" s="21"/>
      <c r="C21" s="629"/>
      <c r="D21" s="21"/>
      <c r="E21" s="634"/>
    </row>
    <row r="22" spans="2:5" ht="12.75" customHeight="1" x14ac:dyDescent="0.25">
      <c r="B22" s="21"/>
      <c r="C22" s="629"/>
      <c r="D22" s="21"/>
      <c r="E22" s="634"/>
    </row>
    <row r="23" spans="2:5" ht="12.75" customHeight="1" x14ac:dyDescent="0.25">
      <c r="B23" s="21"/>
      <c r="C23" s="629"/>
      <c r="D23" s="21"/>
      <c r="E23" s="634"/>
    </row>
    <row r="24" spans="2:5" ht="12.75" customHeight="1" x14ac:dyDescent="0.25">
      <c r="B24" s="21"/>
      <c r="C24" s="629"/>
      <c r="D24" s="21"/>
      <c r="E24" s="634"/>
    </row>
    <row r="25" spans="2:5" ht="12.75" customHeight="1" x14ac:dyDescent="0.25">
      <c r="B25" s="21"/>
      <c r="C25" s="629"/>
      <c r="D25" s="21"/>
      <c r="E25" s="634"/>
    </row>
    <row r="26" spans="2:5" ht="12.75" customHeight="1" x14ac:dyDescent="0.25">
      <c r="B26" s="21"/>
      <c r="C26" s="629"/>
      <c r="D26" s="21"/>
      <c r="E26" s="634"/>
    </row>
    <row r="27" spans="2:5" ht="12.75" customHeight="1" x14ac:dyDescent="0.25">
      <c r="B27" s="21"/>
      <c r="C27" s="629"/>
      <c r="D27" s="81"/>
      <c r="E27" s="634"/>
    </row>
    <row r="28" spans="2:5" ht="12.75" customHeight="1" x14ac:dyDescent="0.25">
      <c r="B28" s="21"/>
      <c r="C28" s="629"/>
      <c r="D28" s="81"/>
      <c r="E28" s="634"/>
    </row>
    <row r="29" spans="2:5" ht="12.75" customHeight="1" x14ac:dyDescent="0.25">
      <c r="B29" s="21"/>
      <c r="C29" s="629"/>
      <c r="D29" s="81"/>
      <c r="E29" s="634"/>
    </row>
    <row r="30" spans="2:5" ht="12.75" customHeight="1" x14ac:dyDescent="0.25">
      <c r="B30" s="21"/>
      <c r="C30" s="629"/>
      <c r="D30" s="81"/>
      <c r="E30" s="634"/>
    </row>
    <row r="31" spans="2:5" ht="12.75" customHeight="1" x14ac:dyDescent="0.25">
      <c r="B31" s="21"/>
      <c r="C31" s="629"/>
      <c r="D31" s="81"/>
      <c r="E31" s="634"/>
    </row>
    <row r="32" spans="2:5" ht="12.75" customHeight="1" x14ac:dyDescent="0.25">
      <c r="B32" s="21"/>
      <c r="C32" s="629"/>
      <c r="D32" s="81"/>
      <c r="E32" s="634"/>
    </row>
    <row r="33" spans="2:5" ht="12.75" customHeight="1" x14ac:dyDescent="0.25">
      <c r="B33" s="21"/>
      <c r="C33" s="629"/>
      <c r="D33" s="81"/>
      <c r="E33" s="634"/>
    </row>
    <row r="34" spans="2:5" ht="13" x14ac:dyDescent="0.25">
      <c r="B34" s="21"/>
      <c r="C34" s="629"/>
      <c r="D34" s="81"/>
      <c r="E34" s="634"/>
    </row>
    <row r="35" spans="2:5" ht="13" x14ac:dyDescent="0.25">
      <c r="B35" s="21"/>
      <c r="C35" s="629"/>
      <c r="D35" s="81"/>
      <c r="E35" s="634"/>
    </row>
    <row r="36" spans="2:5" ht="13" x14ac:dyDescent="0.25">
      <c r="B36" s="21"/>
      <c r="C36" s="629"/>
      <c r="D36" s="81"/>
      <c r="E36" s="634"/>
    </row>
    <row r="37" spans="2:5" ht="13" x14ac:dyDescent="0.25">
      <c r="B37" s="21"/>
      <c r="C37" s="629"/>
      <c r="D37" s="81"/>
      <c r="E37" s="634"/>
    </row>
    <row r="38" spans="2:5" ht="13" x14ac:dyDescent="0.25">
      <c r="B38" s="21"/>
      <c r="C38" s="629"/>
      <c r="D38" s="81"/>
      <c r="E38" s="634"/>
    </row>
    <row r="39" spans="2:5" ht="13" x14ac:dyDescent="0.25">
      <c r="B39" s="21"/>
      <c r="C39" s="629"/>
      <c r="D39" s="81"/>
      <c r="E39" s="634"/>
    </row>
    <row r="40" spans="2:5" ht="13" x14ac:dyDescent="0.25">
      <c r="B40" s="21"/>
      <c r="C40" s="629"/>
      <c r="D40" s="81"/>
      <c r="E40" s="634"/>
    </row>
    <row r="41" spans="2:5" ht="13" x14ac:dyDescent="0.25">
      <c r="B41" s="21"/>
      <c r="C41" s="629"/>
      <c r="D41" s="81"/>
      <c r="E41" s="634"/>
    </row>
    <row r="42" spans="2:5" ht="12.75" customHeight="1" x14ac:dyDescent="0.25">
      <c r="B42" s="21"/>
      <c r="C42" s="629"/>
      <c r="D42" s="81"/>
      <c r="E42" s="634"/>
    </row>
    <row r="43" spans="2:5" ht="13" x14ac:dyDescent="0.25">
      <c r="B43" s="21"/>
      <c r="C43" s="629"/>
      <c r="D43" s="81"/>
      <c r="E43" s="634"/>
    </row>
    <row r="44" spans="2:5" ht="13" x14ac:dyDescent="0.25">
      <c r="B44" s="21"/>
      <c r="C44" s="629"/>
      <c r="D44" s="81"/>
      <c r="E44" s="634"/>
    </row>
    <row r="45" spans="2:5" ht="13" x14ac:dyDescent="0.25">
      <c r="B45" s="21"/>
      <c r="C45" s="629"/>
      <c r="D45" s="81"/>
      <c r="E45" s="634"/>
    </row>
    <row r="46" spans="2:5" ht="13" x14ac:dyDescent="0.25">
      <c r="B46" s="21"/>
      <c r="C46" s="629"/>
      <c r="D46" s="81"/>
      <c r="E46" s="634"/>
    </row>
    <row r="47" spans="2:5" ht="13" x14ac:dyDescent="0.25">
      <c r="B47" s="21"/>
      <c r="C47" s="629"/>
      <c r="D47" s="81"/>
      <c r="E47" s="634"/>
    </row>
    <row r="48" spans="2:5" ht="13" x14ac:dyDescent="0.25">
      <c r="B48" s="21"/>
      <c r="C48" s="629"/>
      <c r="D48" s="81"/>
      <c r="E48" s="634"/>
    </row>
    <row r="49" spans="2:5" ht="13" x14ac:dyDescent="0.25">
      <c r="B49" s="21"/>
      <c r="C49" s="629"/>
      <c r="D49" s="81"/>
      <c r="E49" s="634"/>
    </row>
    <row r="50" spans="2:5" ht="13" x14ac:dyDescent="0.25">
      <c r="B50" s="21"/>
      <c r="C50" s="629"/>
      <c r="D50" s="81"/>
      <c r="E50" s="634"/>
    </row>
    <row r="51" spans="2:5" ht="13" x14ac:dyDescent="0.25">
      <c r="B51" s="21"/>
      <c r="C51" s="629"/>
      <c r="D51" s="81"/>
      <c r="E51" s="634"/>
    </row>
    <row r="52" spans="2:5" ht="13" x14ac:dyDescent="0.25">
      <c r="B52" s="21"/>
      <c r="C52" s="629"/>
      <c r="D52" s="81"/>
      <c r="E52" s="634"/>
    </row>
    <row r="53" spans="2:5" ht="13" x14ac:dyDescent="0.25">
      <c r="B53" s="21"/>
      <c r="C53" s="629"/>
      <c r="D53" s="81"/>
      <c r="E53" s="634"/>
    </row>
    <row r="54" spans="2:5" ht="13" x14ac:dyDescent="0.25">
      <c r="B54" s="21"/>
      <c r="C54" s="629"/>
      <c r="D54" s="81"/>
      <c r="E54" s="634"/>
    </row>
    <row r="55" spans="2:5" ht="13" x14ac:dyDescent="0.25">
      <c r="B55" s="21"/>
      <c r="C55" s="629"/>
      <c r="D55" s="81"/>
      <c r="E55" s="634"/>
    </row>
    <row r="56" spans="2:5" ht="13" x14ac:dyDescent="0.25">
      <c r="B56" s="21"/>
      <c r="C56" s="629"/>
      <c r="D56" s="81"/>
      <c r="E56" s="634"/>
    </row>
    <row r="57" spans="2:5" ht="13" x14ac:dyDescent="0.25">
      <c r="B57" s="21"/>
      <c r="C57" s="629"/>
      <c r="D57" s="81"/>
      <c r="E57" s="634"/>
    </row>
    <row r="58" spans="2:5" ht="13" x14ac:dyDescent="0.25">
      <c r="B58" s="21"/>
      <c r="C58" s="629"/>
      <c r="D58" s="81"/>
      <c r="E58" s="634"/>
    </row>
    <row r="59" spans="2:5" ht="13" x14ac:dyDescent="0.25">
      <c r="B59" s="21"/>
      <c r="C59" s="629"/>
      <c r="D59" s="81"/>
      <c r="E59" s="634"/>
    </row>
    <row r="60" spans="2:5" ht="13" x14ac:dyDescent="0.25">
      <c r="B60" s="21"/>
      <c r="C60" s="629"/>
      <c r="D60" s="81"/>
      <c r="E60" s="634"/>
    </row>
    <row r="61" spans="2:5" ht="13" x14ac:dyDescent="0.25">
      <c r="B61" s="20"/>
      <c r="C61" s="629"/>
      <c r="D61" s="81"/>
      <c r="E61" s="634"/>
    </row>
    <row r="62" spans="2:5" ht="13" x14ac:dyDescent="0.25">
      <c r="B62" s="20"/>
      <c r="C62" s="621"/>
      <c r="D62" s="81"/>
      <c r="E62" s="620"/>
    </row>
    <row r="63" spans="2:5" ht="13" x14ac:dyDescent="0.25">
      <c r="B63" s="20"/>
      <c r="C63" s="621"/>
      <c r="D63" s="81"/>
      <c r="E63" s="620"/>
    </row>
    <row r="64" spans="2:5" ht="13" x14ac:dyDescent="0.25">
      <c r="B64" s="20"/>
      <c r="C64" s="621"/>
      <c r="D64" s="81"/>
      <c r="E64" s="620"/>
    </row>
    <row r="65" spans="2:6" ht="13" x14ac:dyDescent="0.25">
      <c r="B65" s="20"/>
      <c r="C65" s="621"/>
      <c r="D65" s="81"/>
      <c r="E65" s="620"/>
    </row>
    <row r="66" spans="2:6" ht="13" x14ac:dyDescent="0.25">
      <c r="B66" s="20"/>
      <c r="C66" s="629"/>
      <c r="D66" s="81"/>
      <c r="E66" s="634"/>
    </row>
    <row r="67" spans="2:6" ht="13" x14ac:dyDescent="0.25">
      <c r="B67" s="21"/>
      <c r="C67" s="629"/>
      <c r="D67" s="81"/>
      <c r="E67" s="634"/>
    </row>
    <row r="68" spans="2:6" ht="13" x14ac:dyDescent="0.25">
      <c r="B68" s="21"/>
      <c r="C68" s="629"/>
      <c r="D68" s="81"/>
      <c r="E68" s="634"/>
    </row>
    <row r="69" spans="2:6" ht="13" x14ac:dyDescent="0.25">
      <c r="B69" s="21"/>
      <c r="C69" s="629"/>
      <c r="D69" s="81"/>
      <c r="E69" s="634"/>
    </row>
    <row r="70" spans="2:6" ht="13" x14ac:dyDescent="0.25">
      <c r="B70" s="21"/>
      <c r="C70" s="629"/>
      <c r="D70" s="81"/>
      <c r="E70" s="634"/>
    </row>
    <row r="71" spans="2:6" ht="13" x14ac:dyDescent="0.25">
      <c r="B71" s="21"/>
      <c r="C71" s="629"/>
      <c r="D71" s="81"/>
      <c r="E71" s="634"/>
    </row>
    <row r="72" spans="2:6" ht="13" x14ac:dyDescent="0.25">
      <c r="B72" s="141"/>
      <c r="C72" s="630"/>
      <c r="D72" s="140"/>
      <c r="E72" s="635"/>
    </row>
    <row r="73" spans="2:6" s="28" customFormat="1" ht="19.5" customHeight="1" x14ac:dyDescent="0.25">
      <c r="B73" s="638" t="str">
        <f ca="1">"TOTAL SCHEDULE G: SMALL CONTRACTOR DEVELOPMENT CARRIED FORWARD"&amp;IF(E73=E$1," TO SUMMARY (Page C"&amp;_Summary&amp;")","")</f>
        <v>TOTAL SCHEDULE G: SMALL CONTRACTOR DEVELOPMENT CARRIED FORWARD TO SUMMARY (Page C73)</v>
      </c>
      <c r="C73" s="30"/>
      <c r="D73" s="631"/>
      <c r="E73" s="636">
        <f ca="1">SUM(E10:E72)</f>
        <v>22222800</v>
      </c>
      <c r="F73" s="34"/>
    </row>
    <row r="1048496" spans="3:3" x14ac:dyDescent="0.25">
      <c r="C1048496" s="621"/>
    </row>
  </sheetData>
  <mergeCells count="2">
    <mergeCell ref="B8:E8"/>
    <mergeCell ref="B5:E7"/>
  </mergeCells>
  <conditionalFormatting sqref="E10:E73">
    <cfRule type="expression" dxfId="37" priority="1">
      <formula>_Show_Price=FALSE</formula>
    </cfRule>
  </conditionalFormatting>
  <pageMargins left="0.43307086614173229" right="0.31496062992125984" top="0.43307086614173229" bottom="0.62992125984251968" header="0.31496062992125984" footer="0.31496062992125984"/>
  <pageSetup paperSize="9" scale="77" firstPageNumber="32" orientation="portrait" cellComments="asDisplayed" r:id="rId1"/>
  <headerFooter>
    <oddHeader xml:space="preserve">&amp;R&amp;"Arial,Bold Italic"
</oddHeader>
    <oddFooter xml:space="preserve">&amp;L&amp;"Arial,Bold"&amp;8____________________________________________________________________________________________________________________________________________
&amp;10CIDB OPEN TENDER: Contract Ver. 20-10-2021: COTO&amp;R&amp;"Arial,Bold"_____________________
C&amp;P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09635-427F-4E2A-A0FA-6BD1249289A2}">
  <sheetPr>
    <tabColor rgb="FF00B050"/>
  </sheetPr>
  <dimension ref="A1:N70"/>
  <sheetViews>
    <sheetView showGridLines="0" view="pageBreakPreview" zoomScaleNormal="125" zoomScaleSheetLayoutView="100" zoomScalePageLayoutView="125" workbookViewId="0">
      <pane ySplit="2" topLeftCell="A3" activePane="bottomLeft" state="frozen"/>
      <selection activeCell="C28" sqref="C28"/>
      <selection pane="bottomLeft" activeCell="G20" sqref="G20"/>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0.453125" style="1" customWidth="1"/>
    <col min="12" max="12" width="16.1796875" style="1" bestFit="1" customWidth="1"/>
    <col min="13" max="13" width="18.1796875" style="1" customWidth="1"/>
    <col min="14" max="14" width="16.54296875" style="1" customWidth="1"/>
    <col min="15" max="16384" width="6.81640625" style="1"/>
  </cols>
  <sheetData>
    <row r="1" spans="1:14" s="242" customFormat="1" ht="11.5" x14ac:dyDescent="0.25">
      <c r="B1" s="243"/>
      <c r="C1" s="244" t="s">
        <v>993</v>
      </c>
      <c r="D1" s="245"/>
      <c r="E1" s="245"/>
      <c r="F1" s="245"/>
      <c r="G1" s="245"/>
      <c r="H1" s="247">
        <f>MAX(H2:H70)</f>
        <v>250800.00000000003</v>
      </c>
      <c r="I1" s="247">
        <f>MAX(I2:I68)</f>
        <v>0</v>
      </c>
      <c r="J1" s="248"/>
      <c r="K1" s="249"/>
      <c r="L1" s="417">
        <f>MAX(L2:L70)</f>
        <v>0</v>
      </c>
      <c r="M1" s="249"/>
      <c r="N1" s="250"/>
    </row>
    <row r="2" spans="1:14"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2255</v>
      </c>
      <c r="C6" s="1113"/>
      <c r="D6" s="1113"/>
      <c r="E6" s="1113"/>
      <c r="F6" s="1113"/>
      <c r="G6" s="1113"/>
      <c r="H6" s="1114" t="str">
        <f>"CHAPTER "&amp;B12</f>
        <v>CHAPTER G</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15"/>
      <c r="I7" s="8"/>
    </row>
    <row r="8" spans="1:14" ht="12.75" customHeight="1" x14ac:dyDescent="0.25">
      <c r="B8" s="1117"/>
      <c r="C8" s="1118"/>
      <c r="D8" s="1118"/>
      <c r="E8" s="1118"/>
      <c r="F8" s="1118"/>
      <c r="G8" s="1118"/>
      <c r="H8" s="1115"/>
      <c r="I8" s="8"/>
    </row>
    <row r="9" spans="1:14" ht="7.5" customHeight="1" x14ac:dyDescent="0.25">
      <c r="B9" s="1119"/>
      <c r="C9" s="1120"/>
      <c r="D9" s="1120"/>
      <c r="E9" s="1120"/>
      <c r="F9" s="1120"/>
      <c r="G9" s="1120"/>
      <c r="H9" s="1116"/>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ht="9.75" customHeight="1" x14ac:dyDescent="0.25">
      <c r="B11" s="56"/>
      <c r="C11" s="65"/>
      <c r="D11" s="15"/>
      <c r="E11" s="15"/>
      <c r="F11" s="15"/>
      <c r="G11" s="411"/>
      <c r="H11" s="17" t="str">
        <f t="shared" ref="H11:H63" si="0">IF(D11="","",F11*G11)</f>
        <v/>
      </c>
      <c r="I11" s="18"/>
      <c r="J11" s="61"/>
      <c r="K11" s="399"/>
      <c r="L11" s="420" t="str">
        <f t="shared" ref="L11:L50" si="1">IF(J11="","",F11*K11)</f>
        <v/>
      </c>
      <c r="M11" s="401" t="str">
        <f>IF(J11="","",IF(SUM(H11)=0,"",L11/H11))</f>
        <v/>
      </c>
    </row>
    <row r="12" spans="1:14" ht="26" x14ac:dyDescent="0.25">
      <c r="B12" s="146" t="s">
        <v>2136</v>
      </c>
      <c r="C12" s="672" t="s">
        <v>2257</v>
      </c>
      <c r="D12" s="15"/>
      <c r="E12" s="15"/>
      <c r="F12" s="15"/>
      <c r="G12" s="411"/>
      <c r="H12" s="17" t="str">
        <f t="shared" si="0"/>
        <v/>
      </c>
      <c r="I12" s="18"/>
      <c r="J12" s="61"/>
      <c r="K12" s="399"/>
      <c r="L12" s="420" t="str">
        <f t="shared" si="1"/>
        <v/>
      </c>
      <c r="M12" s="401" t="str">
        <f t="shared" ref="M12:M70" si="2">IF(J12="","",IF(SUM(H12)=0,"",L12/H12))</f>
        <v/>
      </c>
    </row>
    <row r="13" spans="1:14" ht="9.75" customHeight="1" x14ac:dyDescent="0.25">
      <c r="B13" s="58"/>
      <c r="C13" s="65"/>
      <c r="D13" s="15"/>
      <c r="E13" s="15"/>
      <c r="F13" s="15"/>
      <c r="G13" s="411"/>
      <c r="H13" s="17" t="str">
        <f t="shared" si="0"/>
        <v/>
      </c>
      <c r="I13" s="18"/>
      <c r="J13" s="61"/>
      <c r="K13" s="399"/>
      <c r="L13" s="420" t="str">
        <f t="shared" si="1"/>
        <v/>
      </c>
      <c r="M13" s="401" t="str">
        <f t="shared" si="2"/>
        <v/>
      </c>
    </row>
    <row r="14" spans="1:14" ht="26" x14ac:dyDescent="0.25">
      <c r="B14" s="146" t="s">
        <v>2258</v>
      </c>
      <c r="C14" s="672" t="s">
        <v>2259</v>
      </c>
      <c r="D14" s="15"/>
      <c r="E14" s="15"/>
      <c r="F14" s="15"/>
      <c r="G14" s="411"/>
      <c r="H14" s="17" t="str">
        <f t="shared" si="0"/>
        <v/>
      </c>
      <c r="I14" s="18"/>
      <c r="J14" s="61"/>
      <c r="K14" s="399"/>
      <c r="L14" s="420" t="str">
        <f t="shared" si="1"/>
        <v/>
      </c>
      <c r="M14" s="401" t="str">
        <f t="shared" si="2"/>
        <v/>
      </c>
    </row>
    <row r="15" spans="1:14" ht="13" x14ac:dyDescent="0.25">
      <c r="B15" s="146"/>
      <c r="C15" s="65"/>
      <c r="D15" s="15"/>
      <c r="E15" s="15"/>
      <c r="F15" s="15"/>
      <c r="G15" s="411"/>
      <c r="H15" s="17" t="str">
        <f t="shared" si="0"/>
        <v/>
      </c>
      <c r="I15" s="18"/>
      <c r="J15" s="61"/>
      <c r="K15" s="399"/>
      <c r="L15" s="420" t="str">
        <f t="shared" si="1"/>
        <v/>
      </c>
      <c r="M15" s="401" t="str">
        <f t="shared" si="2"/>
        <v/>
      </c>
    </row>
    <row r="16" spans="1:14" x14ac:dyDescent="0.25">
      <c r="B16" s="58" t="s">
        <v>52</v>
      </c>
      <c r="C16" s="65" t="s">
        <v>2261</v>
      </c>
      <c r="D16" s="15"/>
      <c r="E16" s="15"/>
      <c r="F16" s="15"/>
      <c r="G16" s="411"/>
      <c r="H16" s="17" t="str">
        <f t="shared" si="0"/>
        <v/>
      </c>
      <c r="I16" s="18"/>
      <c r="J16" s="61"/>
      <c r="K16" s="399"/>
      <c r="L16" s="420" t="str">
        <f t="shared" si="1"/>
        <v/>
      </c>
      <c r="M16" s="401" t="str">
        <f t="shared" si="2"/>
        <v/>
      </c>
    </row>
    <row r="17" spans="2:13" ht="13" x14ac:dyDescent="0.25">
      <c r="B17" s="146"/>
      <c r="C17" s="65"/>
      <c r="D17" s="15"/>
      <c r="E17" s="15"/>
      <c r="F17" s="15"/>
      <c r="G17" s="411"/>
      <c r="H17" s="17" t="str">
        <f t="shared" ref="H17" si="3">IF(D17="","",F17*G17)</f>
        <v/>
      </c>
      <c r="I17" s="18"/>
      <c r="J17" s="61"/>
      <c r="K17" s="399"/>
      <c r="L17" s="420" t="str">
        <f t="shared" ref="L17" si="4">IF(J17="","",F17*K17)</f>
        <v/>
      </c>
      <c r="M17" s="401" t="str">
        <f t="shared" si="2"/>
        <v/>
      </c>
    </row>
    <row r="18" spans="2:13" ht="13" x14ac:dyDescent="0.25">
      <c r="B18" s="146"/>
      <c r="C18" s="65" t="s">
        <v>2260</v>
      </c>
      <c r="D18" s="15" t="s">
        <v>557</v>
      </c>
      <c r="E18" s="15"/>
      <c r="F18" s="24">
        <f>24000*4*2*110%</f>
        <v>211200.00000000003</v>
      </c>
      <c r="G18" s="422">
        <v>1</v>
      </c>
      <c r="H18" s="17">
        <f t="shared" si="0"/>
        <v>211200.00000000003</v>
      </c>
      <c r="I18" s="57"/>
      <c r="J18" s="61"/>
      <c r="K18" s="400"/>
      <c r="L18" s="420" t="str">
        <f t="shared" si="1"/>
        <v/>
      </c>
      <c r="M18" s="401" t="str">
        <f t="shared" si="2"/>
        <v/>
      </c>
    </row>
    <row r="19" spans="2:13" ht="8.15" customHeight="1" x14ac:dyDescent="0.25">
      <c r="B19" s="146"/>
      <c r="C19" s="65"/>
      <c r="D19" s="15"/>
      <c r="E19" s="15"/>
      <c r="F19" s="24"/>
      <c r="G19" s="422"/>
      <c r="H19" s="17" t="str">
        <f t="shared" si="0"/>
        <v/>
      </c>
      <c r="I19" s="57"/>
      <c r="J19" s="61"/>
      <c r="K19" s="399"/>
      <c r="L19" s="420" t="str">
        <f t="shared" si="1"/>
        <v/>
      </c>
      <c r="M19" s="401" t="str">
        <f t="shared" si="2"/>
        <v/>
      </c>
    </row>
    <row r="20" spans="2:13" ht="25" x14ac:dyDescent="0.25">
      <c r="B20" s="58"/>
      <c r="C20" s="65" t="s">
        <v>2294</v>
      </c>
      <c r="D20" s="15" t="s">
        <v>2295</v>
      </c>
      <c r="E20" s="15"/>
      <c r="F20" s="24">
        <f>4*2</f>
        <v>8</v>
      </c>
      <c r="G20" s="422"/>
      <c r="H20" s="17">
        <f t="shared" si="0"/>
        <v>0</v>
      </c>
      <c r="I20" s="57"/>
      <c r="J20" s="61"/>
      <c r="K20" s="399"/>
      <c r="L20" s="420" t="str">
        <f t="shared" si="1"/>
        <v/>
      </c>
      <c r="M20" s="401" t="str">
        <f t="shared" si="2"/>
        <v/>
      </c>
    </row>
    <row r="21" spans="2:13" ht="13" x14ac:dyDescent="0.25">
      <c r="B21" s="146"/>
      <c r="C21" s="65"/>
      <c r="D21" s="15"/>
      <c r="E21" s="15"/>
      <c r="F21" s="24"/>
      <c r="G21" s="703"/>
      <c r="H21" s="17" t="str">
        <f t="shared" si="0"/>
        <v/>
      </c>
      <c r="I21" s="57"/>
      <c r="J21" s="61"/>
      <c r="K21" s="399"/>
      <c r="L21" s="420" t="str">
        <f t="shared" si="1"/>
        <v/>
      </c>
      <c r="M21" s="401" t="str">
        <f t="shared" si="2"/>
        <v/>
      </c>
    </row>
    <row r="22" spans="2:13" x14ac:dyDescent="0.25">
      <c r="B22" s="58"/>
      <c r="C22" s="65" t="s">
        <v>2262</v>
      </c>
      <c r="D22" s="15" t="s">
        <v>557</v>
      </c>
      <c r="E22" s="15"/>
      <c r="F22" s="24">
        <f>4500*4*2*110%</f>
        <v>39600</v>
      </c>
      <c r="G22" s="411">
        <v>1</v>
      </c>
      <c r="H22" s="17">
        <f t="shared" si="0"/>
        <v>39600</v>
      </c>
      <c r="I22" s="18"/>
      <c r="J22" s="61"/>
      <c r="K22" s="402"/>
      <c r="L22" s="420" t="str">
        <f t="shared" si="1"/>
        <v/>
      </c>
      <c r="M22" s="401" t="str">
        <f t="shared" si="2"/>
        <v/>
      </c>
    </row>
    <row r="23" spans="2:13" x14ac:dyDescent="0.25">
      <c r="B23" s="58"/>
      <c r="C23" s="65"/>
      <c r="D23" s="15"/>
      <c r="E23" s="15"/>
      <c r="F23" s="24"/>
      <c r="G23" s="423"/>
      <c r="H23" s="17" t="str">
        <f t="shared" si="0"/>
        <v/>
      </c>
      <c r="I23" s="18"/>
      <c r="J23" s="61"/>
      <c r="K23" s="402"/>
      <c r="L23" s="420" t="str">
        <f t="shared" si="1"/>
        <v/>
      </c>
      <c r="M23" s="401" t="str">
        <f t="shared" si="2"/>
        <v/>
      </c>
    </row>
    <row r="24" spans="2:13" ht="25" x14ac:dyDescent="0.25">
      <c r="B24" s="58" t="s">
        <v>44</v>
      </c>
      <c r="C24" s="65" t="s">
        <v>2263</v>
      </c>
      <c r="D24" s="15"/>
      <c r="E24" s="15"/>
      <c r="F24" s="24"/>
      <c r="G24" s="421"/>
      <c r="H24" s="17" t="str">
        <f t="shared" si="0"/>
        <v/>
      </c>
      <c r="I24" s="63"/>
      <c r="J24" s="61"/>
      <c r="K24" s="402"/>
      <c r="L24" s="420" t="str">
        <f t="shared" si="1"/>
        <v/>
      </c>
      <c r="M24" s="401" t="str">
        <f t="shared" si="2"/>
        <v/>
      </c>
    </row>
    <row r="25" spans="2:13" x14ac:dyDescent="0.25">
      <c r="B25" s="58"/>
      <c r="C25" s="784"/>
      <c r="D25" s="15"/>
      <c r="E25" s="15"/>
      <c r="F25" s="24"/>
      <c r="G25" s="421"/>
      <c r="H25" s="17" t="str">
        <f t="shared" si="0"/>
        <v/>
      </c>
      <c r="I25" s="63"/>
      <c r="J25" s="61"/>
      <c r="K25" s="402"/>
      <c r="L25" s="420" t="str">
        <f t="shared" si="1"/>
        <v/>
      </c>
      <c r="M25" s="401" t="str">
        <f t="shared" si="2"/>
        <v/>
      </c>
    </row>
    <row r="26" spans="2:13" x14ac:dyDescent="0.25">
      <c r="B26" s="58"/>
      <c r="C26" s="65" t="s">
        <v>2264</v>
      </c>
      <c r="D26" s="15" t="s">
        <v>783</v>
      </c>
      <c r="E26" s="15"/>
      <c r="F26" s="24">
        <v>40</v>
      </c>
      <c r="G26" s="422"/>
      <c r="H26" s="17">
        <f t="shared" si="0"/>
        <v>0</v>
      </c>
      <c r="I26" s="63"/>
      <c r="J26" s="61"/>
      <c r="K26" s="402"/>
      <c r="L26" s="420" t="str">
        <f t="shared" si="1"/>
        <v/>
      </c>
      <c r="M26" s="401" t="str">
        <f t="shared" si="2"/>
        <v/>
      </c>
    </row>
    <row r="27" spans="2:13" x14ac:dyDescent="0.25">
      <c r="B27" s="58"/>
      <c r="C27" s="65"/>
      <c r="D27" s="15"/>
      <c r="E27" s="15"/>
      <c r="F27" s="24"/>
      <c r="G27" s="421"/>
      <c r="H27" s="17" t="str">
        <f t="shared" si="0"/>
        <v/>
      </c>
      <c r="I27" s="63"/>
      <c r="J27" s="61"/>
      <c r="K27" s="402"/>
      <c r="L27" s="420" t="str">
        <f t="shared" si="1"/>
        <v/>
      </c>
      <c r="M27" s="401" t="str">
        <f t="shared" si="2"/>
        <v/>
      </c>
    </row>
    <row r="28" spans="2:13" ht="25" x14ac:dyDescent="0.25">
      <c r="B28" s="58" t="s">
        <v>2265</v>
      </c>
      <c r="C28" s="65" t="s">
        <v>2293</v>
      </c>
      <c r="D28" s="15" t="s">
        <v>26</v>
      </c>
      <c r="E28" s="15"/>
      <c r="F28" s="24">
        <f>F18+F22</f>
        <v>250800.00000000003</v>
      </c>
      <c r="G28" s="709"/>
      <c r="H28" s="17">
        <f t="shared" si="0"/>
        <v>0</v>
      </c>
      <c r="I28" s="63"/>
      <c r="J28" s="61"/>
      <c r="K28" s="399"/>
      <c r="L28" s="420" t="str">
        <f t="shared" si="1"/>
        <v/>
      </c>
      <c r="M28" s="401" t="str">
        <f t="shared" si="2"/>
        <v/>
      </c>
    </row>
    <row r="29" spans="2:13" x14ac:dyDescent="0.25">
      <c r="B29" s="58"/>
      <c r="C29" s="65"/>
      <c r="D29" s="15"/>
      <c r="E29" s="15"/>
      <c r="F29" s="24"/>
      <c r="G29" s="423"/>
      <c r="H29" s="17" t="str">
        <f t="shared" si="0"/>
        <v/>
      </c>
      <c r="I29" s="63"/>
      <c r="J29" s="61"/>
      <c r="K29" s="399"/>
      <c r="L29" s="420" t="str">
        <f t="shared" si="1"/>
        <v/>
      </c>
      <c r="M29" s="401" t="str">
        <f t="shared" si="2"/>
        <v/>
      </c>
    </row>
    <row r="30" spans="2:13" x14ac:dyDescent="0.25">
      <c r="B30" s="58"/>
      <c r="C30" s="65"/>
      <c r="D30" s="15"/>
      <c r="E30" s="15"/>
      <c r="F30" s="24"/>
      <c r="G30" s="421"/>
      <c r="H30" s="17" t="str">
        <f t="shared" si="0"/>
        <v/>
      </c>
      <c r="I30" s="57"/>
      <c r="J30" s="61"/>
      <c r="K30" s="400"/>
      <c r="L30" s="420" t="str">
        <f t="shared" si="1"/>
        <v/>
      </c>
      <c r="M30" s="401" t="str">
        <f t="shared" si="2"/>
        <v/>
      </c>
    </row>
    <row r="31" spans="2:13" x14ac:dyDescent="0.25">
      <c r="B31" s="58"/>
      <c r="C31" s="784"/>
      <c r="D31" s="15"/>
      <c r="E31" s="15"/>
      <c r="F31" s="24"/>
      <c r="G31" s="421"/>
      <c r="H31" s="17" t="str">
        <f t="shared" si="0"/>
        <v/>
      </c>
      <c r="I31" s="18"/>
      <c r="J31" s="61"/>
      <c r="K31" s="399"/>
      <c r="L31" s="420" t="str">
        <f t="shared" si="1"/>
        <v/>
      </c>
      <c r="M31" s="401" t="str">
        <f t="shared" si="2"/>
        <v/>
      </c>
    </row>
    <row r="32" spans="2:13" s="36" customFormat="1" x14ac:dyDescent="0.25">
      <c r="B32" s="58"/>
      <c r="C32" s="65"/>
      <c r="D32" s="15"/>
      <c r="E32" s="15"/>
      <c r="F32" s="24"/>
      <c r="G32" s="422"/>
      <c r="H32" s="17" t="str">
        <f t="shared" si="0"/>
        <v/>
      </c>
      <c r="I32" s="18"/>
      <c r="J32" s="61"/>
      <c r="K32" s="399"/>
      <c r="L32" s="420" t="str">
        <f t="shared" si="1"/>
        <v/>
      </c>
      <c r="M32" s="401" t="str">
        <f t="shared" si="2"/>
        <v/>
      </c>
    </row>
    <row r="33" spans="2:13" x14ac:dyDescent="0.25">
      <c r="B33" s="58"/>
      <c r="C33" s="65"/>
      <c r="D33" s="15"/>
      <c r="E33" s="15"/>
      <c r="F33" s="24"/>
      <c r="G33" s="422"/>
      <c r="H33" s="17" t="str">
        <f t="shared" si="0"/>
        <v/>
      </c>
      <c r="I33" s="57"/>
      <c r="J33" s="61"/>
      <c r="K33" s="399"/>
      <c r="L33" s="420" t="str">
        <f t="shared" si="1"/>
        <v/>
      </c>
      <c r="M33" s="401" t="str">
        <f t="shared" si="2"/>
        <v/>
      </c>
    </row>
    <row r="34" spans="2:13" x14ac:dyDescent="0.25">
      <c r="B34" s="58"/>
      <c r="C34" s="65"/>
      <c r="D34" s="15"/>
      <c r="E34" s="15"/>
      <c r="F34" s="24"/>
      <c r="G34" s="422"/>
      <c r="H34" s="17" t="str">
        <f t="shared" si="0"/>
        <v/>
      </c>
      <c r="I34" s="57"/>
      <c r="J34" s="61"/>
      <c r="K34" s="399"/>
      <c r="L34" s="420" t="str">
        <f t="shared" si="1"/>
        <v/>
      </c>
      <c r="M34" s="401" t="str">
        <f t="shared" si="2"/>
        <v/>
      </c>
    </row>
    <row r="35" spans="2:13" x14ac:dyDescent="0.25">
      <c r="B35" s="58"/>
      <c r="C35" s="65"/>
      <c r="D35" s="15"/>
      <c r="E35" s="15"/>
      <c r="F35" s="24"/>
      <c r="G35" s="411"/>
      <c r="H35" s="17" t="str">
        <f t="shared" si="0"/>
        <v/>
      </c>
      <c r="I35" s="18"/>
      <c r="J35" s="61"/>
      <c r="K35" s="399"/>
      <c r="L35" s="420" t="str">
        <f t="shared" si="1"/>
        <v/>
      </c>
      <c r="M35" s="401" t="str">
        <f t="shared" si="2"/>
        <v/>
      </c>
    </row>
    <row r="36" spans="2:13" x14ac:dyDescent="0.25">
      <c r="B36" s="58"/>
      <c r="C36" s="65"/>
      <c r="D36" s="15"/>
      <c r="E36" s="15"/>
      <c r="F36" s="24"/>
      <c r="G36" s="411"/>
      <c r="H36" s="17" t="str">
        <f t="shared" si="0"/>
        <v/>
      </c>
      <c r="I36" s="18"/>
      <c r="J36" s="61"/>
      <c r="K36" s="400"/>
      <c r="L36" s="420" t="str">
        <f t="shared" si="1"/>
        <v/>
      </c>
      <c r="M36" s="401" t="str">
        <f t="shared" si="2"/>
        <v/>
      </c>
    </row>
    <row r="37" spans="2:13" x14ac:dyDescent="0.25">
      <c r="B37" s="58"/>
      <c r="C37" s="65"/>
      <c r="D37" s="15"/>
      <c r="E37" s="15"/>
      <c r="F37" s="24"/>
      <c r="G37" s="423"/>
      <c r="H37" s="17" t="str">
        <f t="shared" si="0"/>
        <v/>
      </c>
      <c r="I37" s="18"/>
      <c r="J37" s="61"/>
      <c r="K37" s="399"/>
      <c r="L37" s="420" t="str">
        <f t="shared" si="1"/>
        <v/>
      </c>
      <c r="M37" s="401" t="str">
        <f t="shared" si="2"/>
        <v/>
      </c>
    </row>
    <row r="38" spans="2:13" x14ac:dyDescent="0.25">
      <c r="B38" s="58"/>
      <c r="C38" s="65"/>
      <c r="D38" s="15"/>
      <c r="E38" s="15"/>
      <c r="F38" s="24"/>
      <c r="G38" s="422"/>
      <c r="H38" s="17" t="str">
        <f>IF(D38="","",F38*G38)</f>
        <v/>
      </c>
      <c r="I38" s="18"/>
      <c r="J38" s="61"/>
      <c r="K38" s="399"/>
      <c r="L38" s="420" t="str">
        <f>IF(J38="","",F38*K38)</f>
        <v/>
      </c>
      <c r="M38" s="401" t="str">
        <f>IF(J38="","",IF(SUM(H38)=0,"",L38/H38))</f>
        <v/>
      </c>
    </row>
    <row r="39" spans="2:13" ht="8.15" customHeight="1" x14ac:dyDescent="0.25">
      <c r="B39" s="58"/>
      <c r="C39" s="65"/>
      <c r="D39" s="15"/>
      <c r="E39" s="15"/>
      <c r="F39" s="24"/>
      <c r="G39" s="422"/>
      <c r="H39" s="17" t="str">
        <f>IF(D39="","",F39*G39)</f>
        <v/>
      </c>
      <c r="I39" s="18"/>
      <c r="J39" s="61"/>
      <c r="K39" s="399"/>
      <c r="L39" s="420" t="str">
        <f>IF(J39="","",F39*K39)</f>
        <v/>
      </c>
      <c r="M39" s="401" t="str">
        <f>IF(J39="","",IF(SUM(H39)=0,"",L39/H39))</f>
        <v/>
      </c>
    </row>
    <row r="40" spans="2:13" x14ac:dyDescent="0.25">
      <c r="B40" s="58"/>
      <c r="C40" s="65"/>
      <c r="D40" s="15"/>
      <c r="E40" s="15"/>
      <c r="F40" s="24"/>
      <c r="G40" s="422"/>
      <c r="H40" s="17" t="str">
        <f>IF(D40="","",F40*G40)</f>
        <v/>
      </c>
      <c r="I40" s="18"/>
      <c r="J40" s="61"/>
      <c r="K40" s="399"/>
      <c r="L40" s="420" t="str">
        <f>IF(J40="","",F40*K40)</f>
        <v/>
      </c>
      <c r="M40" s="401" t="str">
        <f>IF(J40="","",IF(SUM(H40)=0,"",L40/H40))</f>
        <v/>
      </c>
    </row>
    <row r="41" spans="2:13" x14ac:dyDescent="0.25">
      <c r="B41" s="58"/>
      <c r="C41" s="65"/>
      <c r="D41" s="15"/>
      <c r="E41" s="15"/>
      <c r="F41" s="24"/>
      <c r="G41" s="422"/>
      <c r="H41" s="17" t="str">
        <f>IF(D41="","",F41*G41)</f>
        <v/>
      </c>
      <c r="I41" s="18"/>
      <c r="J41" s="61"/>
      <c r="K41" s="399"/>
      <c r="L41" s="420" t="str">
        <f>IF(J41="","",F41*K41)</f>
        <v/>
      </c>
      <c r="M41" s="401" t="str">
        <f>IF(J41="","",IF(SUM(H41)=0,"",L41/H41))</f>
        <v/>
      </c>
    </row>
    <row r="42" spans="2:13" x14ac:dyDescent="0.25">
      <c r="B42" s="58"/>
      <c r="C42" s="65"/>
      <c r="D42" s="15"/>
      <c r="E42" s="15"/>
      <c r="F42" s="24"/>
      <c r="G42" s="613"/>
      <c r="H42" s="17" t="str">
        <f t="shared" si="0"/>
        <v/>
      </c>
      <c r="I42" s="18"/>
      <c r="J42" s="61"/>
      <c r="K42" s="399"/>
      <c r="L42" s="420" t="str">
        <f t="shared" si="1"/>
        <v/>
      </c>
      <c r="M42" s="401" t="str">
        <f t="shared" si="2"/>
        <v/>
      </c>
    </row>
    <row r="43" spans="2:13" x14ac:dyDescent="0.25">
      <c r="B43" s="58"/>
      <c r="C43" s="784"/>
      <c r="D43" s="15"/>
      <c r="E43" s="15"/>
      <c r="F43" s="24"/>
      <c r="G43" s="421"/>
      <c r="H43" s="17" t="str">
        <f t="shared" si="0"/>
        <v/>
      </c>
      <c r="I43" s="18"/>
      <c r="J43" s="61"/>
      <c r="K43" s="399"/>
      <c r="L43" s="420" t="str">
        <f t="shared" si="1"/>
        <v/>
      </c>
      <c r="M43" s="401" t="str">
        <f t="shared" si="2"/>
        <v/>
      </c>
    </row>
    <row r="44" spans="2:13" x14ac:dyDescent="0.25">
      <c r="B44" s="58"/>
      <c r="C44" s="65"/>
      <c r="D44" s="15"/>
      <c r="E44" s="15"/>
      <c r="F44" s="24"/>
      <c r="G44" s="422"/>
      <c r="H44" s="17" t="str">
        <f t="shared" si="0"/>
        <v/>
      </c>
      <c r="I44" s="18"/>
      <c r="J44" s="61"/>
      <c r="K44" s="399"/>
      <c r="L44" s="420" t="str">
        <f t="shared" si="1"/>
        <v/>
      </c>
      <c r="M44" s="401" t="str">
        <f t="shared" si="2"/>
        <v/>
      </c>
    </row>
    <row r="45" spans="2:13" x14ac:dyDescent="0.25">
      <c r="B45" s="58"/>
      <c r="C45" s="65"/>
      <c r="D45" s="15"/>
      <c r="E45" s="15"/>
      <c r="F45" s="24"/>
      <c r="G45" s="422"/>
      <c r="H45" s="17" t="str">
        <f t="shared" si="0"/>
        <v/>
      </c>
      <c r="I45" s="18"/>
      <c r="J45" s="61"/>
      <c r="K45" s="399"/>
      <c r="L45" s="420" t="str">
        <f t="shared" si="1"/>
        <v/>
      </c>
      <c r="M45" s="401" t="str">
        <f t="shared" si="2"/>
        <v/>
      </c>
    </row>
    <row r="46" spans="2:13" x14ac:dyDescent="0.25">
      <c r="B46" s="58"/>
      <c r="C46" s="65"/>
      <c r="D46" s="15"/>
      <c r="E46" s="15"/>
      <c r="F46" s="24"/>
      <c r="G46" s="422"/>
      <c r="H46" s="17" t="str">
        <f t="shared" si="0"/>
        <v/>
      </c>
      <c r="I46" s="18"/>
      <c r="J46" s="61"/>
      <c r="K46" s="399"/>
      <c r="L46" s="420" t="str">
        <f t="shared" si="1"/>
        <v/>
      </c>
      <c r="M46" s="401" t="str">
        <f t="shared" si="2"/>
        <v/>
      </c>
    </row>
    <row r="47" spans="2:13" x14ac:dyDescent="0.25">
      <c r="B47" s="58"/>
      <c r="C47" s="65"/>
      <c r="D47" s="15"/>
      <c r="E47" s="15"/>
      <c r="F47" s="24"/>
      <c r="G47" s="411"/>
      <c r="H47" s="17" t="str">
        <f t="shared" si="0"/>
        <v/>
      </c>
      <c r="I47" s="18"/>
      <c r="J47" s="61"/>
      <c r="K47" s="399"/>
      <c r="L47" s="420" t="str">
        <f t="shared" si="1"/>
        <v/>
      </c>
      <c r="M47" s="401" t="str">
        <f t="shared" si="2"/>
        <v/>
      </c>
    </row>
    <row r="48" spans="2:13" x14ac:dyDescent="0.25">
      <c r="B48" s="58"/>
      <c r="C48" s="65"/>
      <c r="D48" s="15"/>
      <c r="E48" s="15"/>
      <c r="F48" s="24"/>
      <c r="G48" s="422"/>
      <c r="H48" s="17" t="str">
        <f t="shared" si="0"/>
        <v/>
      </c>
      <c r="I48" s="18"/>
      <c r="J48" s="61"/>
      <c r="K48" s="402"/>
      <c r="L48" s="420" t="str">
        <f t="shared" si="1"/>
        <v/>
      </c>
      <c r="M48" s="401" t="str">
        <f t="shared" si="2"/>
        <v/>
      </c>
    </row>
    <row r="49" spans="2:13" x14ac:dyDescent="0.25">
      <c r="B49" s="58"/>
      <c r="C49" s="65"/>
      <c r="D49" s="15"/>
      <c r="E49" s="15"/>
      <c r="F49" s="24"/>
      <c r="G49" s="424"/>
      <c r="H49" s="17" t="str">
        <f t="shared" si="0"/>
        <v/>
      </c>
      <c r="I49" s="18"/>
      <c r="J49" s="61"/>
      <c r="K49" s="399"/>
      <c r="L49" s="420" t="str">
        <f t="shared" si="1"/>
        <v/>
      </c>
      <c r="M49" s="401" t="str">
        <f t="shared" si="2"/>
        <v/>
      </c>
    </row>
    <row r="50" spans="2:13" x14ac:dyDescent="0.25">
      <c r="B50" s="58"/>
      <c r="C50" s="65"/>
      <c r="D50" s="15"/>
      <c r="E50" s="15"/>
      <c r="F50" s="24"/>
      <c r="G50" s="758"/>
      <c r="H50" s="17" t="str">
        <f t="shared" si="0"/>
        <v/>
      </c>
      <c r="I50" s="18"/>
      <c r="J50" s="61"/>
      <c r="K50" s="402"/>
      <c r="L50" s="420" t="str">
        <f t="shared" si="1"/>
        <v/>
      </c>
      <c r="M50" s="401" t="str">
        <f t="shared" si="2"/>
        <v/>
      </c>
    </row>
    <row r="51" spans="2:13" x14ac:dyDescent="0.25">
      <c r="B51" s="58"/>
      <c r="C51" s="65"/>
      <c r="D51" s="15"/>
      <c r="E51" s="15"/>
      <c r="F51" s="24"/>
      <c r="G51" s="422"/>
      <c r="H51" s="17" t="str">
        <f t="shared" si="0"/>
        <v/>
      </c>
      <c r="I51" s="18"/>
      <c r="J51" s="62"/>
      <c r="K51" s="62"/>
      <c r="L51" s="420" t="str">
        <f t="shared" ref="L51" si="5">IF(J51="","",F68*K51)</f>
        <v/>
      </c>
      <c r="M51" s="401" t="str">
        <f t="shared" si="2"/>
        <v/>
      </c>
    </row>
    <row r="52" spans="2:13" x14ac:dyDescent="0.25">
      <c r="B52" s="58"/>
      <c r="C52" s="65"/>
      <c r="D52" s="15"/>
      <c r="E52" s="15"/>
      <c r="F52" s="24"/>
      <c r="G52" s="422"/>
      <c r="H52" s="17" t="str">
        <f t="shared" si="0"/>
        <v/>
      </c>
      <c r="I52" s="18"/>
      <c r="J52" s="62"/>
      <c r="K52" s="62"/>
      <c r="L52" s="420" t="str">
        <f>IF(J52="","",#REF!*K52)</f>
        <v/>
      </c>
      <c r="M52" s="401" t="str">
        <f t="shared" si="2"/>
        <v/>
      </c>
    </row>
    <row r="53" spans="2:13" x14ac:dyDescent="0.25">
      <c r="B53" s="58"/>
      <c r="C53" s="65"/>
      <c r="D53" s="15"/>
      <c r="E53" s="15"/>
      <c r="F53" s="24"/>
      <c r="G53" s="422"/>
      <c r="H53" s="17" t="str">
        <f t="shared" si="0"/>
        <v/>
      </c>
      <c r="I53" s="18"/>
      <c r="J53" s="62"/>
      <c r="K53" s="62"/>
      <c r="L53" s="420" t="str">
        <f>IF(J53="","",#REF!*K53)</f>
        <v/>
      </c>
      <c r="M53" s="401" t="str">
        <f t="shared" si="2"/>
        <v/>
      </c>
    </row>
    <row r="54" spans="2:13" x14ac:dyDescent="0.25">
      <c r="B54" s="58"/>
      <c r="C54" s="65"/>
      <c r="D54" s="15"/>
      <c r="E54" s="15"/>
      <c r="F54" s="24"/>
      <c r="G54" s="422"/>
      <c r="H54" s="17" t="str">
        <f t="shared" si="0"/>
        <v/>
      </c>
      <c r="I54" s="18"/>
      <c r="J54" s="62"/>
      <c r="K54" s="62"/>
      <c r="L54" s="420" t="str">
        <f t="shared" ref="L54:L68" si="6">IF(J54="","",F69*K54)</f>
        <v/>
      </c>
      <c r="M54" s="401" t="str">
        <f t="shared" si="2"/>
        <v/>
      </c>
    </row>
    <row r="55" spans="2:13" x14ac:dyDescent="0.25">
      <c r="B55" s="58"/>
      <c r="C55" s="65"/>
      <c r="D55" s="15"/>
      <c r="E55" s="15"/>
      <c r="F55" s="24"/>
      <c r="G55" s="422"/>
      <c r="H55" s="17" t="str">
        <f t="shared" si="0"/>
        <v/>
      </c>
      <c r="I55" s="18"/>
      <c r="J55" s="62"/>
      <c r="K55" s="62"/>
      <c r="L55" s="420" t="str">
        <f t="shared" si="6"/>
        <v/>
      </c>
      <c r="M55" s="401" t="str">
        <f t="shared" si="2"/>
        <v/>
      </c>
    </row>
    <row r="56" spans="2:13" x14ac:dyDescent="0.25">
      <c r="B56" s="58"/>
      <c r="C56" s="65"/>
      <c r="D56" s="15"/>
      <c r="E56" s="15"/>
      <c r="F56" s="24"/>
      <c r="G56" s="425"/>
      <c r="H56" s="17" t="str">
        <f t="shared" si="0"/>
        <v/>
      </c>
      <c r="I56" s="18"/>
      <c r="J56" s="62"/>
      <c r="K56" s="62"/>
      <c r="L56" s="420" t="str">
        <f t="shared" si="6"/>
        <v/>
      </c>
      <c r="M56" s="401" t="str">
        <f t="shared" si="2"/>
        <v/>
      </c>
    </row>
    <row r="57" spans="2:13" x14ac:dyDescent="0.25">
      <c r="B57" s="58"/>
      <c r="C57" s="65"/>
      <c r="D57" s="61"/>
      <c r="E57" s="61"/>
      <c r="F57" s="24"/>
      <c r="G57" s="422"/>
      <c r="H57" s="17" t="str">
        <f t="shared" si="0"/>
        <v/>
      </c>
      <c r="I57" s="63"/>
      <c r="J57" s="62"/>
      <c r="K57" s="62"/>
      <c r="L57" s="420" t="str">
        <f t="shared" si="6"/>
        <v/>
      </c>
      <c r="M57" s="401" t="str">
        <f t="shared" si="2"/>
        <v/>
      </c>
    </row>
    <row r="58" spans="2:13" x14ac:dyDescent="0.25">
      <c r="B58" s="58"/>
      <c r="C58" s="65"/>
      <c r="D58" s="15"/>
      <c r="E58" s="15"/>
      <c r="F58" s="24"/>
      <c r="G58" s="422"/>
      <c r="H58" s="17" t="str">
        <f t="shared" si="0"/>
        <v/>
      </c>
      <c r="I58" s="18"/>
      <c r="J58" s="62"/>
      <c r="K58" s="62"/>
      <c r="L58" s="420" t="str">
        <f t="shared" si="6"/>
        <v/>
      </c>
      <c r="M58" s="401" t="str">
        <f t="shared" si="2"/>
        <v/>
      </c>
    </row>
    <row r="59" spans="2:13" x14ac:dyDescent="0.25">
      <c r="B59" s="58"/>
      <c r="C59" s="65"/>
      <c r="D59" s="15"/>
      <c r="E59" s="15"/>
      <c r="F59" s="24"/>
      <c r="G59" s="422"/>
      <c r="H59" s="17" t="str">
        <f t="shared" si="0"/>
        <v/>
      </c>
      <c r="I59" s="69"/>
      <c r="J59" s="62"/>
      <c r="K59" s="62"/>
      <c r="L59" s="420" t="str">
        <f t="shared" si="6"/>
        <v/>
      </c>
      <c r="M59" s="401" t="str">
        <f t="shared" si="2"/>
        <v/>
      </c>
    </row>
    <row r="60" spans="2:13" x14ac:dyDescent="0.25">
      <c r="B60" s="58"/>
      <c r="C60" s="65"/>
      <c r="D60" s="15"/>
      <c r="E60" s="15"/>
      <c r="F60" s="24"/>
      <c r="G60" s="422"/>
      <c r="H60" s="17" t="str">
        <f t="shared" si="0"/>
        <v/>
      </c>
      <c r="I60" s="63"/>
      <c r="J60" s="62"/>
      <c r="K60" s="62"/>
      <c r="L60" s="420" t="str">
        <f t="shared" si="6"/>
        <v/>
      </c>
      <c r="M60" s="401" t="str">
        <f t="shared" si="2"/>
        <v/>
      </c>
    </row>
    <row r="61" spans="2:13" x14ac:dyDescent="0.25">
      <c r="B61" s="58"/>
      <c r="C61" s="65"/>
      <c r="D61" s="15"/>
      <c r="E61" s="15"/>
      <c r="F61" s="24"/>
      <c r="G61" s="422"/>
      <c r="H61" s="17" t="str">
        <f t="shared" si="0"/>
        <v/>
      </c>
      <c r="I61" s="18"/>
      <c r="J61" s="62"/>
      <c r="K61" s="62"/>
      <c r="L61" s="420" t="str">
        <f t="shared" si="6"/>
        <v/>
      </c>
      <c r="M61" s="401" t="str">
        <f t="shared" si="2"/>
        <v/>
      </c>
    </row>
    <row r="62" spans="2:13" x14ac:dyDescent="0.25">
      <c r="B62" s="58"/>
      <c r="C62" s="65"/>
      <c r="D62" s="15"/>
      <c r="E62" s="15"/>
      <c r="F62" s="24"/>
      <c r="G62" s="422"/>
      <c r="H62" s="17" t="str">
        <f t="shared" si="0"/>
        <v/>
      </c>
      <c r="I62" s="18"/>
      <c r="J62" s="62"/>
      <c r="K62" s="62"/>
      <c r="L62" s="420" t="str">
        <f t="shared" si="6"/>
        <v/>
      </c>
      <c r="M62" s="401" t="str">
        <f t="shared" si="2"/>
        <v/>
      </c>
    </row>
    <row r="63" spans="2:13" x14ac:dyDescent="0.25">
      <c r="B63" s="58"/>
      <c r="C63" s="65"/>
      <c r="D63" s="15"/>
      <c r="E63" s="15"/>
      <c r="F63" s="24"/>
      <c r="G63" s="422"/>
      <c r="H63" s="17" t="str">
        <f t="shared" si="0"/>
        <v/>
      </c>
      <c r="I63" s="18"/>
      <c r="J63" s="62"/>
      <c r="K63" s="62"/>
      <c r="L63" s="420" t="str">
        <f t="shared" si="6"/>
        <v/>
      </c>
      <c r="M63" s="401" t="str">
        <f t="shared" si="2"/>
        <v/>
      </c>
    </row>
    <row r="64" spans="2:13" x14ac:dyDescent="0.25">
      <c r="B64" s="58"/>
      <c r="C64" s="65"/>
      <c r="D64" s="15"/>
      <c r="E64" s="15"/>
      <c r="F64" s="24"/>
      <c r="G64" s="422"/>
      <c r="H64" s="17"/>
      <c r="I64" s="18"/>
      <c r="J64" s="62"/>
      <c r="K64" s="62"/>
      <c r="L64" s="420" t="str">
        <f t="shared" si="6"/>
        <v/>
      </c>
      <c r="M64" s="401" t="str">
        <f t="shared" si="2"/>
        <v/>
      </c>
    </row>
    <row r="65" spans="2:13" x14ac:dyDescent="0.25">
      <c r="B65" s="58"/>
      <c r="C65" s="65"/>
      <c r="D65" s="15"/>
      <c r="E65" s="15"/>
      <c r="F65" s="24"/>
      <c r="G65" s="422"/>
      <c r="H65" s="17"/>
      <c r="I65" s="18"/>
      <c r="J65" s="62"/>
      <c r="K65" s="62"/>
      <c r="L65" s="420" t="str">
        <f t="shared" si="6"/>
        <v/>
      </c>
      <c r="M65" s="401" t="str">
        <f t="shared" si="2"/>
        <v/>
      </c>
    </row>
    <row r="66" spans="2:13" x14ac:dyDescent="0.25">
      <c r="B66" s="58"/>
      <c r="C66" s="65"/>
      <c r="D66" s="15"/>
      <c r="E66" s="15"/>
      <c r="F66" s="24"/>
      <c r="G66" s="422"/>
      <c r="H66" s="17" t="str">
        <f t="shared" ref="H66" si="7">IF(D66="","",F66*G66)</f>
        <v/>
      </c>
      <c r="I66" s="18"/>
      <c r="J66" s="62"/>
      <c r="K66" s="62"/>
      <c r="L66" s="420" t="str">
        <f t="shared" si="6"/>
        <v/>
      </c>
      <c r="M66" s="401" t="str">
        <f t="shared" si="2"/>
        <v/>
      </c>
    </row>
    <row r="67" spans="2:13" x14ac:dyDescent="0.25">
      <c r="B67" s="58"/>
      <c r="C67" s="65"/>
      <c r="D67" s="15"/>
      <c r="E67" s="15"/>
      <c r="F67" s="24"/>
      <c r="G67" s="422"/>
      <c r="H67" s="17"/>
      <c r="I67" s="18"/>
      <c r="J67" s="62"/>
      <c r="K67" s="62"/>
      <c r="L67" s="420" t="str">
        <f t="shared" si="6"/>
        <v/>
      </c>
      <c r="M67" s="401" t="str">
        <f t="shared" si="2"/>
        <v/>
      </c>
    </row>
    <row r="68" spans="2:13" x14ac:dyDescent="0.25">
      <c r="B68" s="58"/>
      <c r="C68" s="65"/>
      <c r="D68" s="15"/>
      <c r="E68" s="15"/>
      <c r="F68" s="24"/>
      <c r="G68" s="425"/>
      <c r="H68" s="17" t="str">
        <f t="shared" ref="H68" si="8">IF(D68="","",F68*G68)</f>
        <v/>
      </c>
      <c r="I68" s="18"/>
      <c r="J68" s="61"/>
      <c r="K68" s="62"/>
      <c r="L68" s="420" t="str">
        <f t="shared" si="6"/>
        <v/>
      </c>
      <c r="M68" s="401" t="str">
        <f t="shared" si="2"/>
        <v/>
      </c>
    </row>
    <row r="69" spans="2:13" ht="8.25" customHeight="1" x14ac:dyDescent="0.25">
      <c r="B69" s="58"/>
      <c r="C69" s="65"/>
      <c r="D69" s="15"/>
      <c r="E69" s="15"/>
      <c r="F69" s="15"/>
      <c r="G69" s="422"/>
      <c r="H69" s="17" t="str">
        <f>IF(D69="","",F69*G69)</f>
        <v/>
      </c>
      <c r="I69" s="18"/>
      <c r="J69" s="61"/>
      <c r="K69" s="696"/>
      <c r="L69" s="420" t="str">
        <f>IF(J69="","",F80*K69)</f>
        <v/>
      </c>
      <c r="M69" s="401" t="str">
        <f t="shared" si="2"/>
        <v/>
      </c>
    </row>
    <row r="70" spans="2:13" s="28" customFormat="1" ht="19.5" customHeight="1" x14ac:dyDescent="0.25">
      <c r="B70" s="135" t="str">
        <f>$B$12</f>
        <v>G</v>
      </c>
      <c r="C70" s="642" t="str">
        <f>"TOTAL CARRIED FORWARD"&amp;IF(H70=H$1," TO SUMMARY (Page C"&amp;Page_F&amp;")","")</f>
        <v>TOTAL CARRIED FORWARD TO SUMMARY (Page C67)</v>
      </c>
      <c r="D70" s="643"/>
      <c r="E70" s="643"/>
      <c r="F70" s="643"/>
      <c r="G70" s="854"/>
      <c r="H70" s="33">
        <f>SUM(H11:H69)</f>
        <v>250800.00000000003</v>
      </c>
      <c r="I70" s="34"/>
      <c r="J70" s="408"/>
      <c r="K70" s="406"/>
      <c r="L70" s="418">
        <f>SUM(L11:L69)</f>
        <v>0</v>
      </c>
      <c r="M70" s="407" t="str">
        <f t="shared" si="2"/>
        <v/>
      </c>
    </row>
  </sheetData>
  <mergeCells count="4">
    <mergeCell ref="F3:H3"/>
    <mergeCell ref="B6:G6"/>
    <mergeCell ref="H6:H9"/>
    <mergeCell ref="B7:G9"/>
  </mergeCells>
  <conditionalFormatting sqref="G11:H70">
    <cfRule type="expression" dxfId="36" priority="1">
      <formula>AND(_Show_Price=FALSE,$D11&lt;&gt;"Prime Cost",$D11&lt;&gt;"PC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387EA-7A25-4174-ACB9-DB19A66197FC}">
  <sheetPr>
    <tabColor rgb="FF0070C0"/>
  </sheetPr>
  <dimension ref="B1:L1048496"/>
  <sheetViews>
    <sheetView view="pageBreakPreview" zoomScaleNormal="100" zoomScaleSheetLayoutView="100" zoomScalePageLayoutView="150" workbookViewId="0">
      <selection activeCell="C28" sqref="C28"/>
    </sheetView>
  </sheetViews>
  <sheetFormatPr defaultColWidth="8.81640625" defaultRowHeight="12.5" x14ac:dyDescent="0.25"/>
  <cols>
    <col min="1" max="1" width="0.81640625" style="49" customWidth="1"/>
    <col min="2" max="2" width="15.7265625" style="52" customWidth="1"/>
    <col min="3" max="3" width="74.7265625" style="50" customWidth="1"/>
    <col min="4" max="5" width="15.7265625" style="49" customWidth="1"/>
    <col min="6" max="6" width="0.81640625" style="49" customWidth="1"/>
    <col min="7" max="7" width="8.81640625" style="49"/>
    <col min="8" max="8" width="15.453125" style="49" customWidth="1"/>
    <col min="9" max="9" width="12.54296875" style="49" customWidth="1"/>
    <col min="10" max="10" width="9.453125" style="49" customWidth="1"/>
    <col min="11" max="16384" width="8.81640625" style="49"/>
  </cols>
  <sheetData>
    <row r="1" spans="2:12" ht="13" x14ac:dyDescent="0.25">
      <c r="C1" s="132" t="str">
        <f>"Page C"&amp;Page_G</f>
        <v>Page C70</v>
      </c>
      <c r="E1" s="639">
        <f>MAX(E2:E73)</f>
        <v>250800.00000000003</v>
      </c>
    </row>
    <row r="2" spans="2:12" ht="13" x14ac:dyDescent="0.25">
      <c r="B2" s="2" t="str">
        <f>Client1</f>
        <v>Province of KwaZulu-Natal</v>
      </c>
      <c r="D2" s="6"/>
      <c r="E2" s="6" t="str">
        <f>"Contract No. "&amp;ContractNo</f>
        <v>Contract No. ZNB 00399/00000/HOD/INF/21/T</v>
      </c>
    </row>
    <row r="3" spans="2:12" s="1" customFormat="1" ht="18" customHeight="1" x14ac:dyDescent="0.25">
      <c r="B3" s="87" t="str">
        <f>Client2</f>
        <v>Department of Transport</v>
      </c>
      <c r="C3" s="50"/>
      <c r="D3" s="4"/>
      <c r="I3" s="4"/>
    </row>
    <row r="4" spans="2:12" s="1" customFormat="1" ht="16.5" customHeight="1" x14ac:dyDescent="0.25">
      <c r="B4" s="77"/>
      <c r="C4" s="90"/>
      <c r="D4" s="78"/>
      <c r="E4" s="79"/>
      <c r="G4" s="5"/>
      <c r="H4" s="5"/>
      <c r="I4" s="4"/>
    </row>
    <row r="5" spans="2:12" s="1" customFormat="1" ht="7.5" customHeight="1" x14ac:dyDescent="0.25">
      <c r="B5" s="1135" t="str">
        <f>ContractDescription</f>
        <v>THE CONSTRUCTION OF EARTHWORKS, LAYERWORKS, SURFACING, CULVERTS AND CWAKA RIVER BRIDGE FROM KM 11.600 TO KM 14.000 ON MAIN ROAD P494 IN THE KING CETSHWAYO DISTRICT UNDER EMPANGENI REGION</v>
      </c>
      <c r="C5" s="1136"/>
      <c r="D5" s="1136"/>
      <c r="E5" s="1145"/>
      <c r="G5" s="5"/>
      <c r="H5" s="5"/>
      <c r="I5" s="4"/>
    </row>
    <row r="6" spans="2:12" ht="12.75" customHeight="1" x14ac:dyDescent="0.25">
      <c r="B6" s="1117"/>
      <c r="C6" s="1118"/>
      <c r="D6" s="1118"/>
      <c r="E6" s="1146"/>
    </row>
    <row r="7" spans="2:12" ht="7.5" customHeight="1" x14ac:dyDescent="0.25">
      <c r="B7" s="1119"/>
      <c r="C7" s="1120"/>
      <c r="D7" s="1120"/>
      <c r="E7" s="1147"/>
    </row>
    <row r="8" spans="2:12" ht="25.5" customHeight="1" x14ac:dyDescent="0.25">
      <c r="B8" s="1154" t="str">
        <f>"SCHEDULE"&amp;" "&amp;B11&amp;": "&amp;C11</f>
        <v>SCHEDULE G: CIDB CONTRACT SKILLS DEVELOPMENT GOAL (CSDG)</v>
      </c>
      <c r="C8" s="1155"/>
      <c r="D8" s="1155"/>
      <c r="E8" s="1156"/>
    </row>
    <row r="9" spans="2:12" ht="13" x14ac:dyDescent="0.25">
      <c r="B9" s="11" t="s">
        <v>804</v>
      </c>
      <c r="C9" s="627" t="s">
        <v>1</v>
      </c>
      <c r="D9" s="11" t="s">
        <v>784</v>
      </c>
      <c r="E9" s="11" t="s">
        <v>5</v>
      </c>
      <c r="L9" s="131"/>
    </row>
    <row r="10" spans="2:12" ht="13" x14ac:dyDescent="0.25">
      <c r="B10" s="20"/>
      <c r="C10" s="628"/>
      <c r="D10" s="21"/>
      <c r="E10" s="633"/>
      <c r="L10" s="131"/>
    </row>
    <row r="11" spans="2:12" ht="12.75" customHeight="1" x14ac:dyDescent="0.25">
      <c r="B11" s="20" t="str">
        <f>'Chapter G'!B12</f>
        <v>G</v>
      </c>
      <c r="C11" s="81" t="s">
        <v>2257</v>
      </c>
      <c r="D11" s="676">
        <f>Page_H-1</f>
        <v>71</v>
      </c>
      <c r="E11" s="861">
        <f>'Chapter G'!H1</f>
        <v>250800.00000000003</v>
      </c>
    </row>
    <row r="12" spans="2:12" ht="12.75" customHeight="1" x14ac:dyDescent="0.25">
      <c r="B12" s="21"/>
      <c r="C12" s="629"/>
      <c r="D12" s="21"/>
      <c r="E12" s="634"/>
    </row>
    <row r="13" spans="2:12" ht="12.75" customHeight="1" x14ac:dyDescent="0.25">
      <c r="B13" s="21"/>
      <c r="C13" s="629"/>
      <c r="D13" s="21"/>
      <c r="E13" s="634"/>
    </row>
    <row r="14" spans="2:12" ht="12.75" customHeight="1" x14ac:dyDescent="0.25">
      <c r="B14" s="21"/>
      <c r="C14" s="629"/>
      <c r="D14" s="21"/>
      <c r="E14" s="634"/>
    </row>
    <row r="15" spans="2:12" ht="12.75" customHeight="1" x14ac:dyDescent="0.25">
      <c r="B15" s="21"/>
      <c r="C15" s="629"/>
      <c r="D15" s="21"/>
      <c r="E15" s="634"/>
    </row>
    <row r="16" spans="2:12" ht="12.75" customHeight="1" x14ac:dyDescent="0.25">
      <c r="B16" s="21"/>
      <c r="C16" s="629"/>
      <c r="D16" s="21"/>
      <c r="E16" s="634"/>
    </row>
    <row r="17" spans="2:5" ht="12.75" customHeight="1" x14ac:dyDescent="0.25">
      <c r="B17" s="21"/>
      <c r="C17" s="629"/>
      <c r="D17" s="21"/>
      <c r="E17" s="634"/>
    </row>
    <row r="18" spans="2:5" ht="12.75" customHeight="1" x14ac:dyDescent="0.25">
      <c r="B18" s="21"/>
      <c r="C18" s="629"/>
      <c r="D18" s="21"/>
      <c r="E18" s="634"/>
    </row>
    <row r="19" spans="2:5" ht="12.75" customHeight="1" x14ac:dyDescent="0.25">
      <c r="B19" s="21"/>
      <c r="C19" s="629"/>
      <c r="D19" s="21"/>
      <c r="E19" s="634"/>
    </row>
    <row r="20" spans="2:5" ht="12.75" customHeight="1" x14ac:dyDescent="0.25">
      <c r="B20" s="21"/>
      <c r="C20" s="629"/>
      <c r="D20" s="21"/>
      <c r="E20" s="634"/>
    </row>
    <row r="21" spans="2:5" ht="12.75" customHeight="1" x14ac:dyDescent="0.25">
      <c r="B21" s="21"/>
      <c r="C21" s="629"/>
      <c r="D21" s="21"/>
      <c r="E21" s="634"/>
    </row>
    <row r="22" spans="2:5" ht="12.75" customHeight="1" x14ac:dyDescent="0.25">
      <c r="B22" s="21"/>
      <c r="C22" s="629"/>
      <c r="D22" s="21"/>
      <c r="E22" s="634"/>
    </row>
    <row r="23" spans="2:5" ht="12.75" customHeight="1" x14ac:dyDescent="0.25">
      <c r="B23" s="21"/>
      <c r="C23" s="629"/>
      <c r="D23" s="21"/>
      <c r="E23" s="634"/>
    </row>
    <row r="24" spans="2:5" ht="12.75" customHeight="1" x14ac:dyDescent="0.25">
      <c r="B24" s="21"/>
      <c r="C24" s="629"/>
      <c r="D24" s="21"/>
      <c r="E24" s="634"/>
    </row>
    <row r="25" spans="2:5" ht="12.75" customHeight="1" x14ac:dyDescent="0.25">
      <c r="B25" s="21"/>
      <c r="C25" s="629"/>
      <c r="D25" s="21"/>
      <c r="E25" s="634"/>
    </row>
    <row r="26" spans="2:5" ht="12.75" customHeight="1" x14ac:dyDescent="0.25">
      <c r="B26" s="21"/>
      <c r="C26" s="629"/>
      <c r="D26" s="21"/>
      <c r="E26" s="634"/>
    </row>
    <row r="27" spans="2:5" ht="12.75" customHeight="1" x14ac:dyDescent="0.25">
      <c r="B27" s="21"/>
      <c r="C27" s="629"/>
      <c r="D27" s="81"/>
      <c r="E27" s="634"/>
    </row>
    <row r="28" spans="2:5" ht="12.75" customHeight="1" x14ac:dyDescent="0.25">
      <c r="B28" s="21"/>
      <c r="C28" s="629"/>
      <c r="D28" s="81"/>
      <c r="E28" s="634"/>
    </row>
    <row r="29" spans="2:5" ht="12.75" customHeight="1" x14ac:dyDescent="0.25">
      <c r="B29" s="21"/>
      <c r="C29" s="629"/>
      <c r="D29" s="81"/>
      <c r="E29" s="634"/>
    </row>
    <row r="30" spans="2:5" ht="12.75" customHeight="1" x14ac:dyDescent="0.25">
      <c r="B30" s="21"/>
      <c r="C30" s="629"/>
      <c r="D30" s="81"/>
      <c r="E30" s="634"/>
    </row>
    <row r="31" spans="2:5" ht="12.75" customHeight="1" x14ac:dyDescent="0.25">
      <c r="B31" s="21"/>
      <c r="C31" s="629"/>
      <c r="D31" s="81"/>
      <c r="E31" s="634"/>
    </row>
    <row r="32" spans="2:5" ht="12.75" customHeight="1" x14ac:dyDescent="0.25">
      <c r="B32" s="21"/>
      <c r="C32" s="629"/>
      <c r="D32" s="81"/>
      <c r="E32" s="634"/>
    </row>
    <row r="33" spans="2:5" ht="12.75" customHeight="1" x14ac:dyDescent="0.25">
      <c r="B33" s="21"/>
      <c r="C33" s="629"/>
      <c r="D33" s="81"/>
      <c r="E33" s="634"/>
    </row>
    <row r="34" spans="2:5" ht="13" x14ac:dyDescent="0.25">
      <c r="B34" s="21"/>
      <c r="C34" s="629"/>
      <c r="D34" s="81"/>
      <c r="E34" s="634"/>
    </row>
    <row r="35" spans="2:5" ht="13" x14ac:dyDescent="0.25">
      <c r="B35" s="21"/>
      <c r="C35" s="629"/>
      <c r="D35" s="81"/>
      <c r="E35" s="634"/>
    </row>
    <row r="36" spans="2:5" ht="13" x14ac:dyDescent="0.25">
      <c r="B36" s="21"/>
      <c r="C36" s="629"/>
      <c r="D36" s="81"/>
      <c r="E36" s="634"/>
    </row>
    <row r="37" spans="2:5" ht="13" x14ac:dyDescent="0.25">
      <c r="B37" s="21"/>
      <c r="C37" s="629"/>
      <c r="D37" s="81"/>
      <c r="E37" s="634"/>
    </row>
    <row r="38" spans="2:5" ht="13" x14ac:dyDescent="0.25">
      <c r="B38" s="21"/>
      <c r="C38" s="629"/>
      <c r="D38" s="81"/>
      <c r="E38" s="634"/>
    </row>
    <row r="39" spans="2:5" ht="13" x14ac:dyDescent="0.25">
      <c r="B39" s="21"/>
      <c r="C39" s="629"/>
      <c r="D39" s="81"/>
      <c r="E39" s="634"/>
    </row>
    <row r="40" spans="2:5" ht="13" x14ac:dyDescent="0.25">
      <c r="B40" s="21"/>
      <c r="C40" s="629"/>
      <c r="D40" s="81"/>
      <c r="E40" s="634"/>
    </row>
    <row r="41" spans="2:5" ht="13" x14ac:dyDescent="0.25">
      <c r="B41" s="21"/>
      <c r="C41" s="629"/>
      <c r="D41" s="81"/>
      <c r="E41" s="634"/>
    </row>
    <row r="42" spans="2:5" ht="12.75" customHeight="1" x14ac:dyDescent="0.25">
      <c r="B42" s="21"/>
      <c r="C42" s="629"/>
      <c r="D42" s="81"/>
      <c r="E42" s="634"/>
    </row>
    <row r="43" spans="2:5" ht="13" x14ac:dyDescent="0.25">
      <c r="B43" s="21"/>
      <c r="C43" s="629"/>
      <c r="D43" s="81"/>
      <c r="E43" s="634"/>
    </row>
    <row r="44" spans="2:5" ht="13" x14ac:dyDescent="0.25">
      <c r="B44" s="21"/>
      <c r="C44" s="629"/>
      <c r="D44" s="81"/>
      <c r="E44" s="634"/>
    </row>
    <row r="45" spans="2:5" ht="13" x14ac:dyDescent="0.25">
      <c r="B45" s="21"/>
      <c r="C45" s="629"/>
      <c r="D45" s="81"/>
      <c r="E45" s="634"/>
    </row>
    <row r="46" spans="2:5" ht="13" x14ac:dyDescent="0.25">
      <c r="B46" s="21"/>
      <c r="C46" s="629"/>
      <c r="D46" s="81"/>
      <c r="E46" s="634"/>
    </row>
    <row r="47" spans="2:5" ht="13" x14ac:dyDescent="0.25">
      <c r="B47" s="21"/>
      <c r="C47" s="629"/>
      <c r="D47" s="81"/>
      <c r="E47" s="634"/>
    </row>
    <row r="48" spans="2:5" ht="13" x14ac:dyDescent="0.25">
      <c r="B48" s="21"/>
      <c r="C48" s="629"/>
      <c r="D48" s="81"/>
      <c r="E48" s="634"/>
    </row>
    <row r="49" spans="2:5" ht="13" x14ac:dyDescent="0.25">
      <c r="B49" s="21"/>
      <c r="C49" s="629"/>
      <c r="D49" s="81"/>
      <c r="E49" s="634"/>
    </row>
    <row r="50" spans="2:5" ht="13" x14ac:dyDescent="0.25">
      <c r="B50" s="21"/>
      <c r="C50" s="629"/>
      <c r="D50" s="81"/>
      <c r="E50" s="634"/>
    </row>
    <row r="51" spans="2:5" ht="13" x14ac:dyDescent="0.25">
      <c r="B51" s="21"/>
      <c r="C51" s="629"/>
      <c r="D51" s="81"/>
      <c r="E51" s="634"/>
    </row>
    <row r="52" spans="2:5" ht="13" x14ac:dyDescent="0.25">
      <c r="B52" s="21"/>
      <c r="C52" s="629"/>
      <c r="D52" s="81"/>
      <c r="E52" s="634"/>
    </row>
    <row r="53" spans="2:5" ht="13" x14ac:dyDescent="0.25">
      <c r="B53" s="21"/>
      <c r="C53" s="629"/>
      <c r="D53" s="81"/>
      <c r="E53" s="634"/>
    </row>
    <row r="54" spans="2:5" ht="13" x14ac:dyDescent="0.25">
      <c r="B54" s="21"/>
      <c r="C54" s="629"/>
      <c r="D54" s="81"/>
      <c r="E54" s="634"/>
    </row>
    <row r="55" spans="2:5" ht="13" x14ac:dyDescent="0.25">
      <c r="B55" s="21"/>
      <c r="C55" s="629"/>
      <c r="D55" s="81"/>
      <c r="E55" s="634"/>
    </row>
    <row r="56" spans="2:5" ht="13" x14ac:dyDescent="0.25">
      <c r="B56" s="21"/>
      <c r="C56" s="629"/>
      <c r="D56" s="81"/>
      <c r="E56" s="634"/>
    </row>
    <row r="57" spans="2:5" ht="13" x14ac:dyDescent="0.25">
      <c r="B57" s="21"/>
      <c r="C57" s="629"/>
      <c r="D57" s="81"/>
      <c r="E57" s="634"/>
    </row>
    <row r="58" spans="2:5" ht="13" x14ac:dyDescent="0.25">
      <c r="B58" s="21"/>
      <c r="C58" s="629"/>
      <c r="D58" s="81"/>
      <c r="E58" s="634"/>
    </row>
    <row r="59" spans="2:5" ht="13" x14ac:dyDescent="0.25">
      <c r="B59" s="21"/>
      <c r="C59" s="629"/>
      <c r="D59" s="81"/>
      <c r="E59" s="634"/>
    </row>
    <row r="60" spans="2:5" ht="13" x14ac:dyDescent="0.25">
      <c r="B60" s="21"/>
      <c r="C60" s="629"/>
      <c r="D60" s="81"/>
      <c r="E60" s="634"/>
    </row>
    <row r="61" spans="2:5" ht="13" x14ac:dyDescent="0.25">
      <c r="B61" s="20"/>
      <c r="C61" s="629"/>
      <c r="D61" s="81"/>
      <c r="E61" s="634"/>
    </row>
    <row r="62" spans="2:5" ht="13" x14ac:dyDescent="0.25">
      <c r="B62" s="20"/>
      <c r="C62" s="621"/>
      <c r="D62" s="81"/>
      <c r="E62" s="620"/>
    </row>
    <row r="63" spans="2:5" ht="13" x14ac:dyDescent="0.25">
      <c r="B63" s="20"/>
      <c r="C63" s="621"/>
      <c r="D63" s="81"/>
      <c r="E63" s="620"/>
    </row>
    <row r="64" spans="2:5" ht="13" x14ac:dyDescent="0.25">
      <c r="B64" s="20"/>
      <c r="C64" s="621"/>
      <c r="D64" s="81"/>
      <c r="E64" s="620"/>
    </row>
    <row r="65" spans="2:6" ht="13" x14ac:dyDescent="0.25">
      <c r="B65" s="20"/>
      <c r="C65" s="621"/>
      <c r="D65" s="81"/>
      <c r="E65" s="620"/>
    </row>
    <row r="66" spans="2:6" ht="13" x14ac:dyDescent="0.25">
      <c r="B66" s="20"/>
      <c r="C66" s="629"/>
      <c r="D66" s="81"/>
      <c r="E66" s="634"/>
    </row>
    <row r="67" spans="2:6" ht="13" x14ac:dyDescent="0.25">
      <c r="B67" s="21"/>
      <c r="C67" s="629"/>
      <c r="D67" s="81"/>
      <c r="E67" s="634"/>
    </row>
    <row r="68" spans="2:6" ht="13" x14ac:dyDescent="0.25">
      <c r="B68" s="21"/>
      <c r="C68" s="629"/>
      <c r="D68" s="81"/>
      <c r="E68" s="634"/>
    </row>
    <row r="69" spans="2:6" ht="13" x14ac:dyDescent="0.25">
      <c r="B69" s="21"/>
      <c r="C69" s="629"/>
      <c r="D69" s="81"/>
      <c r="E69" s="634"/>
    </row>
    <row r="70" spans="2:6" ht="13" x14ac:dyDescent="0.25">
      <c r="B70" s="21"/>
      <c r="C70" s="629"/>
      <c r="D70" s="81"/>
      <c r="E70" s="634"/>
    </row>
    <row r="71" spans="2:6" ht="13" x14ac:dyDescent="0.25">
      <c r="B71" s="21"/>
      <c r="C71" s="629"/>
      <c r="D71" s="81"/>
      <c r="E71" s="634"/>
    </row>
    <row r="72" spans="2:6" ht="13" x14ac:dyDescent="0.25">
      <c r="B72" s="141"/>
      <c r="C72" s="630"/>
      <c r="D72" s="140"/>
      <c r="E72" s="635"/>
    </row>
    <row r="73" spans="2:6" s="28" customFormat="1" ht="19.5" customHeight="1" x14ac:dyDescent="0.25">
      <c r="B73" s="638" t="str">
        <f>"TOTAL SCHEDULE G: SMALL CONTRACTOR DEVELOPMENT CARRIED FORWARD"&amp;IF(E73=E$1," TO SUMMARY (Page C"&amp;_Summary&amp;")","")</f>
        <v>TOTAL SCHEDULE G: SMALL CONTRACTOR DEVELOPMENT CARRIED FORWARD TO SUMMARY (Page C73)</v>
      </c>
      <c r="C73" s="30"/>
      <c r="D73" s="631"/>
      <c r="E73" s="636">
        <f>SUM(E10:E72)</f>
        <v>250800.00000000003</v>
      </c>
      <c r="F73" s="34"/>
    </row>
    <row r="1048496" spans="3:3" x14ac:dyDescent="0.25">
      <c r="C1048496" s="621"/>
    </row>
  </sheetData>
  <mergeCells count="2">
    <mergeCell ref="B5:E7"/>
    <mergeCell ref="B8:E8"/>
  </mergeCells>
  <conditionalFormatting sqref="E10:E73">
    <cfRule type="expression" dxfId="35" priority="1">
      <formula>_Show_Price=FALSE</formula>
    </cfRule>
  </conditionalFormatting>
  <pageMargins left="0.43307086614173229" right="0.31496062992125984" top="0.43307086614173229" bottom="0.62992125984251968" header="0.31496062992125984" footer="0.31496062992125984"/>
  <pageSetup paperSize="9" scale="77" firstPageNumber="32" orientation="portrait" cellComments="asDisplayed" r:id="rId1"/>
  <headerFooter>
    <oddHeader xml:space="preserve">&amp;R&amp;"Arial,Bold Italic"
</oddHeader>
    <oddFooter xml:space="preserve">&amp;L&amp;"Arial,Bold"&amp;8____________________________________________________________________________________________________________________________________________
&amp;10CIDB OPEN TENDER: Contract Ver. 20-10-2021: COTO&amp;R&amp;"Arial,Bold"_____________________
C&amp;P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6">
    <tabColor theme="3" tint="0.59999389629810485"/>
  </sheetPr>
  <dimension ref="B1:N33"/>
  <sheetViews>
    <sheetView view="pageBreakPreview" zoomScaleNormal="100" zoomScaleSheetLayoutView="100" zoomScalePageLayoutView="150" workbookViewId="0">
      <selection activeCell="C28" sqref="C28"/>
    </sheetView>
  </sheetViews>
  <sheetFormatPr defaultColWidth="8.81640625" defaultRowHeight="12.5" x14ac:dyDescent="0.25"/>
  <cols>
    <col min="1" max="1" width="0.81640625" style="49" customWidth="1"/>
    <col min="2" max="2" width="15.7265625" style="52" customWidth="1"/>
    <col min="3" max="3" width="52.7265625" style="50" customWidth="1"/>
    <col min="4" max="4" width="15.7265625" style="50" customWidth="1"/>
    <col min="5" max="5" width="7.7265625" style="130" customWidth="1"/>
    <col min="6" max="7" width="15.7265625" style="49" customWidth="1"/>
    <col min="8" max="8" width="0.81640625" style="49" customWidth="1"/>
    <col min="9" max="9" width="8.81640625" style="49"/>
    <col min="10" max="10" width="15.453125" style="975" customWidth="1"/>
    <col min="11" max="11" width="14.54296875" style="49" customWidth="1"/>
    <col min="12" max="12" width="9.453125" style="49" customWidth="1"/>
    <col min="13" max="16384" width="8.81640625" style="49"/>
  </cols>
  <sheetData>
    <row r="1" spans="2:14" ht="13" x14ac:dyDescent="0.25">
      <c r="C1" s="132" t="str">
        <f>"Page C"&amp;_Summary</f>
        <v>Page C73</v>
      </c>
    </row>
    <row r="2" spans="2:14" ht="13" x14ac:dyDescent="0.25">
      <c r="B2" s="2" t="str">
        <f>Client1</f>
        <v>Province of KwaZulu-Natal</v>
      </c>
      <c r="C2" s="132"/>
      <c r="D2" s="4"/>
      <c r="E2" s="4"/>
      <c r="F2" s="6"/>
      <c r="G2" s="6" t="str">
        <f>"Contract No. "&amp;ContractNo</f>
        <v>Contract No. ZNB 00399/00000/HOD/INF/21/T</v>
      </c>
    </row>
    <row r="3" spans="2:14" s="1" customFormat="1" ht="18" customHeight="1" x14ac:dyDescent="0.25">
      <c r="B3" s="87" t="str">
        <f>Client2</f>
        <v>Department of Transport</v>
      </c>
      <c r="C3" s="50"/>
      <c r="D3" s="4"/>
      <c r="E3" s="4"/>
      <c r="F3" s="4"/>
      <c r="J3" s="939"/>
      <c r="K3" s="4"/>
    </row>
    <row r="4" spans="2:14" s="1" customFormat="1" ht="16.5" customHeight="1" x14ac:dyDescent="0.25">
      <c r="B4" s="77"/>
      <c r="C4" s="90"/>
      <c r="D4" s="78"/>
      <c r="E4" s="78"/>
      <c r="F4" s="78"/>
      <c r="G4" s="79"/>
      <c r="I4" s="5"/>
      <c r="J4" s="981"/>
      <c r="K4" s="4"/>
    </row>
    <row r="5" spans="2:14" s="1" customFormat="1" ht="7.5" customHeight="1" x14ac:dyDescent="0.25">
      <c r="B5" s="1135" t="str">
        <f>ContractDescription</f>
        <v>THE CONSTRUCTION OF EARTHWORKS, LAYERWORKS, SURFACING, CULVERTS AND CWAKA RIVER BRIDGE FROM KM 11.600 TO KM 14.000 ON MAIN ROAD P494 IN THE KING CETSHWAYO DISTRICT UNDER EMPANGENI REGION</v>
      </c>
      <c r="C5" s="1136"/>
      <c r="D5" s="1136"/>
      <c r="E5" s="1136"/>
      <c r="F5" s="1136"/>
      <c r="G5" s="1145"/>
      <c r="I5" s="5"/>
      <c r="J5" s="981"/>
      <c r="K5" s="4"/>
    </row>
    <row r="6" spans="2:14" ht="12.75" customHeight="1" x14ac:dyDescent="0.25">
      <c r="B6" s="1117"/>
      <c r="C6" s="1118"/>
      <c r="D6" s="1118"/>
      <c r="E6" s="1118"/>
      <c r="F6" s="1118"/>
      <c r="G6" s="1146"/>
    </row>
    <row r="7" spans="2:14" ht="7.5" customHeight="1" x14ac:dyDescent="0.25">
      <c r="B7" s="1119"/>
      <c r="C7" s="1120"/>
      <c r="D7" s="1120"/>
      <c r="E7" s="1120"/>
      <c r="F7" s="1120"/>
      <c r="G7" s="1147"/>
    </row>
    <row r="8" spans="2:14" ht="25.5" customHeight="1" x14ac:dyDescent="0.25">
      <c r="B8" s="1164" t="s">
        <v>785</v>
      </c>
      <c r="C8" s="1165"/>
      <c r="D8" s="1165"/>
      <c r="E8" s="1165"/>
      <c r="F8" s="1165"/>
      <c r="G8" s="1166"/>
    </row>
    <row r="9" spans="2:14" ht="13" x14ac:dyDescent="0.25">
      <c r="B9" s="1161" t="s">
        <v>827</v>
      </c>
      <c r="C9" s="1162"/>
      <c r="D9" s="1162"/>
      <c r="E9" s="1163"/>
      <c r="F9" s="11" t="s">
        <v>784</v>
      </c>
      <c r="G9" s="11" t="s">
        <v>5</v>
      </c>
      <c r="N9" s="131"/>
    </row>
    <row r="10" spans="2:14" ht="12.75" customHeight="1" x14ac:dyDescent="0.25">
      <c r="B10" s="663" t="str">
        <f>A!C8</f>
        <v>SCHEDULE A: ROADWORKS - SUMMARY</v>
      </c>
      <c r="C10" s="658"/>
      <c r="D10" s="658"/>
      <c r="E10" s="659"/>
      <c r="F10" s="677">
        <f>Page_A</f>
        <v>48</v>
      </c>
      <c r="G10" s="970">
        <f ca="1">A!E144</f>
        <v>9645915</v>
      </c>
      <c r="J10" s="975">
        <v>40234605</v>
      </c>
      <c r="N10" s="131"/>
    </row>
    <row r="11" spans="2:14" ht="12.75" customHeight="1" x14ac:dyDescent="0.25">
      <c r="B11" s="664" t="str">
        <f>B!C8</f>
        <v>SCHEDULE B: STRUCTURES - SUMMARY</v>
      </c>
      <c r="C11" s="660"/>
      <c r="D11" s="678"/>
      <c r="E11" s="661"/>
      <c r="F11" s="677">
        <f>Page_B</f>
        <v>65</v>
      </c>
      <c r="G11" s="971">
        <f ca="1">B!E126</f>
        <v>181190</v>
      </c>
      <c r="J11" s="975">
        <v>6670970</v>
      </c>
      <c r="N11" s="131"/>
    </row>
    <row r="12" spans="2:14" ht="12.75" customHeight="1" x14ac:dyDescent="0.25">
      <c r="B12" s="403" t="str">
        <f>E!B8</f>
        <v>SCHEDULE E: EXPANDED PUBLIC WORKS PROGRAMME (EPWP)</v>
      </c>
      <c r="C12" s="49"/>
      <c r="D12" s="52"/>
      <c r="E12" s="662"/>
      <c r="F12" s="677">
        <f>Page_F</f>
        <v>67</v>
      </c>
      <c r="G12" s="972">
        <f>E!E70</f>
        <v>690000</v>
      </c>
      <c r="J12" s="975">
        <v>948000</v>
      </c>
    </row>
    <row r="13" spans="2:14" ht="12.75" customHeight="1" x14ac:dyDescent="0.25">
      <c r="B13" s="403" t="str">
        <f>F!B8</f>
        <v>SCHEDULE F: SMALL CONTRACTOR DEVELOPMENT</v>
      </c>
      <c r="C13" s="49"/>
      <c r="D13" s="52"/>
      <c r="E13" s="662"/>
      <c r="F13" s="677">
        <f>Page_G</f>
        <v>70</v>
      </c>
      <c r="G13" s="972">
        <f ca="1">F!E73</f>
        <v>22222800</v>
      </c>
      <c r="J13" s="975">
        <v>22924465</v>
      </c>
    </row>
    <row r="14" spans="2:14" ht="12.75" customHeight="1" x14ac:dyDescent="0.25">
      <c r="B14" s="403" t="s">
        <v>2255</v>
      </c>
      <c r="C14" s="49"/>
      <c r="D14" s="52"/>
      <c r="E14" s="662"/>
      <c r="F14" s="677">
        <f>F13+2</f>
        <v>72</v>
      </c>
      <c r="G14" s="972">
        <f>G!E1</f>
        <v>250800.00000000003</v>
      </c>
    </row>
    <row r="15" spans="2:14" ht="6" customHeight="1" x14ac:dyDescent="0.25">
      <c r="B15" s="1157"/>
      <c r="C15" s="1158"/>
      <c r="D15" s="1159"/>
      <c r="E15" s="1160"/>
      <c r="F15" s="81"/>
      <c r="G15" s="973"/>
    </row>
    <row r="16" spans="2:14" s="28" customFormat="1" ht="19.5" customHeight="1" x14ac:dyDescent="0.25">
      <c r="B16" s="1172" t="s">
        <v>828</v>
      </c>
      <c r="C16" s="1173"/>
      <c r="D16" s="1155"/>
      <c r="E16" s="1173"/>
      <c r="F16" s="1173"/>
      <c r="G16" s="33">
        <f ca="1">SUM(G10:G15)</f>
        <v>32990705</v>
      </c>
      <c r="H16" s="34"/>
      <c r="J16" s="980">
        <f>SUM(J10:J15)</f>
        <v>70778040</v>
      </c>
      <c r="K16" s="982">
        <f ca="1">G16-J16</f>
        <v>-37787335</v>
      </c>
    </row>
    <row r="17" spans="2:10" s="28" customFormat="1" ht="19.5" customHeight="1" x14ac:dyDescent="0.25">
      <c r="B17" s="1169" t="str">
        <f>"CONTINGENCIES ("&amp;TEXT(I17,"0.0%")&amp;" of Subtotal 1)"</f>
        <v>CONTINGENCIES (10.0% of Subtotal 1)</v>
      </c>
      <c r="C17" s="1170"/>
      <c r="D17" s="1171"/>
      <c r="E17" s="1170"/>
      <c r="F17" s="1170"/>
      <c r="G17" s="974">
        <f ca="1">G16*I17</f>
        <v>3299070.5</v>
      </c>
      <c r="H17" s="34"/>
      <c r="I17" s="154">
        <f>_Contingencies</f>
        <v>0.1</v>
      </c>
      <c r="J17" s="980"/>
    </row>
    <row r="18" spans="2:10" s="28" customFormat="1" ht="19.5" customHeight="1" x14ac:dyDescent="0.25">
      <c r="B18" s="1172" t="s">
        <v>829</v>
      </c>
      <c r="C18" s="1173"/>
      <c r="D18" s="1155"/>
      <c r="E18" s="1173"/>
      <c r="F18" s="1173"/>
      <c r="G18" s="33">
        <f ca="1">SUM(G16:G17)</f>
        <v>36289775.5</v>
      </c>
      <c r="H18" s="34"/>
      <c r="J18" s="980"/>
    </row>
    <row r="19" spans="2:10" s="28" customFormat="1" ht="19.5" customHeight="1" x14ac:dyDescent="0.25">
      <c r="B19" s="1169" t="str">
        <f>"CONTRACT PRICE ADJUSTMENT AND RISE &amp; FALL ("&amp;TEXT(I19,"0.0%")&amp;" of Subtotal 2)"</f>
        <v>CONTRACT PRICE ADJUSTMENT AND RISE &amp; FALL (10.0% of Subtotal 2)</v>
      </c>
      <c r="C19" s="1170"/>
      <c r="D19" s="1171"/>
      <c r="E19" s="1170"/>
      <c r="F19" s="1170"/>
      <c r="G19" s="974">
        <f ca="1">ROUND(G18*I19,2)</f>
        <v>3628977.55</v>
      </c>
      <c r="H19" s="34"/>
      <c r="I19" s="154">
        <f>_CPA</f>
        <v>0.1</v>
      </c>
      <c r="J19" s="980"/>
    </row>
    <row r="20" spans="2:10" s="28" customFormat="1" ht="19.5" customHeight="1" x14ac:dyDescent="0.25">
      <c r="B20" s="1172" t="s">
        <v>830</v>
      </c>
      <c r="C20" s="1173"/>
      <c r="D20" s="1155"/>
      <c r="E20" s="1173"/>
      <c r="F20" s="1173"/>
      <c r="G20" s="33">
        <f ca="1">SUM(G18:G19)</f>
        <v>39918753.049999997</v>
      </c>
      <c r="H20" s="34"/>
      <c r="J20" s="980"/>
    </row>
    <row r="21" spans="2:10" s="28" customFormat="1" ht="19.5" customHeight="1" x14ac:dyDescent="0.25">
      <c r="B21" s="1169" t="s">
        <v>786</v>
      </c>
      <c r="C21" s="1170"/>
      <c r="D21" s="1171"/>
      <c r="E21" s="1170"/>
      <c r="F21" s="1170"/>
      <c r="G21" s="974">
        <f ca="1">ROUND(G20*I21,2)</f>
        <v>5987812.96</v>
      </c>
      <c r="H21" s="34"/>
      <c r="I21" s="154">
        <v>0.15</v>
      </c>
      <c r="J21" s="980"/>
    </row>
    <row r="22" spans="2:10" s="28" customFormat="1" ht="19.5" customHeight="1" x14ac:dyDescent="0.25">
      <c r="B22" s="1172" t="s">
        <v>787</v>
      </c>
      <c r="C22" s="1173"/>
      <c r="D22" s="1155"/>
      <c r="E22" s="1173"/>
      <c r="F22" s="1173"/>
      <c r="G22" s="33">
        <f ca="1">SUM(G20:G21)</f>
        <v>45906566.009999998</v>
      </c>
      <c r="H22" s="34"/>
      <c r="J22" s="980">
        <v>98487642.660000011</v>
      </c>
    </row>
    <row r="23" spans="2:10" x14ac:dyDescent="0.25">
      <c r="D23" s="52"/>
    </row>
    <row r="24" spans="2:10" ht="70" customHeight="1" x14ac:dyDescent="0.25">
      <c r="B24" s="1174" t="s">
        <v>831</v>
      </c>
      <c r="C24" s="1174"/>
      <c r="D24" s="1175"/>
      <c r="E24" s="1174"/>
      <c r="F24" s="1174"/>
      <c r="G24" s="1174"/>
    </row>
    <row r="25" spans="2:10" x14ac:dyDescent="0.25">
      <c r="B25" s="143"/>
      <c r="C25" s="143"/>
      <c r="D25" s="122"/>
      <c r="E25" s="143"/>
      <c r="F25" s="143"/>
      <c r="G25" s="143"/>
    </row>
    <row r="26" spans="2:10" ht="13" x14ac:dyDescent="0.25">
      <c r="B26" s="1168" t="s">
        <v>788</v>
      </c>
      <c r="C26" s="1168"/>
      <c r="D26" s="1168"/>
      <c r="E26" s="1168"/>
      <c r="F26" s="1168"/>
      <c r="G26" s="1168"/>
    </row>
    <row r="27" spans="2:10" ht="53.25" customHeight="1" x14ac:dyDescent="0.25">
      <c r="B27" s="1167" t="s">
        <v>789</v>
      </c>
      <c r="C27" s="1167"/>
      <c r="D27" s="1167"/>
      <c r="E27" s="1167"/>
      <c r="F27" s="1167"/>
      <c r="G27" s="1167"/>
    </row>
    <row r="28" spans="2:10" x14ac:dyDescent="0.25">
      <c r="D28" s="52"/>
    </row>
    <row r="29" spans="2:10" x14ac:dyDescent="0.25">
      <c r="D29" s="50">
        <f>Page_B-1</f>
        <v>64</v>
      </c>
    </row>
    <row r="32" spans="2:10" x14ac:dyDescent="0.25">
      <c r="G32" s="975">
        <v>70778040</v>
      </c>
    </row>
    <row r="33" spans="7:7" x14ac:dyDescent="0.25">
      <c r="G33" s="975">
        <f ca="1">G16-G32</f>
        <v>-37787335</v>
      </c>
    </row>
  </sheetData>
  <mergeCells count="14">
    <mergeCell ref="B15:E15"/>
    <mergeCell ref="B5:G7"/>
    <mergeCell ref="B9:E9"/>
    <mergeCell ref="B8:G8"/>
    <mergeCell ref="B27:G27"/>
    <mergeCell ref="B26:G26"/>
    <mergeCell ref="B21:F21"/>
    <mergeCell ref="B22:F22"/>
    <mergeCell ref="B20:F20"/>
    <mergeCell ref="B16:F16"/>
    <mergeCell ref="B17:F17"/>
    <mergeCell ref="B18:F18"/>
    <mergeCell ref="B19:F19"/>
    <mergeCell ref="B24:G24"/>
  </mergeCells>
  <conditionalFormatting sqref="G10:G22">
    <cfRule type="expression" dxfId="34" priority="1">
      <formula>_Show_Price=FALSE</formula>
    </cfRule>
  </conditionalFormatting>
  <pageMargins left="0.43307086614173229" right="0.31496062992125984" top="0.43307086614173229" bottom="0.62992125984251968" header="0.31496062992125984" footer="0.31496062992125984"/>
  <pageSetup paperSize="9" scale="77" firstPageNumber="32" orientation="portrait" cellComments="asDisplayed" r:id="rId1"/>
  <headerFooter>
    <oddHeader xml:space="preserve">&amp;R&amp;"Arial,Bold Italic"
</oddHeader>
    <oddFooter xml:space="preserve">&amp;L&amp;"Arial,Bold"&amp;8______________________________________________________________________________________________________________________________________________
&amp;10CIDB OPEN TENDER: Contract Ver. 20-10-2021: COTO&amp;R&amp;"Arial,Bold"______________________
C&amp;P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D20"/>
  <sheetViews>
    <sheetView view="pageBreakPreview" zoomScale="60" zoomScaleNormal="100" workbookViewId="0">
      <selection activeCell="B26" sqref="B26:G26"/>
    </sheetView>
  </sheetViews>
  <sheetFormatPr defaultRowHeight="12.5" x14ac:dyDescent="0.25"/>
  <cols>
    <col min="1" max="1" width="2.26953125" customWidth="1"/>
    <col min="2" max="2" width="25.54296875" bestFit="1" customWidth="1"/>
    <col min="3" max="3" width="14" customWidth="1"/>
    <col min="4" max="4" width="43" bestFit="1" customWidth="1"/>
  </cols>
  <sheetData>
    <row r="2" spans="2:4" ht="13" x14ac:dyDescent="0.25">
      <c r="B2" s="87" t="str">
        <f>Client1</f>
        <v>Province of KwaZulu-Natal</v>
      </c>
      <c r="C2" s="87"/>
      <c r="D2" s="938" t="str">
        <f>"Contract No. "&amp;ContractNo</f>
        <v>Contract No. ZNB 00399/00000/HOD/INF/21/T</v>
      </c>
    </row>
    <row r="3" spans="2:4" ht="13" x14ac:dyDescent="0.25">
      <c r="B3" s="87" t="str">
        <f>Client2</f>
        <v>Department of Transport</v>
      </c>
      <c r="C3" s="87"/>
      <c r="D3" s="938"/>
    </row>
    <row r="9" spans="2:4" ht="48.75" customHeight="1" x14ac:dyDescent="0.25">
      <c r="B9" s="1176" t="str">
        <f>ContractDescription</f>
        <v>THE CONSTRUCTION OF EARTHWORKS, LAYERWORKS, SURFACING, CULVERTS AND CWAKA RIVER BRIDGE FROM KM 11.600 TO KM 14.000 ON MAIN ROAD P494 IN THE KING CETSHWAYO DISTRICT UNDER EMPANGENI REGION</v>
      </c>
      <c r="C9" s="1176"/>
      <c r="D9" s="1176"/>
    </row>
    <row r="16" spans="2:4" ht="14" x14ac:dyDescent="0.3">
      <c r="B16" s="940" t="s">
        <v>2209</v>
      </c>
      <c r="C16" s="941"/>
      <c r="D16" s="941"/>
    </row>
    <row r="20" spans="3:4" ht="13" x14ac:dyDescent="0.3">
      <c r="C20" s="942" t="s">
        <v>2210</v>
      </c>
      <c r="D20" s="943">
        <f ca="1">CPG!G98</f>
        <v>21822816</v>
      </c>
    </row>
  </sheetData>
  <mergeCells count="1">
    <mergeCell ref="B9:D9"/>
  </mergeCells>
  <pageMargins left="0.43307086614173229" right="0.31496062992125984" top="0.43307086614173229" bottom="0.62992125984251968"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9">
    <tabColor rgb="FFFFFF00"/>
  </sheetPr>
  <dimension ref="A1:R220"/>
  <sheetViews>
    <sheetView view="pageBreakPreview" zoomScaleNormal="85" zoomScaleSheetLayoutView="100" workbookViewId="0">
      <selection activeCell="B26" sqref="B26:G26"/>
    </sheetView>
  </sheetViews>
  <sheetFormatPr defaultColWidth="6.81640625" defaultRowHeight="12.5" x14ac:dyDescent="0.25"/>
  <cols>
    <col min="1" max="1" width="0.81640625" style="1" customWidth="1"/>
    <col min="2" max="2" width="11.7265625" style="76"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2.81640625" style="1" customWidth="1"/>
    <col min="12" max="12" width="14.1796875" style="1" customWidth="1"/>
    <col min="13" max="14" width="14.7265625" style="1" customWidth="1"/>
    <col min="15" max="16384" width="6.81640625" style="1"/>
  </cols>
  <sheetData>
    <row r="1" spans="1:18" s="242" customFormat="1" ht="11.5" x14ac:dyDescent="0.25">
      <c r="B1" s="243"/>
      <c r="C1" s="244" t="s">
        <v>993</v>
      </c>
      <c r="D1" s="245"/>
      <c r="E1" s="245"/>
      <c r="F1" s="246" t="s">
        <v>994</v>
      </c>
      <c r="G1" s="244">
        <v>1</v>
      </c>
      <c r="H1" s="247">
        <f>MAX(H2:H220)</f>
        <v>329220</v>
      </c>
      <c r="I1" s="247">
        <f>MAX(I2:I216)</f>
        <v>0</v>
      </c>
      <c r="J1" s="248"/>
      <c r="K1" s="247"/>
      <c r="L1" s="247">
        <f>MAX(L2:L220)</f>
        <v>8730</v>
      </c>
      <c r="M1" s="249"/>
      <c r="N1" s="250"/>
      <c r="O1" s="256"/>
      <c r="P1" s="257" t="s">
        <v>1001</v>
      </c>
      <c r="Q1" s="255">
        <f>K1</f>
        <v>0</v>
      </c>
      <c r="R1" s="256"/>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18" ht="13" x14ac:dyDescent="0.25">
      <c r="B3" s="1108" t="str">
        <f>Client1</f>
        <v>Province of KwaZulu-Natal</v>
      </c>
      <c r="C3" s="1108"/>
      <c r="D3" s="1108"/>
      <c r="E3" s="87"/>
      <c r="F3" s="1109" t="str">
        <f>"Contract No. "&amp;ContractNo</f>
        <v>Contract No. ZNB 00399/00000/HOD/INF/21/T</v>
      </c>
      <c r="G3" s="1109"/>
      <c r="H3" s="1109"/>
    </row>
    <row r="4" spans="1:18" ht="13" x14ac:dyDescent="0.25">
      <c r="B4" s="1108" t="str">
        <f>Client2</f>
        <v>Department of Transport</v>
      </c>
      <c r="C4" s="1108"/>
      <c r="D4" s="1108"/>
      <c r="E4" s="87"/>
      <c r="F4" s="1109"/>
      <c r="G4" s="1109"/>
      <c r="H4" s="1109"/>
    </row>
    <row r="5" spans="1:18" x14ac:dyDescent="0.25">
      <c r="B5" s="1111"/>
      <c r="C5" s="1111"/>
      <c r="D5" s="1111"/>
      <c r="E5" s="78"/>
      <c r="F5" s="1110"/>
      <c r="G5" s="1110"/>
      <c r="H5" s="1110"/>
    </row>
    <row r="6" spans="1:18" ht="13" x14ac:dyDescent="0.25">
      <c r="B6" s="1112" t="s">
        <v>8</v>
      </c>
      <c r="C6" s="1113"/>
      <c r="D6" s="1113"/>
      <c r="E6" s="1113"/>
      <c r="F6" s="1113"/>
      <c r="G6" s="1113"/>
      <c r="H6" s="1121" t="str">
        <f>"CHAPTER "&amp;B12</f>
        <v>CHAPTER C1.2</v>
      </c>
      <c r="I6" s="6"/>
    </row>
    <row r="7" spans="1:18"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8" ht="12.75" customHeight="1" x14ac:dyDescent="0.25">
      <c r="B8" s="1117"/>
      <c r="C8" s="1118"/>
      <c r="D8" s="1118"/>
      <c r="E8" s="1118"/>
      <c r="F8" s="1118"/>
      <c r="G8" s="1118"/>
      <c r="H8" s="1122"/>
      <c r="I8" s="8"/>
    </row>
    <row r="9" spans="1:18" ht="7.5" customHeight="1" x14ac:dyDescent="0.25">
      <c r="B9" s="1119"/>
      <c r="C9" s="1120"/>
      <c r="D9" s="1120"/>
      <c r="E9" s="1120"/>
      <c r="F9" s="1120"/>
      <c r="G9" s="1120"/>
      <c r="H9" s="1123"/>
      <c r="I9" s="8"/>
    </row>
    <row r="10" spans="1:18" s="9" customFormat="1" ht="25" customHeight="1" x14ac:dyDescent="0.25">
      <c r="B10" s="74" t="s">
        <v>0</v>
      </c>
      <c r="C10" s="11" t="s">
        <v>1</v>
      </c>
      <c r="D10" s="11" t="s">
        <v>2</v>
      </c>
      <c r="E10" s="11" t="s">
        <v>996</v>
      </c>
      <c r="F10" s="11" t="s">
        <v>3</v>
      </c>
      <c r="G10" s="11" t="s">
        <v>4</v>
      </c>
      <c r="H10" s="11" t="s">
        <v>5</v>
      </c>
      <c r="I10" s="12"/>
      <c r="J10" s="408" t="s">
        <v>996</v>
      </c>
      <c r="K10" s="253" t="s">
        <v>997</v>
      </c>
      <c r="L10" s="253" t="s">
        <v>998</v>
      </c>
      <c r="M10" s="253" t="s">
        <v>999</v>
      </c>
    </row>
    <row r="11" spans="1:18" x14ac:dyDescent="0.25">
      <c r="B11" s="58"/>
      <c r="C11" s="14"/>
      <c r="D11" s="15"/>
      <c r="E11" s="15"/>
      <c r="F11" s="15"/>
      <c r="G11" s="411"/>
      <c r="H11" s="17" t="str">
        <f t="shared" ref="H11:H74" si="0">IF(D11="","",F11*G11)</f>
        <v/>
      </c>
      <c r="I11" s="18"/>
      <c r="J11" s="61"/>
      <c r="K11" s="399"/>
      <c r="L11" s="420" t="str">
        <f t="shared" ref="L11" si="1">IF(J11="","",F11*K11)</f>
        <v/>
      </c>
      <c r="M11" s="401" t="str">
        <f t="shared" ref="M11" si="2">IF(J11="","",IF(SUM(H11)=0,"",L11/H11))</f>
        <v/>
      </c>
    </row>
    <row r="12" spans="1:18" ht="13" x14ac:dyDescent="0.25">
      <c r="B12" s="146" t="s">
        <v>14</v>
      </c>
      <c r="C12" s="19" t="s">
        <v>13</v>
      </c>
      <c r="D12" s="15"/>
      <c r="E12" s="15"/>
      <c r="F12" s="15"/>
      <c r="G12" s="411"/>
      <c r="H12" s="17" t="str">
        <f t="shared" si="0"/>
        <v/>
      </c>
      <c r="I12" s="18"/>
      <c r="J12" s="61"/>
      <c r="K12" s="399"/>
      <c r="L12" s="420" t="str">
        <f t="shared" ref="L12:L73" si="3">IF(J12="","",F12*K12)</f>
        <v/>
      </c>
      <c r="M12" s="401" t="str">
        <f t="shared" ref="M12:M73" si="4">IF(J12="","",IF(SUM(H12)=0,"",L12/H12))</f>
        <v/>
      </c>
    </row>
    <row r="13" spans="1:18" x14ac:dyDescent="0.25">
      <c r="B13" s="58"/>
      <c r="C13" s="14"/>
      <c r="D13" s="15"/>
      <c r="E13" s="15"/>
      <c r="F13" s="15"/>
      <c r="G13" s="411"/>
      <c r="H13" s="17" t="str">
        <f t="shared" si="0"/>
        <v/>
      </c>
      <c r="I13" s="18"/>
      <c r="J13" s="61"/>
      <c r="K13" s="399"/>
      <c r="L13" s="420" t="str">
        <f t="shared" si="3"/>
        <v/>
      </c>
      <c r="M13" s="401" t="str">
        <f t="shared" si="4"/>
        <v/>
      </c>
    </row>
    <row r="14" spans="1:18" ht="13" x14ac:dyDescent="0.25">
      <c r="B14" s="146" t="s">
        <v>1862</v>
      </c>
      <c r="C14" s="19" t="s">
        <v>29</v>
      </c>
      <c r="D14" s="15"/>
      <c r="E14" s="15"/>
      <c r="F14" s="15"/>
      <c r="G14" s="422"/>
      <c r="H14" s="17" t="str">
        <f t="shared" si="0"/>
        <v/>
      </c>
      <c r="I14" s="18"/>
      <c r="J14" s="61"/>
      <c r="K14" s="399"/>
      <c r="L14" s="420" t="str">
        <f t="shared" si="3"/>
        <v/>
      </c>
      <c r="M14" s="401" t="str">
        <f t="shared" si="4"/>
        <v/>
      </c>
    </row>
    <row r="15" spans="1:18" x14ac:dyDescent="0.25">
      <c r="B15" s="58"/>
      <c r="C15" s="14"/>
      <c r="D15" s="15"/>
      <c r="E15" s="15"/>
      <c r="F15" s="15"/>
      <c r="G15" s="422"/>
      <c r="H15" s="17" t="str">
        <f t="shared" si="0"/>
        <v/>
      </c>
      <c r="I15" s="18"/>
      <c r="J15" s="61"/>
      <c r="K15" s="399"/>
      <c r="L15" s="420" t="str">
        <f t="shared" si="3"/>
        <v/>
      </c>
      <c r="M15" s="401" t="str">
        <f t="shared" si="4"/>
        <v/>
      </c>
    </row>
    <row r="16" spans="1:18" x14ac:dyDescent="0.25">
      <c r="B16" s="58" t="s">
        <v>30</v>
      </c>
      <c r="C16" s="14" t="s">
        <v>31</v>
      </c>
      <c r="D16" s="15" t="s">
        <v>11</v>
      </c>
      <c r="E16" s="15"/>
      <c r="F16" s="15">
        <v>1</v>
      </c>
      <c r="G16" s="411">
        <f>0.25*('C1.2'!$G$46)*SUM('Chapter F'!$F$18:$F$28)</f>
        <v>0</v>
      </c>
      <c r="H16" s="17">
        <f t="shared" si="0"/>
        <v>0</v>
      </c>
      <c r="I16" s="57"/>
      <c r="J16" s="61"/>
      <c r="K16" s="400"/>
      <c r="L16" s="420" t="str">
        <f t="shared" si="3"/>
        <v/>
      </c>
      <c r="M16" s="401" t="str">
        <f t="shared" si="4"/>
        <v/>
      </c>
    </row>
    <row r="17" spans="2:13" x14ac:dyDescent="0.25">
      <c r="B17" s="58"/>
      <c r="C17" s="14"/>
      <c r="D17" s="15"/>
      <c r="E17" s="15"/>
      <c r="F17" s="15"/>
      <c r="G17" s="422"/>
      <c r="H17" s="17" t="str">
        <f t="shared" si="0"/>
        <v/>
      </c>
      <c r="I17" s="57"/>
      <c r="J17" s="61"/>
      <c r="K17" s="399"/>
      <c r="L17" s="420" t="str">
        <f t="shared" si="3"/>
        <v/>
      </c>
      <c r="M17" s="401" t="str">
        <f t="shared" si="4"/>
        <v/>
      </c>
    </row>
    <row r="18" spans="2:13" x14ac:dyDescent="0.25">
      <c r="B18" s="58" t="s">
        <v>32</v>
      </c>
      <c r="C18" s="14" t="s">
        <v>33</v>
      </c>
      <c r="D18" s="15" t="s">
        <v>18</v>
      </c>
      <c r="E18" s="15"/>
      <c r="F18" s="580">
        <f>_ContractPeriod</f>
        <v>22</v>
      </c>
      <c r="G18" s="422">
        <f>0.3*(15000)*2</f>
        <v>9000</v>
      </c>
      <c r="H18" s="17">
        <f t="shared" si="0"/>
        <v>198000</v>
      </c>
      <c r="I18" s="57"/>
      <c r="J18" s="61"/>
      <c r="K18" s="399"/>
      <c r="L18" s="420" t="str">
        <f t="shared" si="3"/>
        <v/>
      </c>
      <c r="M18" s="401" t="str">
        <f t="shared" si="4"/>
        <v/>
      </c>
    </row>
    <row r="19" spans="2:13" x14ac:dyDescent="0.25">
      <c r="B19" s="58"/>
      <c r="C19" s="14"/>
      <c r="D19" s="15"/>
      <c r="E19" s="15"/>
      <c r="F19" s="15"/>
      <c r="G19" s="422"/>
      <c r="H19" s="17" t="str">
        <f t="shared" si="0"/>
        <v/>
      </c>
      <c r="I19" s="18"/>
      <c r="J19" s="61"/>
      <c r="K19" s="399"/>
      <c r="L19" s="420" t="str">
        <f t="shared" si="3"/>
        <v/>
      </c>
      <c r="M19" s="401" t="str">
        <f t="shared" si="4"/>
        <v/>
      </c>
    </row>
    <row r="20" spans="2:13" x14ac:dyDescent="0.25">
      <c r="B20" s="58"/>
      <c r="C20" s="14"/>
      <c r="D20" s="15"/>
      <c r="E20" s="15"/>
      <c r="F20" s="580"/>
      <c r="G20" s="422"/>
      <c r="H20" s="17" t="str">
        <f t="shared" ref="H20:H29" si="5">IF(D20="","",F20*G20)</f>
        <v/>
      </c>
      <c r="I20" s="18"/>
      <c r="J20" s="62"/>
      <c r="K20" s="62"/>
      <c r="L20" s="420" t="str">
        <f t="shared" ref="L20:L29" si="6">IF(J20="","",F20*K20)</f>
        <v/>
      </c>
      <c r="M20" s="401" t="str">
        <f t="shared" ref="M20:M29" si="7">IF(J20="","",IF(SUM(H20)=0,"",L20/H20))</f>
        <v/>
      </c>
    </row>
    <row r="21" spans="2:13" ht="13" x14ac:dyDescent="0.25">
      <c r="B21" s="146" t="s">
        <v>2013</v>
      </c>
      <c r="C21" s="19" t="s">
        <v>2014</v>
      </c>
      <c r="D21" s="15"/>
      <c r="E21" s="15"/>
      <c r="F21" s="24"/>
      <c r="G21" s="422"/>
      <c r="H21" s="17" t="str">
        <f t="shared" si="5"/>
        <v/>
      </c>
      <c r="I21" s="18"/>
      <c r="J21" s="62"/>
      <c r="K21" s="62"/>
      <c r="L21" s="420" t="str">
        <f t="shared" si="6"/>
        <v/>
      </c>
      <c r="M21" s="401" t="str">
        <f t="shared" si="7"/>
        <v/>
      </c>
    </row>
    <row r="22" spans="2:13" x14ac:dyDescent="0.25">
      <c r="B22" s="58"/>
      <c r="C22" s="14"/>
      <c r="D22" s="15"/>
      <c r="E22" s="15"/>
      <c r="F22" s="580"/>
      <c r="G22" s="422"/>
      <c r="H22" s="17" t="str">
        <f t="shared" si="5"/>
        <v/>
      </c>
      <c r="I22" s="18"/>
      <c r="J22" s="62"/>
      <c r="K22" s="62"/>
      <c r="L22" s="420" t="str">
        <f t="shared" si="6"/>
        <v/>
      </c>
      <c r="M22" s="401" t="str">
        <f t="shared" si="7"/>
        <v/>
      </c>
    </row>
    <row r="23" spans="2:13" x14ac:dyDescent="0.25">
      <c r="B23" s="58" t="s">
        <v>2205</v>
      </c>
      <c r="C23" s="14" t="s">
        <v>2206</v>
      </c>
      <c r="D23" s="15" t="s">
        <v>11</v>
      </c>
      <c r="E23" s="15"/>
      <c r="F23" s="580">
        <v>1</v>
      </c>
      <c r="G23" s="422">
        <v>20000</v>
      </c>
      <c r="H23" s="17">
        <f t="shared" si="5"/>
        <v>20000</v>
      </c>
      <c r="I23" s="18"/>
      <c r="J23" s="62"/>
      <c r="K23" s="62"/>
      <c r="L23" s="420" t="str">
        <f t="shared" si="6"/>
        <v/>
      </c>
      <c r="M23" s="401" t="str">
        <f t="shared" si="7"/>
        <v/>
      </c>
    </row>
    <row r="24" spans="2:13" x14ac:dyDescent="0.25">
      <c r="B24" s="58"/>
      <c r="C24" s="14"/>
      <c r="D24" s="15"/>
      <c r="E24" s="15"/>
      <c r="F24" s="580"/>
      <c r="G24" s="422"/>
      <c r="H24" s="17" t="str">
        <f t="shared" si="5"/>
        <v/>
      </c>
      <c r="I24" s="18"/>
      <c r="J24" s="62"/>
      <c r="K24" s="62"/>
      <c r="L24" s="420" t="str">
        <f t="shared" si="6"/>
        <v/>
      </c>
      <c r="M24" s="401" t="str">
        <f t="shared" si="7"/>
        <v/>
      </c>
    </row>
    <row r="25" spans="2:13" ht="25" x14ac:dyDescent="0.25">
      <c r="B25" s="58" t="s">
        <v>2207</v>
      </c>
      <c r="C25" s="14" t="s">
        <v>2212</v>
      </c>
      <c r="D25" s="15" t="s">
        <v>18</v>
      </c>
      <c r="E25" s="15"/>
      <c r="F25" s="24">
        <f>F18</f>
        <v>22</v>
      </c>
      <c r="G25" s="424">
        <v>1000</v>
      </c>
      <c r="H25" s="17">
        <f t="shared" si="5"/>
        <v>22000</v>
      </c>
      <c r="I25" s="18"/>
      <c r="J25" s="62"/>
      <c r="K25" s="62"/>
      <c r="L25" s="420" t="str">
        <f t="shared" si="6"/>
        <v/>
      </c>
      <c r="M25" s="401" t="str">
        <f t="shared" si="7"/>
        <v/>
      </c>
    </row>
    <row r="26" spans="2:13" x14ac:dyDescent="0.25">
      <c r="B26" s="58"/>
      <c r="C26" s="14"/>
      <c r="D26" s="15"/>
      <c r="E26" s="15"/>
      <c r="F26" s="580"/>
      <c r="G26" s="424"/>
      <c r="H26" s="17" t="str">
        <f t="shared" si="5"/>
        <v/>
      </c>
      <c r="I26" s="18"/>
      <c r="J26" s="62"/>
      <c r="K26" s="62"/>
      <c r="L26" s="420" t="str">
        <f t="shared" si="6"/>
        <v/>
      </c>
      <c r="M26" s="401" t="str">
        <f t="shared" si="7"/>
        <v/>
      </c>
    </row>
    <row r="27" spans="2:13" ht="25" x14ac:dyDescent="0.25">
      <c r="B27" s="58" t="s">
        <v>2204</v>
      </c>
      <c r="C27" s="14" t="s">
        <v>2021</v>
      </c>
      <c r="D27" s="15" t="s">
        <v>18</v>
      </c>
      <c r="E27" s="15"/>
      <c r="F27" s="580">
        <f>F25</f>
        <v>22</v>
      </c>
      <c r="G27" s="424">
        <v>1000</v>
      </c>
      <c r="H27" s="17">
        <f t="shared" si="5"/>
        <v>22000</v>
      </c>
      <c r="I27" s="18"/>
      <c r="J27" s="62"/>
      <c r="K27" s="62"/>
      <c r="L27" s="420" t="str">
        <f t="shared" si="6"/>
        <v/>
      </c>
      <c r="M27" s="401" t="str">
        <f t="shared" si="7"/>
        <v/>
      </c>
    </row>
    <row r="28" spans="2:13" x14ac:dyDescent="0.25">
      <c r="B28" s="58"/>
      <c r="C28" s="14"/>
      <c r="D28" s="15"/>
      <c r="E28" s="15"/>
      <c r="F28" s="580"/>
      <c r="G28" s="424"/>
      <c r="H28" s="17" t="str">
        <f t="shared" si="5"/>
        <v/>
      </c>
      <c r="I28" s="18"/>
      <c r="J28" s="62"/>
      <c r="K28" s="62"/>
      <c r="L28" s="420" t="str">
        <f t="shared" si="6"/>
        <v/>
      </c>
      <c r="M28" s="401" t="str">
        <f t="shared" si="7"/>
        <v/>
      </c>
    </row>
    <row r="29" spans="2:13" x14ac:dyDescent="0.25">
      <c r="B29" s="58"/>
      <c r="C29" s="14"/>
      <c r="D29" s="15"/>
      <c r="E29" s="15"/>
      <c r="F29" s="580"/>
      <c r="G29" s="424"/>
      <c r="H29" s="17" t="str">
        <f t="shared" si="5"/>
        <v/>
      </c>
      <c r="I29" s="18"/>
      <c r="J29" s="62"/>
      <c r="K29" s="62"/>
      <c r="L29" s="420" t="str">
        <f t="shared" si="6"/>
        <v/>
      </c>
      <c r="M29" s="401" t="str">
        <f t="shared" si="7"/>
        <v/>
      </c>
    </row>
    <row r="30" spans="2:13" ht="13" x14ac:dyDescent="0.25">
      <c r="B30" s="146" t="s">
        <v>35</v>
      </c>
      <c r="C30" s="19" t="s">
        <v>36</v>
      </c>
      <c r="D30" s="15"/>
      <c r="E30" s="15"/>
      <c r="F30" s="580"/>
      <c r="G30" s="422"/>
      <c r="H30" s="17" t="str">
        <f t="shared" si="0"/>
        <v/>
      </c>
      <c r="I30" s="18"/>
      <c r="J30" s="61"/>
      <c r="K30" s="402"/>
      <c r="L30" s="420" t="str">
        <f t="shared" si="3"/>
        <v/>
      </c>
      <c r="M30" s="401" t="str">
        <f t="shared" si="4"/>
        <v/>
      </c>
    </row>
    <row r="31" spans="2:13" x14ac:dyDescent="0.25">
      <c r="B31" s="58"/>
      <c r="C31" s="14"/>
      <c r="D31" s="15"/>
      <c r="E31" s="15"/>
      <c r="F31" s="580"/>
      <c r="G31" s="422"/>
      <c r="H31" s="17" t="str">
        <f t="shared" si="0"/>
        <v/>
      </c>
      <c r="I31" s="60"/>
      <c r="J31" s="61"/>
      <c r="K31" s="402"/>
      <c r="L31" s="420" t="str">
        <f t="shared" si="3"/>
        <v/>
      </c>
      <c r="M31" s="401" t="str">
        <f t="shared" si="4"/>
        <v/>
      </c>
    </row>
    <row r="32" spans="2:13" x14ac:dyDescent="0.25">
      <c r="B32" s="58" t="s">
        <v>37</v>
      </c>
      <c r="C32" s="14" t="s">
        <v>38</v>
      </c>
      <c r="D32" s="15"/>
      <c r="E32" s="15"/>
      <c r="F32" s="580"/>
      <c r="G32" s="422"/>
      <c r="H32" s="17" t="str">
        <f t="shared" si="0"/>
        <v/>
      </c>
      <c r="I32" s="63"/>
      <c r="J32" s="61"/>
      <c r="K32" s="402"/>
      <c r="L32" s="420" t="str">
        <f t="shared" si="3"/>
        <v/>
      </c>
      <c r="M32" s="401" t="str">
        <f t="shared" si="4"/>
        <v/>
      </c>
    </row>
    <row r="33" spans="2:13" x14ac:dyDescent="0.25">
      <c r="B33" s="58"/>
      <c r="C33" s="14"/>
      <c r="D33" s="15"/>
      <c r="E33" s="15"/>
      <c r="F33" s="580"/>
      <c r="G33" s="422"/>
      <c r="H33" s="17" t="str">
        <f t="shared" si="0"/>
        <v/>
      </c>
      <c r="I33" s="63"/>
      <c r="J33" s="61"/>
      <c r="K33" s="402"/>
      <c r="L33" s="420" t="str">
        <f t="shared" si="3"/>
        <v/>
      </c>
      <c r="M33" s="401" t="str">
        <f t="shared" si="4"/>
        <v/>
      </c>
    </row>
    <row r="34" spans="2:13" x14ac:dyDescent="0.25">
      <c r="B34" s="58" t="s">
        <v>39</v>
      </c>
      <c r="C34" s="14" t="s">
        <v>40</v>
      </c>
      <c r="D34" s="15" t="s">
        <v>191</v>
      </c>
      <c r="E34" s="15" t="s">
        <v>996</v>
      </c>
      <c r="F34" s="580">
        <v>180</v>
      </c>
      <c r="G34" s="680">
        <v>50</v>
      </c>
      <c r="H34" s="17">
        <f t="shared" si="0"/>
        <v>9000</v>
      </c>
      <c r="I34" s="63"/>
      <c r="J34" s="61" t="s">
        <v>1721</v>
      </c>
      <c r="K34" s="399">
        <f>G34*97/100</f>
        <v>48.5</v>
      </c>
      <c r="L34" s="420">
        <f t="shared" si="3"/>
        <v>8730</v>
      </c>
      <c r="M34" s="401">
        <f t="shared" si="4"/>
        <v>0.97</v>
      </c>
    </row>
    <row r="35" spans="2:13" x14ac:dyDescent="0.25">
      <c r="B35" s="58"/>
      <c r="C35" s="14"/>
      <c r="D35" s="15"/>
      <c r="E35" s="15"/>
      <c r="F35" s="580"/>
      <c r="G35" s="422"/>
      <c r="H35" s="17" t="str">
        <f t="shared" si="0"/>
        <v/>
      </c>
      <c r="I35" s="63"/>
      <c r="J35" s="61"/>
      <c r="K35" s="402"/>
      <c r="L35" s="420" t="str">
        <f t="shared" si="3"/>
        <v/>
      </c>
      <c r="M35" s="401" t="str">
        <f t="shared" si="4"/>
        <v/>
      </c>
    </row>
    <row r="36" spans="2:13" x14ac:dyDescent="0.25">
      <c r="B36" s="58" t="s">
        <v>41</v>
      </c>
      <c r="C36" s="14" t="s">
        <v>46</v>
      </c>
      <c r="D36" s="15" t="s">
        <v>191</v>
      </c>
      <c r="E36" s="15"/>
      <c r="F36" s="580">
        <v>25</v>
      </c>
      <c r="G36" s="680">
        <v>80</v>
      </c>
      <c r="H36" s="17">
        <f t="shared" si="0"/>
        <v>2000</v>
      </c>
      <c r="I36" s="63"/>
      <c r="J36" s="61"/>
      <c r="K36" s="399"/>
      <c r="L36" s="420" t="str">
        <f t="shared" si="3"/>
        <v/>
      </c>
      <c r="M36" s="401" t="str">
        <f t="shared" si="4"/>
        <v/>
      </c>
    </row>
    <row r="37" spans="2:13" x14ac:dyDescent="0.25">
      <c r="B37" s="58"/>
      <c r="C37" s="14"/>
      <c r="D37" s="15"/>
      <c r="E37" s="15"/>
      <c r="F37" s="580"/>
      <c r="G37" s="422"/>
      <c r="H37" s="17" t="str">
        <f t="shared" si="0"/>
        <v/>
      </c>
      <c r="I37" s="63"/>
      <c r="J37" s="61"/>
      <c r="K37" s="399"/>
      <c r="L37" s="420" t="str">
        <f t="shared" si="3"/>
        <v/>
      </c>
      <c r="M37" s="401" t="str">
        <f t="shared" si="4"/>
        <v/>
      </c>
    </row>
    <row r="38" spans="2:13" x14ac:dyDescent="0.25">
      <c r="B38" s="58" t="s">
        <v>45</v>
      </c>
      <c r="C38" s="14" t="s">
        <v>47</v>
      </c>
      <c r="D38" s="15" t="s">
        <v>191</v>
      </c>
      <c r="E38" s="15"/>
      <c r="F38" s="580">
        <v>16</v>
      </c>
      <c r="G38" s="422">
        <v>115</v>
      </c>
      <c r="H38" s="17">
        <f t="shared" si="0"/>
        <v>1840</v>
      </c>
      <c r="I38" s="18"/>
      <c r="J38" s="61"/>
      <c r="K38" s="400"/>
      <c r="L38" s="420" t="str">
        <f t="shared" si="3"/>
        <v/>
      </c>
      <c r="M38" s="401" t="str">
        <f t="shared" si="4"/>
        <v/>
      </c>
    </row>
    <row r="39" spans="2:13" x14ac:dyDescent="0.25">
      <c r="B39" s="58"/>
      <c r="C39" s="14"/>
      <c r="D39" s="15"/>
      <c r="E39" s="15"/>
      <c r="F39" s="580"/>
      <c r="G39" s="422"/>
      <c r="H39" s="17" t="str">
        <f t="shared" si="0"/>
        <v/>
      </c>
      <c r="I39" s="18"/>
      <c r="J39" s="61"/>
      <c r="K39" s="399"/>
      <c r="L39" s="420" t="str">
        <f t="shared" si="3"/>
        <v/>
      </c>
      <c r="M39" s="401" t="str">
        <f t="shared" si="4"/>
        <v/>
      </c>
    </row>
    <row r="40" spans="2:13" x14ac:dyDescent="0.25">
      <c r="B40" s="58" t="s">
        <v>48</v>
      </c>
      <c r="C40" s="14" t="s">
        <v>1824</v>
      </c>
      <c r="D40" s="15"/>
      <c r="E40" s="15"/>
      <c r="F40" s="580"/>
      <c r="G40" s="422"/>
      <c r="H40" s="17" t="str">
        <f t="shared" si="0"/>
        <v/>
      </c>
      <c r="I40" s="18"/>
      <c r="J40" s="61"/>
      <c r="K40" s="399"/>
      <c r="L40" s="420" t="str">
        <f t="shared" si="3"/>
        <v/>
      </c>
      <c r="M40" s="401" t="str">
        <f t="shared" si="4"/>
        <v/>
      </c>
    </row>
    <row r="41" spans="2:13" x14ac:dyDescent="0.25">
      <c r="B41" s="58"/>
      <c r="C41" s="14"/>
      <c r="D41" s="15"/>
      <c r="E41" s="15"/>
      <c r="F41" s="580"/>
      <c r="G41" s="422"/>
      <c r="H41" s="17" t="str">
        <f t="shared" si="0"/>
        <v/>
      </c>
      <c r="I41" s="18"/>
      <c r="J41" s="61"/>
      <c r="K41" s="399"/>
      <c r="L41" s="420" t="str">
        <f t="shared" si="3"/>
        <v/>
      </c>
      <c r="M41" s="401" t="str">
        <f t="shared" si="4"/>
        <v/>
      </c>
    </row>
    <row r="42" spans="2:13" x14ac:dyDescent="0.25">
      <c r="B42" s="58" t="s">
        <v>41</v>
      </c>
      <c r="C42" s="14" t="s">
        <v>49</v>
      </c>
      <c r="D42" s="15"/>
      <c r="E42" s="15"/>
      <c r="F42" s="580"/>
      <c r="G42" s="422"/>
      <c r="H42" s="17" t="str">
        <f t="shared" si="0"/>
        <v/>
      </c>
      <c r="I42" s="18"/>
      <c r="J42" s="61"/>
      <c r="K42" s="400"/>
      <c r="L42" s="420" t="str">
        <f t="shared" si="3"/>
        <v/>
      </c>
      <c r="M42" s="401" t="str">
        <f t="shared" si="4"/>
        <v/>
      </c>
    </row>
    <row r="43" spans="2:13" s="36" customFormat="1" x14ac:dyDescent="0.25">
      <c r="B43" s="58"/>
      <c r="C43" s="14"/>
      <c r="D43" s="15"/>
      <c r="E43" s="15"/>
      <c r="F43" s="580"/>
      <c r="G43" s="422"/>
      <c r="H43" s="17" t="str">
        <f t="shared" si="0"/>
        <v/>
      </c>
      <c r="I43" s="18"/>
      <c r="J43" s="61"/>
      <c r="K43" s="399"/>
      <c r="L43" s="420" t="str">
        <f t="shared" si="3"/>
        <v/>
      </c>
      <c r="M43" s="401" t="str">
        <f t="shared" si="4"/>
        <v/>
      </c>
    </row>
    <row r="44" spans="2:13" x14ac:dyDescent="0.25">
      <c r="B44" s="58" t="s">
        <v>990</v>
      </c>
      <c r="C44" s="14" t="s">
        <v>1675</v>
      </c>
      <c r="D44" s="15" t="s">
        <v>191</v>
      </c>
      <c r="E44" s="15"/>
      <c r="F44" s="580">
        <v>16</v>
      </c>
      <c r="G44" s="422">
        <v>200</v>
      </c>
      <c r="H44" s="17">
        <f t="shared" si="0"/>
        <v>3200</v>
      </c>
      <c r="I44" s="57"/>
      <c r="J44" s="61"/>
      <c r="K44" s="399"/>
      <c r="L44" s="420" t="str">
        <f t="shared" si="3"/>
        <v/>
      </c>
      <c r="M44" s="401" t="str">
        <f t="shared" si="4"/>
        <v/>
      </c>
    </row>
    <row r="45" spans="2:13" x14ac:dyDescent="0.25">
      <c r="B45" s="58"/>
      <c r="C45" s="14"/>
      <c r="D45" s="15"/>
      <c r="E45" s="15"/>
      <c r="F45" s="580"/>
      <c r="G45" s="422"/>
      <c r="H45" s="17" t="str">
        <f t="shared" si="0"/>
        <v/>
      </c>
      <c r="I45" s="57"/>
      <c r="J45" s="61"/>
      <c r="K45" s="399"/>
      <c r="L45" s="420" t="str">
        <f t="shared" si="3"/>
        <v/>
      </c>
      <c r="M45" s="401" t="str">
        <f t="shared" si="4"/>
        <v/>
      </c>
    </row>
    <row r="46" spans="2:13" x14ac:dyDescent="0.25">
      <c r="B46" s="58" t="s">
        <v>44</v>
      </c>
      <c r="C46" s="14" t="s">
        <v>2203</v>
      </c>
      <c r="D46" s="15" t="s">
        <v>191</v>
      </c>
      <c r="E46" s="15"/>
      <c r="F46" s="24">
        <v>16</v>
      </c>
      <c r="G46" s="422">
        <v>850</v>
      </c>
      <c r="H46" s="17">
        <f t="shared" si="0"/>
        <v>13600</v>
      </c>
      <c r="I46" s="18"/>
      <c r="J46" s="61"/>
      <c r="K46" s="399"/>
      <c r="L46" s="420" t="str">
        <f t="shared" si="3"/>
        <v/>
      </c>
      <c r="M46" s="401" t="str">
        <f t="shared" si="4"/>
        <v/>
      </c>
    </row>
    <row r="47" spans="2:13" x14ac:dyDescent="0.25">
      <c r="B47" s="58"/>
      <c r="C47" s="14"/>
      <c r="D47" s="15"/>
      <c r="E47" s="15"/>
      <c r="F47" s="580"/>
      <c r="G47" s="422"/>
      <c r="H47" s="17" t="str">
        <f t="shared" si="0"/>
        <v/>
      </c>
      <c r="I47" s="18"/>
      <c r="J47" s="61"/>
      <c r="K47" s="399"/>
      <c r="L47" s="420" t="str">
        <f t="shared" si="3"/>
        <v/>
      </c>
      <c r="M47" s="401" t="str">
        <f t="shared" si="4"/>
        <v/>
      </c>
    </row>
    <row r="48" spans="2:13" x14ac:dyDescent="0.25">
      <c r="B48" s="58" t="s">
        <v>50</v>
      </c>
      <c r="C48" s="14" t="s">
        <v>1825</v>
      </c>
      <c r="D48" s="15"/>
      <c r="E48" s="15"/>
      <c r="F48" s="580"/>
      <c r="G48" s="422"/>
      <c r="H48" s="17" t="str">
        <f t="shared" si="0"/>
        <v/>
      </c>
      <c r="I48" s="18"/>
      <c r="J48" s="61"/>
      <c r="K48" s="399"/>
      <c r="L48" s="420" t="str">
        <f t="shared" si="3"/>
        <v/>
      </c>
      <c r="M48" s="401" t="str">
        <f t="shared" si="4"/>
        <v/>
      </c>
    </row>
    <row r="49" spans="2:13" x14ac:dyDescent="0.25">
      <c r="B49" s="58"/>
      <c r="C49" s="14"/>
      <c r="D49" s="15"/>
      <c r="E49" s="15"/>
      <c r="F49" s="580"/>
      <c r="G49" s="422"/>
      <c r="H49" s="17" t="str">
        <f t="shared" si="0"/>
        <v/>
      </c>
      <c r="I49" s="18"/>
      <c r="J49" s="61"/>
      <c r="K49" s="399"/>
      <c r="L49" s="420" t="str">
        <f t="shared" si="3"/>
        <v/>
      </c>
      <c r="M49" s="401" t="str">
        <f t="shared" si="4"/>
        <v/>
      </c>
    </row>
    <row r="50" spans="2:13" x14ac:dyDescent="0.25">
      <c r="B50" s="58" t="s">
        <v>990</v>
      </c>
      <c r="C50" s="14" t="s">
        <v>1677</v>
      </c>
      <c r="D50" s="15" t="s">
        <v>191</v>
      </c>
      <c r="E50" s="15"/>
      <c r="F50" s="580">
        <v>16</v>
      </c>
      <c r="G50" s="424">
        <v>130</v>
      </c>
      <c r="H50" s="17">
        <f t="shared" si="0"/>
        <v>2080</v>
      </c>
      <c r="I50" s="18"/>
      <c r="J50" s="61"/>
      <c r="K50" s="399"/>
      <c r="L50" s="420" t="str">
        <f t="shared" si="3"/>
        <v/>
      </c>
      <c r="M50" s="401" t="str">
        <f t="shared" si="4"/>
        <v/>
      </c>
    </row>
    <row r="51" spans="2:13" x14ac:dyDescent="0.25">
      <c r="B51" s="58"/>
      <c r="C51" s="14"/>
      <c r="D51" s="15"/>
      <c r="E51" s="15"/>
      <c r="F51" s="580"/>
      <c r="G51" s="424"/>
      <c r="H51" s="17" t="str">
        <f t="shared" si="0"/>
        <v/>
      </c>
      <c r="I51" s="18"/>
      <c r="J51" s="61"/>
      <c r="K51" s="399"/>
      <c r="L51" s="420" t="str">
        <f t="shared" si="3"/>
        <v/>
      </c>
      <c r="M51" s="401" t="str">
        <f t="shared" si="4"/>
        <v/>
      </c>
    </row>
    <row r="52" spans="2:13" x14ac:dyDescent="0.25">
      <c r="B52" s="58" t="s">
        <v>991</v>
      </c>
      <c r="C52" s="14" t="s">
        <v>1964</v>
      </c>
      <c r="D52" s="15" t="s">
        <v>1965</v>
      </c>
      <c r="E52" s="15"/>
      <c r="F52" s="24">
        <v>16</v>
      </c>
      <c r="G52" s="422">
        <v>350</v>
      </c>
      <c r="H52" s="17">
        <f t="shared" si="0"/>
        <v>5600</v>
      </c>
      <c r="I52" s="18"/>
      <c r="J52" s="61"/>
      <c r="K52" s="399"/>
      <c r="L52" s="420" t="str">
        <f t="shared" si="3"/>
        <v/>
      </c>
      <c r="M52" s="401" t="str">
        <f t="shared" si="4"/>
        <v/>
      </c>
    </row>
    <row r="53" spans="2:13" x14ac:dyDescent="0.25">
      <c r="B53" s="58"/>
      <c r="C53" s="14"/>
      <c r="D53" s="15"/>
      <c r="E53" s="15"/>
      <c r="F53" s="580"/>
      <c r="G53" s="411"/>
      <c r="H53" s="17" t="str">
        <f t="shared" si="0"/>
        <v/>
      </c>
      <c r="I53" s="18"/>
      <c r="J53" s="61"/>
      <c r="K53" s="399"/>
      <c r="L53" s="420" t="str">
        <f t="shared" si="3"/>
        <v/>
      </c>
      <c r="M53" s="401" t="str">
        <f t="shared" si="4"/>
        <v/>
      </c>
    </row>
    <row r="54" spans="2:13" x14ac:dyDescent="0.25">
      <c r="B54" s="58" t="s">
        <v>51</v>
      </c>
      <c r="C54" s="14" t="s">
        <v>1826</v>
      </c>
      <c r="D54" s="15"/>
      <c r="E54" s="15"/>
      <c r="F54" s="580"/>
      <c r="G54" s="422"/>
      <c r="H54" s="17" t="str">
        <f t="shared" si="0"/>
        <v/>
      </c>
      <c r="I54" s="18"/>
      <c r="J54" s="61"/>
      <c r="K54" s="402"/>
      <c r="L54" s="420" t="str">
        <f t="shared" si="3"/>
        <v/>
      </c>
      <c r="M54" s="401" t="str">
        <f t="shared" si="4"/>
        <v/>
      </c>
    </row>
    <row r="55" spans="2:13" x14ac:dyDescent="0.25">
      <c r="B55" s="58"/>
      <c r="C55" s="14"/>
      <c r="D55" s="15"/>
      <c r="E55" s="15"/>
      <c r="F55" s="580"/>
      <c r="G55" s="422"/>
      <c r="H55" s="17" t="str">
        <f t="shared" si="0"/>
        <v/>
      </c>
      <c r="I55" s="18"/>
      <c r="J55" s="61"/>
      <c r="K55" s="399"/>
      <c r="L55" s="420" t="str">
        <f t="shared" si="3"/>
        <v/>
      </c>
      <c r="M55" s="401" t="str">
        <f t="shared" si="4"/>
        <v/>
      </c>
    </row>
    <row r="56" spans="2:13" x14ac:dyDescent="0.25">
      <c r="B56" s="58" t="s">
        <v>39</v>
      </c>
      <c r="C56" s="14" t="s">
        <v>2101</v>
      </c>
      <c r="D56" s="15" t="s">
        <v>22</v>
      </c>
      <c r="E56" s="15"/>
      <c r="F56" s="24">
        <v>1000</v>
      </c>
      <c r="G56" s="424">
        <v>8.5</v>
      </c>
      <c r="H56" s="17">
        <f t="shared" si="0"/>
        <v>8500</v>
      </c>
      <c r="I56" s="18"/>
      <c r="J56" s="61"/>
      <c r="K56" s="402"/>
      <c r="L56" s="420" t="str">
        <f t="shared" si="3"/>
        <v/>
      </c>
      <c r="M56" s="401" t="str">
        <f t="shared" si="4"/>
        <v/>
      </c>
    </row>
    <row r="57" spans="2:13" x14ac:dyDescent="0.25">
      <c r="B57" s="58"/>
      <c r="C57" s="14"/>
      <c r="D57" s="15"/>
      <c r="E57" s="15"/>
      <c r="F57" s="580"/>
      <c r="G57" s="411"/>
      <c r="H57" s="17" t="str">
        <f t="shared" si="0"/>
        <v/>
      </c>
      <c r="I57" s="18"/>
      <c r="J57" s="62"/>
      <c r="K57" s="62"/>
      <c r="L57" s="420" t="str">
        <f t="shared" si="3"/>
        <v/>
      </c>
      <c r="M57" s="401" t="str">
        <f t="shared" si="4"/>
        <v/>
      </c>
    </row>
    <row r="58" spans="2:13" x14ac:dyDescent="0.25">
      <c r="B58" s="58"/>
      <c r="C58" s="14"/>
      <c r="D58" s="15"/>
      <c r="E58" s="15"/>
      <c r="F58" s="24"/>
      <c r="G58" s="422"/>
      <c r="H58" s="17" t="str">
        <f t="shared" si="0"/>
        <v/>
      </c>
      <c r="I58" s="18"/>
      <c r="J58" s="62"/>
      <c r="K58" s="62"/>
      <c r="L58" s="420" t="str">
        <f t="shared" si="3"/>
        <v/>
      </c>
      <c r="M58" s="401" t="str">
        <f t="shared" si="4"/>
        <v/>
      </c>
    </row>
    <row r="59" spans="2:13" x14ac:dyDescent="0.25">
      <c r="B59" s="58" t="s">
        <v>2072</v>
      </c>
      <c r="C59" s="14" t="s">
        <v>2073</v>
      </c>
      <c r="D59" s="15"/>
      <c r="E59" s="15"/>
      <c r="F59" s="580"/>
      <c r="G59" s="424"/>
      <c r="H59" s="17" t="str">
        <f t="shared" si="0"/>
        <v/>
      </c>
      <c r="I59" s="18"/>
      <c r="J59" s="62"/>
      <c r="K59" s="62"/>
      <c r="L59" s="420" t="str">
        <f t="shared" si="3"/>
        <v/>
      </c>
      <c r="M59" s="401" t="str">
        <f t="shared" si="4"/>
        <v/>
      </c>
    </row>
    <row r="60" spans="2:13" x14ac:dyDescent="0.25">
      <c r="B60" s="58"/>
      <c r="C60" s="14"/>
      <c r="D60" s="15"/>
      <c r="E60" s="15"/>
      <c r="F60" s="15"/>
      <c r="G60" s="424"/>
      <c r="H60" s="17" t="str">
        <f t="shared" si="0"/>
        <v/>
      </c>
      <c r="I60" s="18"/>
      <c r="J60" s="62"/>
      <c r="K60" s="62"/>
      <c r="L60" s="420" t="str">
        <f t="shared" si="3"/>
        <v/>
      </c>
      <c r="M60" s="401" t="str">
        <f t="shared" si="4"/>
        <v/>
      </c>
    </row>
    <row r="61" spans="2:13" x14ac:dyDescent="0.25">
      <c r="B61" s="58" t="s">
        <v>39</v>
      </c>
      <c r="C61" s="14" t="s">
        <v>2074</v>
      </c>
      <c r="D61" s="15" t="s">
        <v>556</v>
      </c>
      <c r="E61" s="15"/>
      <c r="F61" s="580">
        <v>20000</v>
      </c>
      <c r="G61" s="424">
        <v>1</v>
      </c>
      <c r="H61" s="17">
        <f>IF(D61="","",F61*G61)</f>
        <v>20000</v>
      </c>
      <c r="I61" s="18"/>
      <c r="J61" s="62"/>
      <c r="K61" s="62"/>
      <c r="L61" s="420" t="str">
        <f>IF(J61="","",F61*K61)</f>
        <v/>
      </c>
      <c r="M61" s="401" t="str">
        <f>IF(J61="","",IF(SUM(H61)=0,"",L61/H61))</f>
        <v/>
      </c>
    </row>
    <row r="62" spans="2:13" x14ac:dyDescent="0.25">
      <c r="B62" s="58"/>
      <c r="C62" s="14"/>
      <c r="D62" s="15"/>
      <c r="E62" s="15"/>
      <c r="F62" s="580"/>
      <c r="G62" s="424"/>
      <c r="H62" s="17" t="str">
        <f t="shared" si="0"/>
        <v/>
      </c>
      <c r="I62" s="18"/>
      <c r="J62" s="62"/>
      <c r="K62" s="62"/>
      <c r="L62" s="420" t="str">
        <f t="shared" si="3"/>
        <v/>
      </c>
      <c r="M62" s="401" t="str">
        <f t="shared" si="4"/>
        <v/>
      </c>
    </row>
    <row r="63" spans="2:13" ht="25" x14ac:dyDescent="0.25">
      <c r="B63" s="58" t="s">
        <v>41</v>
      </c>
      <c r="C63" s="14" t="s">
        <v>2208</v>
      </c>
      <c r="D63" s="15" t="s">
        <v>26</v>
      </c>
      <c r="E63" s="15"/>
      <c r="F63" s="580">
        <f>F61</f>
        <v>20000</v>
      </c>
      <c r="G63" s="758">
        <v>7.0000000000000007E-2</v>
      </c>
      <c r="H63" s="17">
        <f t="shared" si="0"/>
        <v>1400.0000000000002</v>
      </c>
      <c r="I63" s="18"/>
      <c r="J63" s="62"/>
      <c r="K63" s="62"/>
      <c r="L63" s="420" t="str">
        <f t="shared" si="3"/>
        <v/>
      </c>
      <c r="M63" s="401" t="str">
        <f t="shared" si="4"/>
        <v/>
      </c>
    </row>
    <row r="64" spans="2:13" x14ac:dyDescent="0.25">
      <c r="B64" s="58"/>
      <c r="C64" s="14"/>
      <c r="D64" s="15"/>
      <c r="E64" s="15"/>
      <c r="F64" s="580"/>
      <c r="G64" s="424"/>
      <c r="H64" s="17" t="str">
        <f t="shared" si="0"/>
        <v/>
      </c>
      <c r="I64" s="18"/>
      <c r="J64" s="62"/>
      <c r="K64" s="62"/>
      <c r="L64" s="420" t="str">
        <f t="shared" si="3"/>
        <v/>
      </c>
      <c r="M64" s="401" t="str">
        <f t="shared" si="4"/>
        <v/>
      </c>
    </row>
    <row r="65" spans="2:13" x14ac:dyDescent="0.25">
      <c r="B65" s="58"/>
      <c r="C65" s="14"/>
      <c r="D65" s="15"/>
      <c r="E65" s="15"/>
      <c r="F65" s="580"/>
      <c r="G65" s="424"/>
      <c r="H65" s="17" t="str">
        <f t="shared" si="0"/>
        <v/>
      </c>
      <c r="I65" s="18"/>
      <c r="J65" s="62"/>
      <c r="K65" s="62"/>
      <c r="L65" s="420" t="str">
        <f t="shared" si="3"/>
        <v/>
      </c>
      <c r="M65" s="401" t="str">
        <f t="shared" si="4"/>
        <v/>
      </c>
    </row>
    <row r="66" spans="2:13" x14ac:dyDescent="0.25">
      <c r="B66" s="58"/>
      <c r="C66" s="14"/>
      <c r="D66" s="15"/>
      <c r="E66" s="15"/>
      <c r="F66" s="580"/>
      <c r="G66" s="424"/>
      <c r="H66" s="17" t="str">
        <f t="shared" si="0"/>
        <v/>
      </c>
      <c r="I66" s="18"/>
      <c r="J66" s="62"/>
      <c r="K66" s="62"/>
      <c r="L66" s="420" t="str">
        <f t="shared" si="3"/>
        <v/>
      </c>
      <c r="M66" s="401" t="str">
        <f t="shared" si="4"/>
        <v/>
      </c>
    </row>
    <row r="67" spans="2:13" x14ac:dyDescent="0.25">
      <c r="B67" s="58"/>
      <c r="C67" s="14"/>
      <c r="D67" s="15"/>
      <c r="E67" s="15"/>
      <c r="F67" s="15"/>
      <c r="G67" s="424"/>
      <c r="H67" s="17" t="str">
        <f t="shared" si="0"/>
        <v/>
      </c>
      <c r="I67" s="18"/>
      <c r="J67" s="62"/>
      <c r="K67" s="62"/>
      <c r="L67" s="420" t="str">
        <f t="shared" si="3"/>
        <v/>
      </c>
      <c r="M67" s="401" t="str">
        <f t="shared" si="4"/>
        <v/>
      </c>
    </row>
    <row r="68" spans="2:13" ht="13" x14ac:dyDescent="0.3">
      <c r="B68" s="58"/>
      <c r="C68" s="14"/>
      <c r="D68" s="706"/>
      <c r="E68" s="706"/>
      <c r="F68" s="15"/>
      <c r="G68" s="422"/>
      <c r="H68" s="17" t="str">
        <f t="shared" si="0"/>
        <v/>
      </c>
      <c r="I68" s="18"/>
      <c r="J68" s="62"/>
      <c r="K68" s="62"/>
      <c r="L68" s="420" t="str">
        <f t="shared" si="3"/>
        <v/>
      </c>
      <c r="M68" s="401" t="str">
        <f t="shared" si="4"/>
        <v/>
      </c>
    </row>
    <row r="69" spans="2:13" ht="13" x14ac:dyDescent="0.3">
      <c r="B69" s="58"/>
      <c r="C69" s="14"/>
      <c r="D69" s="706"/>
      <c r="E69" s="706"/>
      <c r="F69" s="15"/>
      <c r="G69" s="422"/>
      <c r="H69" s="17"/>
      <c r="I69" s="18"/>
      <c r="J69" s="62"/>
      <c r="K69" s="62"/>
      <c r="L69" s="420" t="str">
        <f t="shared" si="3"/>
        <v/>
      </c>
      <c r="M69" s="401" t="str">
        <f t="shared" si="4"/>
        <v/>
      </c>
    </row>
    <row r="70" spans="2:13" ht="13" x14ac:dyDescent="0.3">
      <c r="B70" s="58"/>
      <c r="C70" s="14"/>
      <c r="D70" s="706"/>
      <c r="E70" s="706"/>
      <c r="F70" s="15"/>
      <c r="G70" s="422"/>
      <c r="H70" s="17"/>
      <c r="I70" s="18"/>
      <c r="J70" s="62"/>
      <c r="K70" s="62"/>
      <c r="L70" s="420" t="str">
        <f t="shared" si="3"/>
        <v/>
      </c>
      <c r="M70" s="401" t="str">
        <f t="shared" si="4"/>
        <v/>
      </c>
    </row>
    <row r="71" spans="2:13" x14ac:dyDescent="0.25">
      <c r="B71" s="58"/>
      <c r="C71" s="14"/>
      <c r="D71" s="15"/>
      <c r="E71" s="15"/>
      <c r="F71" s="15"/>
      <c r="G71" s="422"/>
      <c r="H71" s="17" t="str">
        <f t="shared" si="0"/>
        <v/>
      </c>
      <c r="I71" s="18"/>
      <c r="J71" s="62"/>
      <c r="K71" s="62"/>
      <c r="L71" s="420" t="str">
        <f t="shared" si="3"/>
        <v/>
      </c>
      <c r="M71" s="401" t="str">
        <f t="shared" si="4"/>
        <v/>
      </c>
    </row>
    <row r="72" spans="2:13" x14ac:dyDescent="0.25">
      <c r="B72" s="58"/>
      <c r="C72" s="14"/>
      <c r="D72" s="15"/>
      <c r="E72" s="15"/>
      <c r="F72" s="15"/>
      <c r="G72" s="422"/>
      <c r="H72" s="17" t="str">
        <f t="shared" si="0"/>
        <v/>
      </c>
      <c r="I72" s="18"/>
      <c r="J72" s="62"/>
      <c r="K72" s="62"/>
      <c r="L72" s="420" t="str">
        <f t="shared" si="3"/>
        <v/>
      </c>
      <c r="M72" s="401" t="str">
        <f t="shared" si="4"/>
        <v/>
      </c>
    </row>
    <row r="73" spans="2:13" x14ac:dyDescent="0.25">
      <c r="B73" s="58"/>
      <c r="C73" s="14"/>
      <c r="D73" s="15"/>
      <c r="E73" s="15"/>
      <c r="F73" s="15"/>
      <c r="G73" s="422"/>
      <c r="H73" s="17" t="str">
        <f t="shared" si="0"/>
        <v/>
      </c>
      <c r="I73" s="18"/>
      <c r="J73" s="62"/>
      <c r="K73" s="62"/>
      <c r="L73" s="420" t="str">
        <f t="shared" si="3"/>
        <v/>
      </c>
      <c r="M73" s="401" t="str">
        <f t="shared" si="4"/>
        <v/>
      </c>
    </row>
    <row r="74" spans="2:13" x14ac:dyDescent="0.25">
      <c r="B74" s="58"/>
      <c r="C74" s="14"/>
      <c r="D74" s="15"/>
      <c r="E74" s="15"/>
      <c r="F74" s="15"/>
      <c r="G74" s="422"/>
      <c r="H74" s="17" t="str">
        <f t="shared" si="0"/>
        <v/>
      </c>
      <c r="I74" s="18"/>
      <c r="J74" s="62"/>
      <c r="K74" s="62"/>
      <c r="L74" s="420" t="str">
        <f t="shared" ref="L74:L76" si="8">IF(J74="","",F74*K74)</f>
        <v/>
      </c>
      <c r="M74" s="401" t="str">
        <f t="shared" ref="M74:M76" si="9">IF(J74="","",IF(SUM(H74)=0,"",L74/H74))</f>
        <v/>
      </c>
    </row>
    <row r="75" spans="2:13" x14ac:dyDescent="0.25">
      <c r="B75" s="58"/>
      <c r="C75" s="26"/>
      <c r="D75" s="61"/>
      <c r="E75" s="61"/>
      <c r="F75" s="61"/>
      <c r="G75" s="422"/>
      <c r="H75" s="17" t="str">
        <f t="shared" ref="H75:H76" si="10">IF(D75="","",F75*G75)</f>
        <v/>
      </c>
      <c r="I75" s="18"/>
      <c r="J75" s="62"/>
      <c r="K75" s="62"/>
      <c r="L75" s="420" t="str">
        <f t="shared" si="8"/>
        <v/>
      </c>
      <c r="M75" s="401" t="str">
        <f t="shared" si="9"/>
        <v/>
      </c>
    </row>
    <row r="76" spans="2:13" x14ac:dyDescent="0.25">
      <c r="B76" s="58"/>
      <c r="C76" s="134"/>
      <c r="D76" s="61"/>
      <c r="E76" s="61"/>
      <c r="F76" s="61"/>
      <c r="G76" s="422"/>
      <c r="H76" s="17" t="str">
        <f t="shared" si="10"/>
        <v/>
      </c>
      <c r="I76" s="18"/>
      <c r="J76" s="62"/>
      <c r="K76" s="62"/>
      <c r="L76" s="420" t="str">
        <f t="shared" si="8"/>
        <v/>
      </c>
      <c r="M76" s="401" t="str">
        <f t="shared" si="9"/>
        <v/>
      </c>
    </row>
    <row r="77" spans="2:13" s="28" customFormat="1" ht="20.149999999999999" customHeight="1" x14ac:dyDescent="0.25">
      <c r="B77" s="80" t="str">
        <f>B12</f>
        <v>C1.2</v>
      </c>
      <c r="C77" s="30" t="str">
        <f>"TOTAL CARRIED FORWARD"&amp;IF(H77=H$1," TO SUMMARY","")</f>
        <v>TOTAL CARRIED FORWARD TO SUMMARY</v>
      </c>
      <c r="D77" s="31"/>
      <c r="E77" s="31"/>
      <c r="F77" s="32"/>
      <c r="G77" s="31"/>
      <c r="H77" s="33">
        <f>SUM(H11:H76)</f>
        <v>329220</v>
      </c>
      <c r="I77" s="34"/>
      <c r="J77" s="408"/>
      <c r="K77" s="406"/>
      <c r="L77" s="418">
        <f>SUM(L11:L76)</f>
        <v>8730</v>
      </c>
      <c r="M77" s="407" t="str">
        <f t="shared" ref="M77" si="11">IF(J77="","",IF(SUM(H77)=0,"",L77/H77))</f>
        <v/>
      </c>
    </row>
    <row r="78" spans="2:13" ht="13" x14ac:dyDescent="0.25">
      <c r="B78" s="1108" t="str">
        <f>Client1</f>
        <v>Province of KwaZulu-Natal</v>
      </c>
      <c r="C78" s="1108"/>
      <c r="D78" s="1108"/>
      <c r="E78" s="87"/>
      <c r="F78" s="1109" t="str">
        <f>"Contract No. "&amp;ContractNo</f>
        <v>Contract No. ZNB 00399/00000/HOD/INF/21/T</v>
      </c>
      <c r="G78" s="1109"/>
      <c r="H78" s="1109"/>
    </row>
    <row r="79" spans="2:13" ht="13" x14ac:dyDescent="0.25">
      <c r="B79" s="1108" t="str">
        <f>Client2</f>
        <v>Department of Transport</v>
      </c>
      <c r="C79" s="1108"/>
      <c r="D79" s="1108"/>
      <c r="E79" s="87"/>
      <c r="F79" s="1109"/>
      <c r="G79" s="1109"/>
      <c r="H79" s="1109"/>
    </row>
    <row r="80" spans="2:13" x14ac:dyDescent="0.25">
      <c r="B80" s="1111"/>
      <c r="C80" s="1111"/>
      <c r="D80" s="1111"/>
      <c r="E80" s="78"/>
      <c r="F80" s="1110"/>
      <c r="G80" s="1110"/>
      <c r="H80" s="1110"/>
    </row>
    <row r="81" spans="2:13" ht="13" x14ac:dyDescent="0.25">
      <c r="B81" s="1112" t="s">
        <v>8</v>
      </c>
      <c r="C81" s="1113"/>
      <c r="D81" s="1113"/>
      <c r="E81" s="1113"/>
      <c r="F81" s="1113"/>
      <c r="G81" s="1113"/>
      <c r="H81" s="1114" t="str">
        <f>$H$6</f>
        <v>CHAPTER C1.2</v>
      </c>
      <c r="I81" s="6"/>
    </row>
    <row r="82" spans="2:13" ht="13" x14ac:dyDescent="0.25">
      <c r="B82" s="1117" t="str">
        <f>ContractDescription</f>
        <v>THE CONSTRUCTION OF EARTHWORKS, LAYERWORKS, SURFACING, CULVERTS AND CWAKA RIVER BRIDGE FROM KM 11.600 TO KM 14.000 ON MAIN ROAD P494 IN THE KING CETSHWAYO DISTRICT UNDER EMPANGENI REGION</v>
      </c>
      <c r="C82" s="1118"/>
      <c r="D82" s="1118"/>
      <c r="E82" s="1118"/>
      <c r="F82" s="1118"/>
      <c r="G82" s="1118"/>
      <c r="H82" s="1115"/>
      <c r="I82" s="8"/>
    </row>
    <row r="83" spans="2:13" ht="13" x14ac:dyDescent="0.25">
      <c r="B83" s="1117"/>
      <c r="C83" s="1118"/>
      <c r="D83" s="1118"/>
      <c r="E83" s="1118"/>
      <c r="F83" s="1118"/>
      <c r="G83" s="1118"/>
      <c r="H83" s="1115"/>
      <c r="I83" s="8"/>
    </row>
    <row r="84" spans="2:13" ht="13" x14ac:dyDescent="0.25">
      <c r="B84" s="1119"/>
      <c r="C84" s="1120"/>
      <c r="D84" s="1120"/>
      <c r="E84" s="1120"/>
      <c r="F84" s="1120"/>
      <c r="G84" s="1120"/>
      <c r="H84" s="1116"/>
      <c r="I84" s="8"/>
    </row>
    <row r="85" spans="2:13" s="9" customFormat="1" ht="25" customHeight="1" x14ac:dyDescent="0.25">
      <c r="B85" s="74" t="s">
        <v>0</v>
      </c>
      <c r="C85" s="11" t="s">
        <v>1</v>
      </c>
      <c r="D85" s="11" t="s">
        <v>2</v>
      </c>
      <c r="E85" s="11"/>
      <c r="F85" s="11" t="s">
        <v>3</v>
      </c>
      <c r="G85" s="11" t="s">
        <v>4</v>
      </c>
      <c r="H85" s="11" t="s">
        <v>5</v>
      </c>
      <c r="I85" s="12"/>
      <c r="J85" s="408" t="s">
        <v>996</v>
      </c>
      <c r="K85" s="253" t="s">
        <v>997</v>
      </c>
      <c r="L85" s="253" t="s">
        <v>998</v>
      </c>
      <c r="M85" s="253" t="s">
        <v>999</v>
      </c>
    </row>
    <row r="86" spans="2:13" s="28" customFormat="1" ht="20.149999999999999" customHeight="1" x14ac:dyDescent="0.25">
      <c r="B86" s="80"/>
      <c r="C86" s="30" t="s">
        <v>27</v>
      </c>
      <c r="D86" s="31"/>
      <c r="E86" s="31"/>
      <c r="F86" s="32"/>
      <c r="G86" s="31"/>
      <c r="H86" s="33">
        <f>H77</f>
        <v>329220</v>
      </c>
      <c r="I86" s="34"/>
      <c r="J86" s="416"/>
      <c r="K86" s="409"/>
      <c r="L86" s="419">
        <f>L77</f>
        <v>8730</v>
      </c>
      <c r="M86" s="410" t="str">
        <f>IF(F86="","",IF(SUM(I86)=0,"",L86/I86))</f>
        <v/>
      </c>
    </row>
    <row r="87" spans="2:13" x14ac:dyDescent="0.25">
      <c r="B87" s="776"/>
      <c r="C87" s="14"/>
      <c r="D87" s="15"/>
      <c r="E87" s="15"/>
      <c r="F87" s="15"/>
      <c r="G87" s="64"/>
      <c r="H87" s="17" t="str">
        <f t="shared" ref="H87:H150" si="12">IF(D87="","",F87*G87)</f>
        <v/>
      </c>
      <c r="I87" s="18"/>
      <c r="J87" s="61"/>
      <c r="K87" s="399"/>
      <c r="L87" s="420" t="str">
        <f t="shared" ref="L87:L123" si="13">IF(J87="","",F87*K87)</f>
        <v/>
      </c>
      <c r="M87" s="401" t="str">
        <f t="shared" ref="M87:M118" si="14">IF(J87="","",IF(SUM(H87)=0,"",L87/H87))</f>
        <v/>
      </c>
    </row>
    <row r="88" spans="2:13" ht="13" x14ac:dyDescent="0.25">
      <c r="B88" s="146"/>
      <c r="C88" s="19"/>
      <c r="D88" s="15"/>
      <c r="E88" s="15"/>
      <c r="F88" s="15"/>
      <c r="G88" s="64"/>
      <c r="H88" s="17" t="str">
        <f t="shared" si="12"/>
        <v/>
      </c>
      <c r="I88" s="18"/>
      <c r="J88" s="61"/>
      <c r="K88" s="399"/>
      <c r="L88" s="420" t="str">
        <f t="shared" si="13"/>
        <v/>
      </c>
      <c r="M88" s="401" t="str">
        <f t="shared" si="14"/>
        <v/>
      </c>
    </row>
    <row r="89" spans="2:13" x14ac:dyDescent="0.25">
      <c r="B89" s="58"/>
      <c r="C89" s="14"/>
      <c r="D89" s="15"/>
      <c r="E89" s="15"/>
      <c r="F89" s="15"/>
      <c r="G89" s="64"/>
      <c r="H89" s="17" t="str">
        <f t="shared" si="12"/>
        <v/>
      </c>
      <c r="I89" s="18"/>
      <c r="J89" s="61"/>
      <c r="K89" s="399"/>
      <c r="L89" s="420" t="str">
        <f t="shared" si="13"/>
        <v/>
      </c>
      <c r="M89" s="401" t="str">
        <f t="shared" si="14"/>
        <v/>
      </c>
    </row>
    <row r="90" spans="2:13" x14ac:dyDescent="0.25">
      <c r="B90" s="58"/>
      <c r="C90" s="14"/>
      <c r="D90" s="15"/>
      <c r="E90" s="15"/>
      <c r="F90" s="15"/>
      <c r="G90" s="64"/>
      <c r="H90" s="17" t="str">
        <f t="shared" si="12"/>
        <v/>
      </c>
      <c r="I90" s="18"/>
      <c r="J90" s="61"/>
      <c r="K90" s="399"/>
      <c r="L90" s="420" t="str">
        <f t="shared" si="13"/>
        <v/>
      </c>
      <c r="M90" s="401" t="str">
        <f t="shared" si="14"/>
        <v/>
      </c>
    </row>
    <row r="91" spans="2:13" x14ac:dyDescent="0.25">
      <c r="B91" s="58"/>
      <c r="C91" s="14"/>
      <c r="D91" s="15"/>
      <c r="E91" s="15"/>
      <c r="F91" s="15"/>
      <c r="G91" s="64"/>
      <c r="H91" s="17" t="str">
        <f t="shared" si="12"/>
        <v/>
      </c>
      <c r="I91" s="18"/>
      <c r="J91" s="61"/>
      <c r="K91" s="400"/>
      <c r="L91" s="420" t="str">
        <f t="shared" si="13"/>
        <v/>
      </c>
      <c r="M91" s="401" t="str">
        <f t="shared" si="14"/>
        <v/>
      </c>
    </row>
    <row r="92" spans="2:13" x14ac:dyDescent="0.25">
      <c r="B92" s="58"/>
      <c r="C92" s="14"/>
      <c r="D92" s="15"/>
      <c r="E92" s="15"/>
      <c r="F92" s="580"/>
      <c r="G92" s="64"/>
      <c r="H92" s="17" t="str">
        <f t="shared" si="12"/>
        <v/>
      </c>
      <c r="I92" s="18"/>
      <c r="J92" s="61"/>
      <c r="K92" s="399"/>
      <c r="L92" s="420" t="str">
        <f t="shared" si="13"/>
        <v/>
      </c>
      <c r="M92" s="401" t="str">
        <f t="shared" si="14"/>
        <v/>
      </c>
    </row>
    <row r="93" spans="2:13" x14ac:dyDescent="0.25">
      <c r="B93" s="58"/>
      <c r="C93" s="14"/>
      <c r="D93" s="15"/>
      <c r="E93" s="15"/>
      <c r="F93" s="15"/>
      <c r="G93" s="64"/>
      <c r="H93" s="17" t="str">
        <f t="shared" si="12"/>
        <v/>
      </c>
      <c r="I93" s="18"/>
      <c r="J93" s="61"/>
      <c r="K93" s="399"/>
      <c r="L93" s="420" t="str">
        <f t="shared" si="13"/>
        <v/>
      </c>
      <c r="M93" s="401" t="str">
        <f t="shared" si="14"/>
        <v/>
      </c>
    </row>
    <row r="94" spans="2:13" x14ac:dyDescent="0.25">
      <c r="B94" s="58"/>
      <c r="C94" s="14"/>
      <c r="D94" s="15"/>
      <c r="E94" s="15"/>
      <c r="F94" s="15"/>
      <c r="G94" s="64"/>
      <c r="H94" s="17" t="str">
        <f t="shared" si="12"/>
        <v/>
      </c>
      <c r="I94" s="18"/>
      <c r="J94" s="61"/>
      <c r="K94" s="399"/>
      <c r="L94" s="420" t="str">
        <f t="shared" si="13"/>
        <v/>
      </c>
      <c r="M94" s="401" t="str">
        <f t="shared" si="14"/>
        <v/>
      </c>
    </row>
    <row r="95" spans="2:13" x14ac:dyDescent="0.25">
      <c r="B95" s="58"/>
      <c r="C95" s="14"/>
      <c r="D95" s="15"/>
      <c r="E95" s="15"/>
      <c r="F95" s="15"/>
      <c r="G95" s="64"/>
      <c r="H95" s="17" t="str">
        <f t="shared" si="12"/>
        <v/>
      </c>
      <c r="I95" s="18"/>
      <c r="J95" s="61"/>
      <c r="K95" s="402"/>
      <c r="L95" s="420" t="str">
        <f t="shared" si="13"/>
        <v/>
      </c>
      <c r="M95" s="401" t="str">
        <f t="shared" si="14"/>
        <v/>
      </c>
    </row>
    <row r="96" spans="2:13" x14ac:dyDescent="0.25">
      <c r="B96" s="58"/>
      <c r="C96" s="14"/>
      <c r="D96" s="15"/>
      <c r="E96" s="15"/>
      <c r="F96" s="15"/>
      <c r="G96" s="64"/>
      <c r="H96" s="17" t="str">
        <f t="shared" si="12"/>
        <v/>
      </c>
      <c r="I96" s="18"/>
      <c r="J96" s="61"/>
      <c r="K96" s="402"/>
      <c r="L96" s="420" t="str">
        <f t="shared" si="13"/>
        <v/>
      </c>
      <c r="M96" s="401" t="str">
        <f t="shared" si="14"/>
        <v/>
      </c>
    </row>
    <row r="97" spans="2:13" x14ac:dyDescent="0.25">
      <c r="B97" s="58"/>
      <c r="C97" s="14"/>
      <c r="D97" s="15"/>
      <c r="E97" s="15"/>
      <c r="F97" s="15"/>
      <c r="G97" s="64"/>
      <c r="H97" s="17" t="str">
        <f t="shared" si="12"/>
        <v/>
      </c>
      <c r="I97" s="18"/>
      <c r="J97" s="61"/>
      <c r="K97" s="402"/>
      <c r="L97" s="420" t="str">
        <f t="shared" si="13"/>
        <v/>
      </c>
      <c r="M97" s="401" t="str">
        <f t="shared" si="14"/>
        <v/>
      </c>
    </row>
    <row r="98" spans="2:13" x14ac:dyDescent="0.25">
      <c r="B98" s="58"/>
      <c r="C98" s="14"/>
      <c r="D98" s="15"/>
      <c r="E98" s="15"/>
      <c r="F98" s="15"/>
      <c r="G98" s="64"/>
      <c r="H98" s="17" t="str">
        <f t="shared" si="12"/>
        <v/>
      </c>
      <c r="I98" s="18"/>
      <c r="J98" s="61"/>
      <c r="K98" s="402"/>
      <c r="L98" s="420" t="str">
        <f t="shared" si="13"/>
        <v/>
      </c>
      <c r="M98" s="401" t="str">
        <f t="shared" si="14"/>
        <v/>
      </c>
    </row>
    <row r="99" spans="2:13" x14ac:dyDescent="0.25">
      <c r="B99" s="58"/>
      <c r="C99" s="14"/>
      <c r="D99" s="15"/>
      <c r="E99" s="15"/>
      <c r="F99" s="15"/>
      <c r="G99" s="64"/>
      <c r="H99" s="17" t="str">
        <f t="shared" si="12"/>
        <v/>
      </c>
      <c r="I99" s="18"/>
      <c r="J99" s="61"/>
      <c r="K99" s="402"/>
      <c r="L99" s="420" t="str">
        <f t="shared" si="13"/>
        <v/>
      </c>
      <c r="M99" s="401" t="str">
        <f t="shared" si="14"/>
        <v/>
      </c>
    </row>
    <row r="100" spans="2:13" x14ac:dyDescent="0.25">
      <c r="B100" s="58"/>
      <c r="C100" s="14"/>
      <c r="D100" s="15"/>
      <c r="E100" s="15"/>
      <c r="F100" s="15"/>
      <c r="G100" s="64"/>
      <c r="H100" s="17" t="str">
        <f t="shared" si="12"/>
        <v/>
      </c>
      <c r="I100" s="18"/>
      <c r="J100" s="61"/>
      <c r="K100" s="402"/>
      <c r="L100" s="420" t="str">
        <f t="shared" si="13"/>
        <v/>
      </c>
      <c r="M100" s="401" t="str">
        <f t="shared" si="14"/>
        <v/>
      </c>
    </row>
    <row r="101" spans="2:13" x14ac:dyDescent="0.25">
      <c r="B101" s="58"/>
      <c r="C101" s="14"/>
      <c r="D101" s="15"/>
      <c r="E101" s="15"/>
      <c r="F101" s="15"/>
      <c r="G101" s="64"/>
      <c r="H101" s="17" t="str">
        <f t="shared" si="12"/>
        <v/>
      </c>
      <c r="I101" s="18"/>
      <c r="J101" s="61"/>
      <c r="K101" s="399"/>
      <c r="L101" s="420" t="str">
        <f t="shared" si="13"/>
        <v/>
      </c>
      <c r="M101" s="401" t="str">
        <f t="shared" si="14"/>
        <v/>
      </c>
    </row>
    <row r="102" spans="2:13" x14ac:dyDescent="0.25">
      <c r="B102" s="58"/>
      <c r="C102" s="14"/>
      <c r="D102" s="15"/>
      <c r="E102" s="15"/>
      <c r="F102" s="15"/>
      <c r="G102" s="64"/>
      <c r="H102" s="17" t="str">
        <f t="shared" si="12"/>
        <v/>
      </c>
      <c r="I102" s="18"/>
      <c r="J102" s="61"/>
      <c r="K102" s="399"/>
      <c r="L102" s="420" t="str">
        <f t="shared" si="13"/>
        <v/>
      </c>
      <c r="M102" s="401" t="str">
        <f t="shared" si="14"/>
        <v/>
      </c>
    </row>
    <row r="103" spans="2:13" x14ac:dyDescent="0.25">
      <c r="B103" s="58"/>
      <c r="C103" s="14"/>
      <c r="D103" s="15"/>
      <c r="E103" s="15"/>
      <c r="F103" s="15"/>
      <c r="G103" s="64"/>
      <c r="H103" s="17" t="str">
        <f t="shared" si="12"/>
        <v/>
      </c>
      <c r="I103" s="18"/>
      <c r="J103" s="61"/>
      <c r="K103" s="400"/>
      <c r="L103" s="420" t="str">
        <f t="shared" si="13"/>
        <v/>
      </c>
      <c r="M103" s="401" t="str">
        <f t="shared" si="14"/>
        <v/>
      </c>
    </row>
    <row r="104" spans="2:13" x14ac:dyDescent="0.25">
      <c r="B104" s="58"/>
      <c r="C104" s="14"/>
      <c r="D104" s="15"/>
      <c r="E104" s="15"/>
      <c r="F104" s="15"/>
      <c r="G104" s="64"/>
      <c r="H104" s="17" t="str">
        <f t="shared" si="12"/>
        <v/>
      </c>
      <c r="I104" s="18"/>
      <c r="J104" s="61"/>
      <c r="K104" s="399"/>
      <c r="L104" s="420" t="str">
        <f t="shared" si="13"/>
        <v/>
      </c>
      <c r="M104" s="401" t="str">
        <f t="shared" si="14"/>
        <v/>
      </c>
    </row>
    <row r="105" spans="2:13" x14ac:dyDescent="0.25">
      <c r="B105" s="58"/>
      <c r="C105" s="14"/>
      <c r="D105" s="15"/>
      <c r="E105" s="15"/>
      <c r="F105" s="15"/>
      <c r="G105" s="64"/>
      <c r="H105" s="17" t="str">
        <f t="shared" si="12"/>
        <v/>
      </c>
      <c r="I105" s="18"/>
      <c r="J105" s="61"/>
      <c r="K105" s="399"/>
      <c r="L105" s="420" t="str">
        <f t="shared" si="13"/>
        <v/>
      </c>
      <c r="M105" s="401" t="str">
        <f t="shared" si="14"/>
        <v/>
      </c>
    </row>
    <row r="106" spans="2:13" x14ac:dyDescent="0.25">
      <c r="B106" s="58"/>
      <c r="C106" s="14"/>
      <c r="D106" s="15"/>
      <c r="E106" s="15"/>
      <c r="F106" s="15"/>
      <c r="G106" s="64"/>
      <c r="H106" s="17" t="str">
        <f t="shared" si="12"/>
        <v/>
      </c>
      <c r="I106" s="18"/>
      <c r="J106" s="61"/>
      <c r="K106" s="399"/>
      <c r="L106" s="420" t="str">
        <f t="shared" si="13"/>
        <v/>
      </c>
      <c r="M106" s="401" t="str">
        <f t="shared" si="14"/>
        <v/>
      </c>
    </row>
    <row r="107" spans="2:13" x14ac:dyDescent="0.25">
      <c r="B107" s="58"/>
      <c r="C107" s="14"/>
      <c r="D107" s="15"/>
      <c r="E107" s="15"/>
      <c r="F107" s="15"/>
      <c r="G107" s="64"/>
      <c r="H107" s="17" t="str">
        <f t="shared" si="12"/>
        <v/>
      </c>
      <c r="I107" s="18"/>
      <c r="J107" s="61"/>
      <c r="K107" s="399"/>
      <c r="L107" s="420" t="str">
        <f t="shared" si="13"/>
        <v/>
      </c>
      <c r="M107" s="401" t="str">
        <f t="shared" si="14"/>
        <v/>
      </c>
    </row>
    <row r="108" spans="2:13" x14ac:dyDescent="0.25">
      <c r="B108" s="58"/>
      <c r="C108" s="14"/>
      <c r="D108" s="15"/>
      <c r="E108" s="15"/>
      <c r="F108" s="15"/>
      <c r="G108" s="64"/>
      <c r="H108" s="17" t="str">
        <f t="shared" si="12"/>
        <v/>
      </c>
      <c r="I108" s="18"/>
      <c r="J108" s="61"/>
      <c r="K108" s="399"/>
      <c r="L108" s="420" t="str">
        <f t="shared" si="13"/>
        <v/>
      </c>
      <c r="M108" s="401" t="str">
        <f t="shared" si="14"/>
        <v/>
      </c>
    </row>
    <row r="109" spans="2:13" x14ac:dyDescent="0.25">
      <c r="B109" s="58"/>
      <c r="C109" s="14"/>
      <c r="D109" s="15"/>
      <c r="E109" s="15"/>
      <c r="F109" s="15"/>
      <c r="G109" s="64"/>
      <c r="H109" s="17" t="str">
        <f t="shared" si="12"/>
        <v/>
      </c>
      <c r="I109" s="18"/>
      <c r="J109" s="61"/>
      <c r="K109" s="400"/>
      <c r="L109" s="420" t="str">
        <f t="shared" si="13"/>
        <v/>
      </c>
      <c r="M109" s="401" t="str">
        <f t="shared" si="14"/>
        <v/>
      </c>
    </row>
    <row r="110" spans="2:13" x14ac:dyDescent="0.25">
      <c r="B110" s="58"/>
      <c r="C110" s="14"/>
      <c r="D110" s="15"/>
      <c r="E110" s="15"/>
      <c r="F110" s="15"/>
      <c r="G110" s="64"/>
      <c r="H110" s="17" t="str">
        <f t="shared" si="12"/>
        <v/>
      </c>
      <c r="I110" s="18"/>
      <c r="J110" s="61"/>
      <c r="K110" s="399"/>
      <c r="L110" s="420" t="str">
        <f t="shared" si="13"/>
        <v/>
      </c>
      <c r="M110" s="401" t="str">
        <f t="shared" si="14"/>
        <v/>
      </c>
    </row>
    <row r="111" spans="2:13" x14ac:dyDescent="0.25">
      <c r="B111" s="58"/>
      <c r="C111" s="14"/>
      <c r="D111" s="15"/>
      <c r="E111" s="15"/>
      <c r="F111" s="15"/>
      <c r="G111" s="64"/>
      <c r="H111" s="17" t="str">
        <f t="shared" si="12"/>
        <v/>
      </c>
      <c r="I111" s="18"/>
      <c r="J111" s="61"/>
      <c r="K111" s="399"/>
      <c r="L111" s="420" t="str">
        <f t="shared" si="13"/>
        <v/>
      </c>
      <c r="M111" s="401" t="str">
        <f t="shared" si="14"/>
        <v/>
      </c>
    </row>
    <row r="112" spans="2:13" x14ac:dyDescent="0.25">
      <c r="B112" s="58"/>
      <c r="C112" s="14"/>
      <c r="D112" s="15"/>
      <c r="E112" s="15"/>
      <c r="F112" s="15"/>
      <c r="G112" s="64"/>
      <c r="H112" s="17" t="str">
        <f t="shared" si="12"/>
        <v/>
      </c>
      <c r="I112" s="18"/>
      <c r="J112" s="61"/>
      <c r="K112" s="399"/>
      <c r="L112" s="420" t="str">
        <f t="shared" si="13"/>
        <v/>
      </c>
      <c r="M112" s="401" t="str">
        <f t="shared" si="14"/>
        <v/>
      </c>
    </row>
    <row r="113" spans="2:13" x14ac:dyDescent="0.25">
      <c r="B113" s="58"/>
      <c r="C113" s="14"/>
      <c r="D113" s="15"/>
      <c r="E113" s="15"/>
      <c r="F113" s="15"/>
      <c r="G113" s="64"/>
      <c r="H113" s="17" t="str">
        <f t="shared" si="12"/>
        <v/>
      </c>
      <c r="I113" s="18"/>
      <c r="J113" s="61"/>
      <c r="K113" s="399"/>
      <c r="L113" s="420" t="str">
        <f t="shared" si="13"/>
        <v/>
      </c>
      <c r="M113" s="401" t="str">
        <f t="shared" si="14"/>
        <v/>
      </c>
    </row>
    <row r="114" spans="2:13" x14ac:dyDescent="0.25">
      <c r="B114" s="58"/>
      <c r="C114" s="14"/>
      <c r="D114" s="15"/>
      <c r="E114" s="15"/>
      <c r="F114" s="15"/>
      <c r="G114" s="64"/>
      <c r="H114" s="17" t="str">
        <f t="shared" si="12"/>
        <v/>
      </c>
      <c r="I114" s="18"/>
      <c r="J114" s="61"/>
      <c r="K114" s="399"/>
      <c r="L114" s="420" t="str">
        <f t="shared" si="13"/>
        <v/>
      </c>
      <c r="M114" s="401" t="str">
        <f t="shared" si="14"/>
        <v/>
      </c>
    </row>
    <row r="115" spans="2:13" x14ac:dyDescent="0.25">
      <c r="B115" s="58"/>
      <c r="C115" s="14"/>
      <c r="D115" s="15"/>
      <c r="E115" s="15"/>
      <c r="F115" s="15"/>
      <c r="G115" s="64"/>
      <c r="H115" s="17" t="str">
        <f t="shared" si="12"/>
        <v/>
      </c>
      <c r="I115" s="18"/>
      <c r="J115" s="61"/>
      <c r="K115" s="399"/>
      <c r="L115" s="420" t="str">
        <f t="shared" si="13"/>
        <v/>
      </c>
      <c r="M115" s="401" t="str">
        <f t="shared" si="14"/>
        <v/>
      </c>
    </row>
    <row r="116" spans="2:13" x14ac:dyDescent="0.25">
      <c r="B116" s="58"/>
      <c r="C116" s="14"/>
      <c r="D116" s="15"/>
      <c r="E116" s="15"/>
      <c r="F116" s="15"/>
      <c r="G116" s="236"/>
      <c r="H116" s="17" t="str">
        <f t="shared" si="12"/>
        <v/>
      </c>
      <c r="I116" s="18"/>
      <c r="J116" s="61"/>
      <c r="K116" s="399"/>
      <c r="L116" s="420" t="str">
        <f t="shared" si="13"/>
        <v/>
      </c>
      <c r="M116" s="401" t="str">
        <f t="shared" si="14"/>
        <v/>
      </c>
    </row>
    <row r="117" spans="2:13" x14ac:dyDescent="0.25">
      <c r="B117" s="58"/>
      <c r="C117" s="14"/>
      <c r="D117" s="15"/>
      <c r="E117" s="15"/>
      <c r="F117" s="15"/>
      <c r="G117" s="64"/>
      <c r="H117" s="17" t="str">
        <f t="shared" si="12"/>
        <v/>
      </c>
      <c r="I117" s="18"/>
      <c r="J117" s="61"/>
      <c r="K117" s="399"/>
      <c r="L117" s="420" t="str">
        <f t="shared" si="13"/>
        <v/>
      </c>
      <c r="M117" s="401" t="str">
        <f t="shared" si="14"/>
        <v/>
      </c>
    </row>
    <row r="118" spans="2:13" x14ac:dyDescent="0.25">
      <c r="B118" s="58"/>
      <c r="C118" s="14"/>
      <c r="D118" s="15"/>
      <c r="E118" s="15"/>
      <c r="F118" s="15"/>
      <c r="G118" s="236"/>
      <c r="H118" s="17" t="str">
        <f t="shared" si="12"/>
        <v/>
      </c>
      <c r="I118" s="18"/>
      <c r="J118" s="61"/>
      <c r="K118" s="399"/>
      <c r="L118" s="420" t="str">
        <f t="shared" si="13"/>
        <v/>
      </c>
      <c r="M118" s="401" t="str">
        <f t="shared" si="14"/>
        <v/>
      </c>
    </row>
    <row r="119" spans="2:13" x14ac:dyDescent="0.25">
      <c r="B119" s="58"/>
      <c r="C119" s="14"/>
      <c r="D119" s="15"/>
      <c r="E119" s="15"/>
      <c r="F119" s="15"/>
      <c r="G119" s="64"/>
      <c r="H119" s="17" t="str">
        <f t="shared" si="12"/>
        <v/>
      </c>
      <c r="I119" s="18"/>
      <c r="J119" s="61"/>
      <c r="K119" s="399"/>
      <c r="L119" s="420" t="str">
        <f t="shared" si="13"/>
        <v/>
      </c>
      <c r="M119" s="401" t="str">
        <f t="shared" ref="M119:M150" si="15">IF(J119="","",IF(SUM(H119)=0,"",L119/H119))</f>
        <v/>
      </c>
    </row>
    <row r="120" spans="2:13" x14ac:dyDescent="0.25">
      <c r="B120" s="58"/>
      <c r="C120" s="14"/>
      <c r="D120" s="15"/>
      <c r="E120" s="15"/>
      <c r="F120" s="15"/>
      <c r="G120" s="64"/>
      <c r="H120" s="17" t="str">
        <f t="shared" si="12"/>
        <v/>
      </c>
      <c r="I120" s="18"/>
      <c r="J120" s="61"/>
      <c r="K120" s="399"/>
      <c r="L120" s="420" t="str">
        <f t="shared" si="13"/>
        <v/>
      </c>
      <c r="M120" s="401" t="str">
        <f t="shared" si="15"/>
        <v/>
      </c>
    </row>
    <row r="121" spans="2:13" x14ac:dyDescent="0.25">
      <c r="B121" s="58"/>
      <c r="C121" s="14"/>
      <c r="D121" s="15"/>
      <c r="E121" s="15"/>
      <c r="F121" s="15"/>
      <c r="G121" s="64"/>
      <c r="H121" s="17" t="str">
        <f t="shared" si="12"/>
        <v/>
      </c>
      <c r="I121" s="18"/>
      <c r="J121" s="61"/>
      <c r="K121" s="402"/>
      <c r="L121" s="420" t="str">
        <f t="shared" si="13"/>
        <v/>
      </c>
      <c r="M121" s="401" t="str">
        <f t="shared" si="15"/>
        <v/>
      </c>
    </row>
    <row r="122" spans="2:13" x14ac:dyDescent="0.25">
      <c r="B122" s="58"/>
      <c r="C122" s="14"/>
      <c r="D122" s="15"/>
      <c r="E122" s="15"/>
      <c r="F122" s="15"/>
      <c r="G122" s="64"/>
      <c r="H122" s="17" t="str">
        <f t="shared" si="12"/>
        <v/>
      </c>
      <c r="I122" s="18"/>
      <c r="J122" s="61"/>
      <c r="K122" s="399"/>
      <c r="L122" s="420" t="str">
        <f t="shared" si="13"/>
        <v/>
      </c>
      <c r="M122" s="401" t="str">
        <f t="shared" si="15"/>
        <v/>
      </c>
    </row>
    <row r="123" spans="2:13" x14ac:dyDescent="0.25">
      <c r="B123" s="58"/>
      <c r="C123" s="14"/>
      <c r="D123" s="15"/>
      <c r="E123" s="15"/>
      <c r="F123" s="15"/>
      <c r="G123" s="64"/>
      <c r="H123" s="17" t="str">
        <f t="shared" si="12"/>
        <v/>
      </c>
      <c r="I123" s="18"/>
      <c r="J123" s="61"/>
      <c r="K123" s="402"/>
      <c r="L123" s="420" t="str">
        <f t="shared" si="13"/>
        <v/>
      </c>
      <c r="M123" s="401" t="str">
        <f t="shared" si="15"/>
        <v/>
      </c>
    </row>
    <row r="124" spans="2:13" x14ac:dyDescent="0.25">
      <c r="B124" s="58"/>
      <c r="C124" s="14"/>
      <c r="D124" s="15"/>
      <c r="E124" s="15"/>
      <c r="F124" s="15"/>
      <c r="G124" s="64"/>
      <c r="H124" s="17" t="str">
        <f t="shared" si="12"/>
        <v/>
      </c>
      <c r="I124" s="18"/>
      <c r="J124" s="62"/>
      <c r="K124" s="62"/>
      <c r="L124" s="420" t="str">
        <f t="shared" ref="L124:L131" si="16">IF(J124="","",F141*K124)</f>
        <v/>
      </c>
      <c r="M124" s="401" t="str">
        <f t="shared" si="15"/>
        <v/>
      </c>
    </row>
    <row r="125" spans="2:13" x14ac:dyDescent="0.25">
      <c r="B125" s="58"/>
      <c r="C125" s="14"/>
      <c r="D125" s="15"/>
      <c r="E125" s="15"/>
      <c r="F125" s="15"/>
      <c r="G125" s="64"/>
      <c r="H125" s="17" t="str">
        <f t="shared" si="12"/>
        <v/>
      </c>
      <c r="I125" s="18"/>
      <c r="J125" s="62"/>
      <c r="K125" s="62"/>
      <c r="L125" s="420" t="str">
        <f t="shared" si="16"/>
        <v/>
      </c>
      <c r="M125" s="401" t="str">
        <f t="shared" si="15"/>
        <v/>
      </c>
    </row>
    <row r="126" spans="2:13" x14ac:dyDescent="0.25">
      <c r="B126" s="58"/>
      <c r="C126" s="14"/>
      <c r="D126" s="15"/>
      <c r="E126" s="15"/>
      <c r="F126" s="15"/>
      <c r="G126" s="64"/>
      <c r="H126" s="17" t="str">
        <f t="shared" si="12"/>
        <v/>
      </c>
      <c r="I126" s="18"/>
      <c r="J126" s="62"/>
      <c r="K126" s="62"/>
      <c r="L126" s="420" t="str">
        <f t="shared" si="16"/>
        <v/>
      </c>
      <c r="M126" s="401" t="str">
        <f t="shared" si="15"/>
        <v/>
      </c>
    </row>
    <row r="127" spans="2:13" x14ac:dyDescent="0.25">
      <c r="B127" s="58"/>
      <c r="C127" s="14"/>
      <c r="D127" s="15"/>
      <c r="E127" s="15"/>
      <c r="F127" s="15"/>
      <c r="G127" s="64"/>
      <c r="H127" s="17" t="str">
        <f t="shared" si="12"/>
        <v/>
      </c>
      <c r="I127" s="18"/>
      <c r="J127" s="62"/>
      <c r="K127" s="62"/>
      <c r="L127" s="420" t="str">
        <f t="shared" si="16"/>
        <v/>
      </c>
      <c r="M127" s="401" t="str">
        <f t="shared" si="15"/>
        <v/>
      </c>
    </row>
    <row r="128" spans="2:13" x14ac:dyDescent="0.25">
      <c r="B128" s="58"/>
      <c r="C128" s="14"/>
      <c r="D128" s="15"/>
      <c r="E128" s="15"/>
      <c r="F128" s="15"/>
      <c r="G128" s="64"/>
      <c r="H128" s="17" t="str">
        <f t="shared" si="12"/>
        <v/>
      </c>
      <c r="I128" s="18"/>
      <c r="J128" s="62"/>
      <c r="K128" s="62"/>
      <c r="L128" s="420" t="str">
        <f t="shared" si="16"/>
        <v/>
      </c>
      <c r="M128" s="401" t="str">
        <f t="shared" si="15"/>
        <v/>
      </c>
    </row>
    <row r="129" spans="2:13" x14ac:dyDescent="0.25">
      <c r="B129" s="58"/>
      <c r="C129" s="14"/>
      <c r="D129" s="15"/>
      <c r="E129" s="15"/>
      <c r="F129" s="15"/>
      <c r="G129" s="64"/>
      <c r="H129" s="17" t="str">
        <f t="shared" si="12"/>
        <v/>
      </c>
      <c r="I129" s="18"/>
      <c r="J129" s="62"/>
      <c r="K129" s="62"/>
      <c r="L129" s="420" t="str">
        <f t="shared" si="16"/>
        <v/>
      </c>
      <c r="M129" s="401" t="str">
        <f t="shared" si="15"/>
        <v/>
      </c>
    </row>
    <row r="130" spans="2:13" x14ac:dyDescent="0.25">
      <c r="B130" s="58"/>
      <c r="C130" s="14"/>
      <c r="D130" s="15"/>
      <c r="E130" s="15"/>
      <c r="F130" s="15"/>
      <c r="G130" s="64"/>
      <c r="H130" s="17" t="str">
        <f t="shared" si="12"/>
        <v/>
      </c>
      <c r="I130" s="18"/>
      <c r="J130" s="62"/>
      <c r="K130" s="62"/>
      <c r="L130" s="420" t="str">
        <f t="shared" si="16"/>
        <v/>
      </c>
      <c r="M130" s="401" t="str">
        <f t="shared" si="15"/>
        <v/>
      </c>
    </row>
    <row r="131" spans="2:13" x14ac:dyDescent="0.25">
      <c r="B131" s="58"/>
      <c r="C131" s="14"/>
      <c r="D131" s="15"/>
      <c r="E131" s="15"/>
      <c r="F131" s="15"/>
      <c r="G131" s="64"/>
      <c r="H131" s="17" t="str">
        <f t="shared" si="12"/>
        <v/>
      </c>
      <c r="I131" s="18"/>
      <c r="J131" s="62"/>
      <c r="K131" s="62"/>
      <c r="L131" s="420" t="str">
        <f t="shared" si="16"/>
        <v/>
      </c>
      <c r="M131" s="401" t="str">
        <f t="shared" si="15"/>
        <v/>
      </c>
    </row>
    <row r="132" spans="2:13" x14ac:dyDescent="0.25">
      <c r="B132" s="58"/>
      <c r="C132" s="14"/>
      <c r="D132" s="15"/>
      <c r="E132" s="15"/>
      <c r="F132" s="15"/>
      <c r="G132" s="64"/>
      <c r="H132" s="17" t="str">
        <f t="shared" si="12"/>
        <v/>
      </c>
      <c r="I132" s="18"/>
      <c r="J132" s="62"/>
      <c r="K132" s="62"/>
      <c r="L132" s="420" t="str">
        <f t="shared" ref="L132:L133" si="17">IF(J132="","",F149*K132)</f>
        <v/>
      </c>
      <c r="M132" s="401" t="str">
        <f t="shared" si="15"/>
        <v/>
      </c>
    </row>
    <row r="133" spans="2:13" x14ac:dyDescent="0.25">
      <c r="B133" s="58"/>
      <c r="C133" s="14"/>
      <c r="D133" s="15"/>
      <c r="E133" s="15"/>
      <c r="F133" s="15"/>
      <c r="G133" s="64"/>
      <c r="H133" s="17"/>
      <c r="I133" s="18"/>
      <c r="J133" s="62"/>
      <c r="K133" s="62"/>
      <c r="L133" s="420" t="str">
        <f t="shared" si="17"/>
        <v/>
      </c>
      <c r="M133" s="401" t="str">
        <f t="shared" si="15"/>
        <v/>
      </c>
    </row>
    <row r="134" spans="2:13" x14ac:dyDescent="0.25">
      <c r="B134" s="395"/>
      <c r="C134" s="238"/>
      <c r="D134" s="15"/>
      <c r="E134" s="15"/>
      <c r="F134" s="15"/>
      <c r="G134" s="64"/>
      <c r="H134" s="17" t="str">
        <f t="shared" ref="H134" si="18">IF(D134="","",F134*G134)</f>
        <v/>
      </c>
      <c r="I134" s="18"/>
      <c r="J134" s="62"/>
      <c r="K134" s="62"/>
      <c r="L134" s="420" t="str">
        <f>IF(J134="","",#REF!*K134)</f>
        <v/>
      </c>
      <c r="M134" s="401" t="str">
        <f t="shared" si="15"/>
        <v/>
      </c>
    </row>
    <row r="135" spans="2:13" x14ac:dyDescent="0.25">
      <c r="B135" s="58"/>
      <c r="C135" s="14"/>
      <c r="D135" s="15"/>
      <c r="E135" s="15"/>
      <c r="F135" s="15"/>
      <c r="G135" s="64"/>
      <c r="H135" s="17"/>
      <c r="I135" s="18"/>
      <c r="J135" s="62"/>
      <c r="K135" s="62"/>
      <c r="L135" s="420" t="str">
        <f>IF(J135="","",#REF!*K135)</f>
        <v/>
      </c>
      <c r="M135" s="401" t="str">
        <f t="shared" si="15"/>
        <v/>
      </c>
    </row>
    <row r="136" spans="2:13" x14ac:dyDescent="0.25">
      <c r="B136" s="395"/>
      <c r="C136" s="238"/>
      <c r="D136" s="15"/>
      <c r="E136" s="15"/>
      <c r="F136" s="15"/>
      <c r="G136" s="64"/>
      <c r="H136" s="17" t="str">
        <f t="shared" ref="H136" si="19">IF(D136="","",F136*G136)</f>
        <v/>
      </c>
      <c r="I136" s="18"/>
      <c r="J136" s="61"/>
      <c r="K136" s="62"/>
      <c r="L136" s="420" t="str">
        <f>IF(J136="","",#REF!*K136)</f>
        <v/>
      </c>
      <c r="M136" s="401" t="str">
        <f t="shared" si="15"/>
        <v/>
      </c>
    </row>
    <row r="137" spans="2:13" x14ac:dyDescent="0.25">
      <c r="B137" s="58"/>
      <c r="C137" s="14"/>
      <c r="D137" s="15"/>
      <c r="E137" s="15"/>
      <c r="F137" s="15"/>
      <c r="G137" s="64"/>
      <c r="H137" s="17" t="str">
        <f t="shared" si="12"/>
        <v/>
      </c>
      <c r="I137" s="18"/>
      <c r="J137" s="62"/>
      <c r="K137" s="62"/>
      <c r="L137" s="420" t="str">
        <f t="shared" ref="L137:L150" si="20">IF(J137="","",F151*K137)</f>
        <v/>
      </c>
      <c r="M137" s="401" t="str">
        <f t="shared" si="15"/>
        <v/>
      </c>
    </row>
    <row r="138" spans="2:13" x14ac:dyDescent="0.25">
      <c r="B138" s="58"/>
      <c r="C138" s="14"/>
      <c r="D138" s="15"/>
      <c r="E138" s="15"/>
      <c r="F138" s="15"/>
      <c r="G138" s="64"/>
      <c r="H138" s="17" t="str">
        <f t="shared" si="12"/>
        <v/>
      </c>
      <c r="I138" s="18"/>
      <c r="J138" s="62"/>
      <c r="K138" s="62"/>
      <c r="L138" s="420" t="str">
        <f t="shared" si="20"/>
        <v/>
      </c>
      <c r="M138" s="401" t="str">
        <f t="shared" si="15"/>
        <v/>
      </c>
    </row>
    <row r="139" spans="2:13" x14ac:dyDescent="0.25">
      <c r="B139" s="58"/>
      <c r="C139" s="14"/>
      <c r="D139" s="15"/>
      <c r="E139" s="15"/>
      <c r="F139" s="15"/>
      <c r="G139" s="64"/>
      <c r="H139" s="17" t="str">
        <f t="shared" si="12"/>
        <v/>
      </c>
      <c r="I139" s="18"/>
      <c r="J139" s="62"/>
      <c r="K139" s="62"/>
      <c r="L139" s="420" t="str">
        <f t="shared" si="20"/>
        <v/>
      </c>
      <c r="M139" s="401" t="str">
        <f t="shared" si="15"/>
        <v/>
      </c>
    </row>
    <row r="140" spans="2:13" x14ac:dyDescent="0.25">
      <c r="B140" s="58"/>
      <c r="C140" s="14"/>
      <c r="D140" s="15"/>
      <c r="E140" s="15"/>
      <c r="F140" s="15"/>
      <c r="G140" s="64"/>
      <c r="H140" s="17" t="str">
        <f t="shared" si="12"/>
        <v/>
      </c>
      <c r="I140" s="18"/>
      <c r="J140" s="62"/>
      <c r="K140" s="62"/>
      <c r="L140" s="420" t="str">
        <f t="shared" si="20"/>
        <v/>
      </c>
      <c r="M140" s="401" t="str">
        <f t="shared" si="15"/>
        <v/>
      </c>
    </row>
    <row r="141" spans="2:13" x14ac:dyDescent="0.25">
      <c r="B141" s="58"/>
      <c r="C141" s="14"/>
      <c r="D141" s="15"/>
      <c r="E141" s="15"/>
      <c r="F141" s="15"/>
      <c r="G141" s="64"/>
      <c r="H141" s="17" t="str">
        <f t="shared" si="12"/>
        <v/>
      </c>
      <c r="I141" s="18"/>
      <c r="J141" s="62"/>
      <c r="K141" s="62"/>
      <c r="L141" s="420" t="str">
        <f t="shared" si="20"/>
        <v/>
      </c>
      <c r="M141" s="401" t="str">
        <f t="shared" si="15"/>
        <v/>
      </c>
    </row>
    <row r="142" spans="2:13" x14ac:dyDescent="0.25">
      <c r="B142" s="58"/>
      <c r="C142" s="14"/>
      <c r="D142" s="15"/>
      <c r="E142" s="15"/>
      <c r="F142" s="15"/>
      <c r="G142" s="64"/>
      <c r="H142" s="17" t="str">
        <f t="shared" si="12"/>
        <v/>
      </c>
      <c r="I142" s="18"/>
      <c r="J142" s="62"/>
      <c r="K142" s="62"/>
      <c r="L142" s="420" t="str">
        <f t="shared" si="20"/>
        <v/>
      </c>
      <c r="M142" s="401" t="str">
        <f t="shared" si="15"/>
        <v/>
      </c>
    </row>
    <row r="143" spans="2:13" x14ac:dyDescent="0.25">
      <c r="B143" s="58"/>
      <c r="C143" s="14"/>
      <c r="D143" s="15"/>
      <c r="E143" s="15"/>
      <c r="F143" s="15"/>
      <c r="G143" s="64"/>
      <c r="H143" s="17" t="str">
        <f t="shared" si="12"/>
        <v/>
      </c>
      <c r="I143" s="18"/>
      <c r="J143" s="62"/>
      <c r="K143" s="62"/>
      <c r="L143" s="420" t="str">
        <f t="shared" si="20"/>
        <v/>
      </c>
      <c r="M143" s="401" t="str">
        <f t="shared" si="15"/>
        <v/>
      </c>
    </row>
    <row r="144" spans="2:13" x14ac:dyDescent="0.25">
      <c r="B144" s="58"/>
      <c r="C144" s="14"/>
      <c r="D144" s="15"/>
      <c r="E144" s="15"/>
      <c r="F144" s="15"/>
      <c r="G144" s="64"/>
      <c r="H144" s="17" t="str">
        <f t="shared" si="12"/>
        <v/>
      </c>
      <c r="I144" s="18"/>
      <c r="J144" s="62"/>
      <c r="K144" s="62"/>
      <c r="L144" s="420" t="str">
        <f t="shared" si="20"/>
        <v/>
      </c>
      <c r="M144" s="401" t="str">
        <f t="shared" si="15"/>
        <v/>
      </c>
    </row>
    <row r="145" spans="2:13" x14ac:dyDescent="0.25">
      <c r="B145" s="58"/>
      <c r="C145" s="14"/>
      <c r="D145" s="15"/>
      <c r="E145" s="15"/>
      <c r="F145" s="15"/>
      <c r="G145" s="64"/>
      <c r="H145" s="17" t="str">
        <f t="shared" si="12"/>
        <v/>
      </c>
      <c r="I145" s="18"/>
      <c r="J145" s="62"/>
      <c r="K145" s="62"/>
      <c r="L145" s="420" t="str">
        <f t="shared" si="20"/>
        <v/>
      </c>
      <c r="M145" s="401" t="str">
        <f t="shared" si="15"/>
        <v/>
      </c>
    </row>
    <row r="146" spans="2:13" x14ac:dyDescent="0.25">
      <c r="B146" s="58"/>
      <c r="C146" s="14"/>
      <c r="D146" s="15"/>
      <c r="E146" s="15"/>
      <c r="F146" s="15"/>
      <c r="G146" s="64"/>
      <c r="H146" s="17" t="str">
        <f t="shared" si="12"/>
        <v/>
      </c>
      <c r="I146" s="18"/>
      <c r="J146" s="62"/>
      <c r="K146" s="62"/>
      <c r="L146" s="420" t="str">
        <f t="shared" si="20"/>
        <v/>
      </c>
      <c r="M146" s="401" t="str">
        <f t="shared" si="15"/>
        <v/>
      </c>
    </row>
    <row r="147" spans="2:13" x14ac:dyDescent="0.25">
      <c r="B147" s="58"/>
      <c r="C147" s="14"/>
      <c r="D147" s="15"/>
      <c r="E147" s="15"/>
      <c r="F147" s="15"/>
      <c r="G147" s="64"/>
      <c r="H147" s="17"/>
      <c r="I147" s="18"/>
      <c r="J147" s="62"/>
      <c r="K147" s="62"/>
      <c r="L147" s="420" t="str">
        <f t="shared" si="20"/>
        <v/>
      </c>
      <c r="M147" s="401" t="str">
        <f t="shared" si="15"/>
        <v/>
      </c>
    </row>
    <row r="148" spans="2:13" x14ac:dyDescent="0.25">
      <c r="B148" s="395"/>
      <c r="C148" s="238"/>
      <c r="D148" s="394"/>
      <c r="E148" s="394"/>
      <c r="F148" s="15"/>
      <c r="G148" s="64"/>
      <c r="H148" s="17" t="str">
        <f t="shared" si="12"/>
        <v/>
      </c>
      <c r="I148" s="18"/>
      <c r="J148" s="62"/>
      <c r="K148" s="62"/>
      <c r="L148" s="420" t="str">
        <f t="shared" si="20"/>
        <v/>
      </c>
      <c r="M148" s="401" t="str">
        <f t="shared" si="15"/>
        <v/>
      </c>
    </row>
    <row r="149" spans="2:13" x14ac:dyDescent="0.25">
      <c r="B149" s="395"/>
      <c r="C149" s="238"/>
      <c r="D149" s="394"/>
      <c r="E149" s="394"/>
      <c r="F149" s="15"/>
      <c r="G149" s="64"/>
      <c r="H149" s="17"/>
      <c r="I149" s="18"/>
      <c r="J149" s="62"/>
      <c r="K149" s="62"/>
      <c r="L149" s="420" t="str">
        <f t="shared" si="20"/>
        <v/>
      </c>
      <c r="M149" s="401" t="str">
        <f t="shared" si="15"/>
        <v/>
      </c>
    </row>
    <row r="150" spans="2:13" x14ac:dyDescent="0.25">
      <c r="B150" s="395"/>
      <c r="C150" s="238"/>
      <c r="D150" s="394"/>
      <c r="E150" s="394"/>
      <c r="F150" s="15"/>
      <c r="G150" s="64"/>
      <c r="H150" s="17" t="str">
        <f t="shared" si="12"/>
        <v/>
      </c>
      <c r="I150" s="18"/>
      <c r="J150" s="62"/>
      <c r="K150" s="62"/>
      <c r="L150" s="420" t="str">
        <f t="shared" si="20"/>
        <v/>
      </c>
      <c r="M150" s="401" t="str">
        <f t="shared" si="15"/>
        <v/>
      </c>
    </row>
    <row r="151" spans="2:13" x14ac:dyDescent="0.25">
      <c r="B151" s="58"/>
      <c r="C151" s="14"/>
      <c r="D151" s="15"/>
      <c r="E151" s="15"/>
      <c r="F151" s="15"/>
      <c r="G151" s="64"/>
      <c r="H151" s="17" t="str">
        <f>IF(D151="","",F151*G151)</f>
        <v/>
      </c>
      <c r="I151" s="18"/>
      <c r="J151" s="61"/>
      <c r="K151" s="696"/>
      <c r="L151" s="420" t="str">
        <f>IF(J151="","",F152*K151)</f>
        <v/>
      </c>
      <c r="M151" s="401" t="str">
        <f t="shared" ref="M151" si="21">IF(J151="","",IF(SUM(H151)=0,"",L151/H151))</f>
        <v/>
      </c>
    </row>
    <row r="152" spans="2:13" s="28" customFormat="1" ht="20.149999999999999" customHeight="1" x14ac:dyDescent="0.25">
      <c r="B152" s="80" t="str">
        <f>B77</f>
        <v>C1.2</v>
      </c>
      <c r="C152" s="30" t="str">
        <f>"TOTAL CARRIED FORWARD"&amp;IF(H152=H$1," TO SUMMARY","")</f>
        <v>TOTAL CARRIED FORWARD TO SUMMARY</v>
      </c>
      <c r="D152" s="31"/>
      <c r="E152" s="31"/>
      <c r="F152" s="32"/>
      <c r="G152" s="31"/>
      <c r="H152" s="33">
        <f>SUM(H86:H151)</f>
        <v>329220</v>
      </c>
      <c r="I152" s="34"/>
      <c r="J152" s="408"/>
      <c r="K152" s="406"/>
      <c r="L152" s="418">
        <f>SUM(L86:L151)</f>
        <v>8730</v>
      </c>
      <c r="M152" s="407" t="str">
        <f>IF(F140="","",IF(SUM(I140)=0,"",L152/I130))</f>
        <v/>
      </c>
    </row>
    <row r="153" spans="2:13" ht="13" x14ac:dyDescent="0.25">
      <c r="B153" s="1108" t="str">
        <f>Client1</f>
        <v>Province of KwaZulu-Natal</v>
      </c>
      <c r="C153" s="1108"/>
      <c r="D153" s="1108"/>
      <c r="E153" s="87"/>
      <c r="F153" s="1109" t="str">
        <f>"Contract No. "&amp;ContractNo</f>
        <v>Contract No. ZNB 00399/00000/HOD/INF/21/T</v>
      </c>
      <c r="G153" s="1109"/>
      <c r="H153" s="1109"/>
    </row>
    <row r="154" spans="2:13" ht="13" x14ac:dyDescent="0.25">
      <c r="B154" s="1108" t="str">
        <f>Client2</f>
        <v>Department of Transport</v>
      </c>
      <c r="C154" s="1108"/>
      <c r="D154" s="1108"/>
      <c r="E154" s="87"/>
      <c r="F154" s="1109"/>
      <c r="G154" s="1109"/>
      <c r="H154" s="1109"/>
    </row>
    <row r="155" spans="2:13" x14ac:dyDescent="0.25">
      <c r="B155" s="1111"/>
      <c r="C155" s="1111"/>
      <c r="D155" s="1111"/>
      <c r="E155" s="78"/>
      <c r="F155" s="1110"/>
      <c r="G155" s="1110"/>
      <c r="H155" s="1110"/>
    </row>
    <row r="156" spans="2:13" ht="13" x14ac:dyDescent="0.25">
      <c r="B156" s="1112" t="s">
        <v>8</v>
      </c>
      <c r="C156" s="1113"/>
      <c r="D156" s="1113"/>
      <c r="E156" s="1113"/>
      <c r="F156" s="1113"/>
      <c r="G156" s="1113"/>
      <c r="H156" s="1114" t="str">
        <f>$H$6</f>
        <v>CHAPTER C1.2</v>
      </c>
      <c r="I156" s="6"/>
    </row>
    <row r="157" spans="2:13" ht="13" x14ac:dyDescent="0.25">
      <c r="B157" s="1117" t="str">
        <f>ContractDescription</f>
        <v>THE CONSTRUCTION OF EARTHWORKS, LAYERWORKS, SURFACING, CULVERTS AND CWAKA RIVER BRIDGE FROM KM 11.600 TO KM 14.000 ON MAIN ROAD P494 IN THE KING CETSHWAYO DISTRICT UNDER EMPANGENI REGION</v>
      </c>
      <c r="C157" s="1118"/>
      <c r="D157" s="1118"/>
      <c r="E157" s="1118"/>
      <c r="F157" s="1118"/>
      <c r="G157" s="1118"/>
      <c r="H157" s="1115"/>
      <c r="I157" s="8"/>
    </row>
    <row r="158" spans="2:13" ht="13" x14ac:dyDescent="0.25">
      <c r="B158" s="1117"/>
      <c r="C158" s="1118"/>
      <c r="D158" s="1118"/>
      <c r="E158" s="1118"/>
      <c r="F158" s="1118"/>
      <c r="G158" s="1118"/>
      <c r="H158" s="1115"/>
      <c r="I158" s="8"/>
    </row>
    <row r="159" spans="2:13" ht="13" x14ac:dyDescent="0.25">
      <c r="B159" s="1119"/>
      <c r="C159" s="1120"/>
      <c r="D159" s="1120"/>
      <c r="E159" s="1120"/>
      <c r="F159" s="1120"/>
      <c r="G159" s="1120"/>
      <c r="H159" s="1116"/>
      <c r="I159" s="8"/>
    </row>
    <row r="160" spans="2:13" s="9" customFormat="1" ht="25" customHeight="1" x14ac:dyDescent="0.25">
      <c r="B160" s="74" t="s">
        <v>0</v>
      </c>
      <c r="C160" s="11" t="s">
        <v>1</v>
      </c>
      <c r="D160" s="11" t="s">
        <v>2</v>
      </c>
      <c r="E160" s="11"/>
      <c r="F160" s="11" t="s">
        <v>3</v>
      </c>
      <c r="G160" s="11" t="s">
        <v>4</v>
      </c>
      <c r="H160" s="11" t="s">
        <v>5</v>
      </c>
      <c r="I160" s="12"/>
      <c r="J160" s="408" t="s">
        <v>996</v>
      </c>
      <c r="K160" s="253" t="s">
        <v>997</v>
      </c>
      <c r="L160" s="253" t="s">
        <v>998</v>
      </c>
      <c r="M160" s="253" t="s">
        <v>999</v>
      </c>
    </row>
    <row r="161" spans="2:13" s="28" customFormat="1" ht="20.149999999999999" customHeight="1" x14ac:dyDescent="0.25">
      <c r="B161" s="80"/>
      <c r="C161" s="30" t="s">
        <v>27</v>
      </c>
      <c r="D161" s="31"/>
      <c r="E161" s="31"/>
      <c r="F161" s="32"/>
      <c r="G161" s="31"/>
      <c r="H161" s="33">
        <f>H152</f>
        <v>329220</v>
      </c>
      <c r="I161" s="34"/>
      <c r="J161" s="416"/>
      <c r="K161" s="409"/>
      <c r="L161" s="419">
        <f>L152</f>
        <v>8730</v>
      </c>
      <c r="M161" s="410" t="str">
        <f>IF(F161="","",IF(SUM(I161)=0,"",L161/I161))</f>
        <v/>
      </c>
    </row>
    <row r="162" spans="2:13" x14ac:dyDescent="0.25">
      <c r="B162" s="776"/>
      <c r="C162" s="14"/>
      <c r="D162" s="15"/>
      <c r="E162" s="15"/>
      <c r="F162" s="15"/>
      <c r="G162" s="64"/>
      <c r="H162" s="17"/>
      <c r="I162" s="18"/>
      <c r="J162" s="61"/>
      <c r="K162" s="399"/>
      <c r="L162" s="420" t="str">
        <f t="shared" ref="L162:L198" si="22">IF(J162="","",F162*K162)</f>
        <v/>
      </c>
      <c r="M162" s="401" t="str">
        <f t="shared" ref="M162:M193" si="23">IF(J162="","",IF(SUM(H162)=0,"",L162/H162))</f>
        <v/>
      </c>
    </row>
    <row r="163" spans="2:13" x14ac:dyDescent="0.25">
      <c r="B163" s="776"/>
      <c r="C163" s="14"/>
      <c r="D163" s="15"/>
      <c r="E163" s="15"/>
      <c r="F163" s="15"/>
      <c r="G163" s="64"/>
      <c r="H163" s="17" t="str">
        <f t="shared" ref="H163:H185" si="24">IF(D163="","",F163*G163)</f>
        <v/>
      </c>
      <c r="I163" s="18"/>
      <c r="J163" s="61"/>
      <c r="K163" s="399"/>
      <c r="L163" s="420" t="str">
        <f t="shared" si="22"/>
        <v/>
      </c>
      <c r="M163" s="401" t="str">
        <f t="shared" si="23"/>
        <v/>
      </c>
    </row>
    <row r="164" spans="2:13" x14ac:dyDescent="0.25">
      <c r="B164" s="776"/>
      <c r="C164" s="14"/>
      <c r="D164" s="15"/>
      <c r="E164" s="15"/>
      <c r="F164" s="15"/>
      <c r="G164" s="64"/>
      <c r="H164" s="17" t="str">
        <f t="shared" si="24"/>
        <v/>
      </c>
      <c r="I164" s="18"/>
      <c r="J164" s="61"/>
      <c r="K164" s="399"/>
      <c r="L164" s="420" t="str">
        <f t="shared" si="22"/>
        <v/>
      </c>
      <c r="M164" s="401" t="str">
        <f t="shared" si="23"/>
        <v/>
      </c>
    </row>
    <row r="165" spans="2:13" x14ac:dyDescent="0.25">
      <c r="B165" s="776"/>
      <c r="C165" s="14"/>
      <c r="D165" s="15"/>
      <c r="E165" s="15"/>
      <c r="F165" s="15"/>
      <c r="G165" s="64"/>
      <c r="H165" s="17" t="str">
        <f t="shared" si="24"/>
        <v/>
      </c>
      <c r="I165" s="18"/>
      <c r="J165" s="61"/>
      <c r="K165" s="399"/>
      <c r="L165" s="420" t="str">
        <f t="shared" si="22"/>
        <v/>
      </c>
      <c r="M165" s="401" t="str">
        <f t="shared" si="23"/>
        <v/>
      </c>
    </row>
    <row r="166" spans="2:13" x14ac:dyDescent="0.25">
      <c r="B166" s="776"/>
      <c r="C166" s="14"/>
      <c r="D166" s="15"/>
      <c r="E166" s="15"/>
      <c r="F166" s="15"/>
      <c r="G166" s="64"/>
      <c r="H166" s="17" t="str">
        <f t="shared" si="24"/>
        <v/>
      </c>
      <c r="I166" s="18"/>
      <c r="J166" s="61"/>
      <c r="K166" s="400"/>
      <c r="L166" s="420" t="str">
        <f t="shared" si="22"/>
        <v/>
      </c>
      <c r="M166" s="401" t="str">
        <f t="shared" si="23"/>
        <v/>
      </c>
    </row>
    <row r="167" spans="2:13" x14ac:dyDescent="0.25">
      <c r="B167" s="776"/>
      <c r="C167" s="14"/>
      <c r="D167" s="15"/>
      <c r="E167" s="15"/>
      <c r="F167" s="15"/>
      <c r="G167" s="64"/>
      <c r="H167" s="17" t="str">
        <f t="shared" si="24"/>
        <v/>
      </c>
      <c r="I167" s="18"/>
      <c r="J167" s="61"/>
      <c r="K167" s="399"/>
      <c r="L167" s="420" t="str">
        <f t="shared" si="22"/>
        <v/>
      </c>
      <c r="M167" s="401" t="str">
        <f t="shared" si="23"/>
        <v/>
      </c>
    </row>
    <row r="168" spans="2:13" x14ac:dyDescent="0.25">
      <c r="B168" s="776"/>
      <c r="C168" s="14"/>
      <c r="D168" s="15"/>
      <c r="E168" s="15"/>
      <c r="F168" s="15"/>
      <c r="G168" s="64"/>
      <c r="H168" s="17" t="str">
        <f t="shared" si="24"/>
        <v/>
      </c>
      <c r="I168" s="18"/>
      <c r="J168" s="61"/>
      <c r="K168" s="399"/>
      <c r="L168" s="420" t="str">
        <f t="shared" si="22"/>
        <v/>
      </c>
      <c r="M168" s="401" t="str">
        <f t="shared" si="23"/>
        <v/>
      </c>
    </row>
    <row r="169" spans="2:13" x14ac:dyDescent="0.25">
      <c r="B169" s="776"/>
      <c r="C169" s="14"/>
      <c r="D169" s="15"/>
      <c r="E169" s="15"/>
      <c r="F169" s="15"/>
      <c r="G169" s="64"/>
      <c r="H169" s="17" t="str">
        <f t="shared" si="24"/>
        <v/>
      </c>
      <c r="I169" s="18"/>
      <c r="J169" s="61"/>
      <c r="K169" s="399"/>
      <c r="L169" s="420" t="str">
        <f t="shared" si="22"/>
        <v/>
      </c>
      <c r="M169" s="401" t="str">
        <f t="shared" si="23"/>
        <v/>
      </c>
    </row>
    <row r="170" spans="2:13" x14ac:dyDescent="0.25">
      <c r="B170" s="776"/>
      <c r="C170" s="14"/>
      <c r="D170" s="15"/>
      <c r="E170" s="15"/>
      <c r="F170" s="15"/>
      <c r="G170" s="64"/>
      <c r="H170" s="17" t="str">
        <f t="shared" si="24"/>
        <v/>
      </c>
      <c r="I170" s="18"/>
      <c r="J170" s="61"/>
      <c r="K170" s="402"/>
      <c r="L170" s="420" t="str">
        <f t="shared" si="22"/>
        <v/>
      </c>
      <c r="M170" s="401" t="str">
        <f t="shared" si="23"/>
        <v/>
      </c>
    </row>
    <row r="171" spans="2:13" x14ac:dyDescent="0.25">
      <c r="B171" s="776"/>
      <c r="C171" s="14"/>
      <c r="D171" s="15"/>
      <c r="E171" s="15"/>
      <c r="F171" s="15"/>
      <c r="G171" s="64"/>
      <c r="H171" s="17" t="str">
        <f t="shared" si="24"/>
        <v/>
      </c>
      <c r="I171" s="18"/>
      <c r="J171" s="61"/>
      <c r="K171" s="402"/>
      <c r="L171" s="420" t="str">
        <f t="shared" si="22"/>
        <v/>
      </c>
      <c r="M171" s="401" t="str">
        <f t="shared" si="23"/>
        <v/>
      </c>
    </row>
    <row r="172" spans="2:13" x14ac:dyDescent="0.25">
      <c r="B172" s="776"/>
      <c r="C172" s="14"/>
      <c r="D172" s="15"/>
      <c r="E172" s="15"/>
      <c r="F172" s="15"/>
      <c r="G172" s="64"/>
      <c r="H172" s="17" t="str">
        <f t="shared" si="24"/>
        <v/>
      </c>
      <c r="I172" s="18"/>
      <c r="J172" s="61"/>
      <c r="K172" s="402"/>
      <c r="L172" s="420" t="str">
        <f t="shared" si="22"/>
        <v/>
      </c>
      <c r="M172" s="401" t="str">
        <f t="shared" si="23"/>
        <v/>
      </c>
    </row>
    <row r="173" spans="2:13" x14ac:dyDescent="0.25">
      <c r="B173" s="776"/>
      <c r="C173" s="14"/>
      <c r="D173" s="15"/>
      <c r="E173" s="15"/>
      <c r="F173" s="15"/>
      <c r="G173" s="64"/>
      <c r="H173" s="17" t="str">
        <f t="shared" si="24"/>
        <v/>
      </c>
      <c r="I173" s="18"/>
      <c r="J173" s="61"/>
      <c r="K173" s="402"/>
      <c r="L173" s="420" t="str">
        <f t="shared" si="22"/>
        <v/>
      </c>
      <c r="M173" s="401" t="str">
        <f t="shared" si="23"/>
        <v/>
      </c>
    </row>
    <row r="174" spans="2:13" x14ac:dyDescent="0.25">
      <c r="B174" s="776"/>
      <c r="C174" s="14"/>
      <c r="D174" s="15"/>
      <c r="E174" s="15"/>
      <c r="F174" s="15"/>
      <c r="G174" s="64"/>
      <c r="H174" s="17" t="str">
        <f t="shared" si="24"/>
        <v/>
      </c>
      <c r="I174" s="18"/>
      <c r="J174" s="61"/>
      <c r="K174" s="402"/>
      <c r="L174" s="420" t="str">
        <f t="shared" si="22"/>
        <v/>
      </c>
      <c r="M174" s="401" t="str">
        <f t="shared" si="23"/>
        <v/>
      </c>
    </row>
    <row r="175" spans="2:13" x14ac:dyDescent="0.25">
      <c r="B175" s="776"/>
      <c r="C175" s="14"/>
      <c r="D175" s="15"/>
      <c r="E175" s="15"/>
      <c r="F175" s="15"/>
      <c r="G175" s="64"/>
      <c r="H175" s="17" t="str">
        <f t="shared" si="24"/>
        <v/>
      </c>
      <c r="I175" s="18"/>
      <c r="J175" s="61"/>
      <c r="K175" s="402"/>
      <c r="L175" s="420" t="str">
        <f t="shared" si="22"/>
        <v/>
      </c>
      <c r="M175" s="401" t="str">
        <f t="shared" si="23"/>
        <v/>
      </c>
    </row>
    <row r="176" spans="2:13" x14ac:dyDescent="0.25">
      <c r="B176" s="776"/>
      <c r="C176" s="14"/>
      <c r="D176" s="15"/>
      <c r="E176" s="15"/>
      <c r="F176" s="15"/>
      <c r="G176" s="64"/>
      <c r="H176" s="17" t="str">
        <f t="shared" si="24"/>
        <v/>
      </c>
      <c r="I176" s="18"/>
      <c r="J176" s="61"/>
      <c r="K176" s="399"/>
      <c r="L176" s="420" t="str">
        <f t="shared" si="22"/>
        <v/>
      </c>
      <c r="M176" s="401" t="str">
        <f t="shared" si="23"/>
        <v/>
      </c>
    </row>
    <row r="177" spans="2:13" x14ac:dyDescent="0.25">
      <c r="B177" s="776"/>
      <c r="C177" s="14"/>
      <c r="D177" s="15"/>
      <c r="E177" s="15"/>
      <c r="F177" s="15"/>
      <c r="G177" s="425"/>
      <c r="H177" s="17" t="str">
        <f t="shared" si="24"/>
        <v/>
      </c>
      <c r="I177" s="18"/>
      <c r="J177" s="61"/>
      <c r="K177" s="399"/>
      <c r="L177" s="420" t="str">
        <f t="shared" si="22"/>
        <v/>
      </c>
      <c r="M177" s="401" t="str">
        <f t="shared" si="23"/>
        <v/>
      </c>
    </row>
    <row r="178" spans="2:13" x14ac:dyDescent="0.25">
      <c r="B178" s="776"/>
      <c r="C178" s="14"/>
      <c r="D178" s="15"/>
      <c r="E178" s="15"/>
      <c r="F178" s="15"/>
      <c r="G178" s="64"/>
      <c r="H178" s="17" t="str">
        <f t="shared" si="24"/>
        <v/>
      </c>
      <c r="I178" s="18"/>
      <c r="J178" s="61"/>
      <c r="K178" s="400"/>
      <c r="L178" s="420" t="str">
        <f t="shared" si="22"/>
        <v/>
      </c>
      <c r="M178" s="401" t="str">
        <f t="shared" si="23"/>
        <v/>
      </c>
    </row>
    <row r="179" spans="2:13" x14ac:dyDescent="0.25">
      <c r="B179" s="776"/>
      <c r="C179" s="14"/>
      <c r="D179" s="15"/>
      <c r="E179" s="15"/>
      <c r="F179" s="15"/>
      <c r="G179" s="64"/>
      <c r="H179" s="17" t="str">
        <f t="shared" si="24"/>
        <v/>
      </c>
      <c r="I179" s="18"/>
      <c r="J179" s="61"/>
      <c r="K179" s="399"/>
      <c r="L179" s="420" t="str">
        <f t="shared" si="22"/>
        <v/>
      </c>
      <c r="M179" s="401" t="str">
        <f t="shared" si="23"/>
        <v/>
      </c>
    </row>
    <row r="180" spans="2:13" x14ac:dyDescent="0.25">
      <c r="B180" s="776"/>
      <c r="C180" s="14"/>
      <c r="D180" s="15"/>
      <c r="E180" s="15"/>
      <c r="F180" s="15"/>
      <c r="G180" s="64"/>
      <c r="H180" s="17" t="str">
        <f t="shared" si="24"/>
        <v/>
      </c>
      <c r="I180" s="18"/>
      <c r="J180" s="61"/>
      <c r="K180" s="399"/>
      <c r="L180" s="420" t="str">
        <f t="shared" si="22"/>
        <v/>
      </c>
      <c r="M180" s="401" t="str">
        <f t="shared" si="23"/>
        <v/>
      </c>
    </row>
    <row r="181" spans="2:13" x14ac:dyDescent="0.25">
      <c r="B181" s="776"/>
      <c r="C181" s="14"/>
      <c r="D181" s="15"/>
      <c r="E181" s="15"/>
      <c r="F181" s="15"/>
      <c r="G181" s="64"/>
      <c r="H181" s="17" t="str">
        <f t="shared" si="24"/>
        <v/>
      </c>
      <c r="I181" s="18"/>
      <c r="J181" s="61"/>
      <c r="K181" s="399"/>
      <c r="L181" s="420" t="str">
        <f t="shared" si="22"/>
        <v/>
      </c>
      <c r="M181" s="401" t="str">
        <f t="shared" si="23"/>
        <v/>
      </c>
    </row>
    <row r="182" spans="2:13" x14ac:dyDescent="0.25">
      <c r="B182" s="776"/>
      <c r="C182" s="14"/>
      <c r="D182" s="15"/>
      <c r="E182" s="15"/>
      <c r="F182" s="15"/>
      <c r="G182" s="64"/>
      <c r="H182" s="17" t="str">
        <f t="shared" si="24"/>
        <v/>
      </c>
      <c r="I182" s="18"/>
      <c r="J182" s="61"/>
      <c r="K182" s="399"/>
      <c r="L182" s="420" t="str">
        <f t="shared" si="22"/>
        <v/>
      </c>
      <c r="M182" s="401" t="str">
        <f t="shared" si="23"/>
        <v/>
      </c>
    </row>
    <row r="183" spans="2:13" x14ac:dyDescent="0.25">
      <c r="B183" s="776"/>
      <c r="C183" s="14"/>
      <c r="D183" s="15"/>
      <c r="E183" s="15"/>
      <c r="F183" s="15"/>
      <c r="G183" s="64"/>
      <c r="H183" s="17" t="str">
        <f t="shared" si="24"/>
        <v/>
      </c>
      <c r="I183" s="18"/>
      <c r="J183" s="61"/>
      <c r="K183" s="399"/>
      <c r="L183" s="420" t="str">
        <f t="shared" si="22"/>
        <v/>
      </c>
      <c r="M183" s="401" t="str">
        <f t="shared" si="23"/>
        <v/>
      </c>
    </row>
    <row r="184" spans="2:13" x14ac:dyDescent="0.25">
      <c r="B184" s="776"/>
      <c r="C184" s="14"/>
      <c r="D184" s="15"/>
      <c r="E184" s="15"/>
      <c r="F184" s="15"/>
      <c r="G184" s="64"/>
      <c r="H184" s="17" t="str">
        <f t="shared" si="24"/>
        <v/>
      </c>
      <c r="I184" s="18"/>
      <c r="J184" s="61"/>
      <c r="K184" s="400"/>
      <c r="L184" s="420" t="str">
        <f t="shared" si="22"/>
        <v/>
      </c>
      <c r="M184" s="401" t="str">
        <f t="shared" si="23"/>
        <v/>
      </c>
    </row>
    <row r="185" spans="2:13" x14ac:dyDescent="0.25">
      <c r="B185" s="776"/>
      <c r="C185" s="14"/>
      <c r="D185" s="15"/>
      <c r="E185" s="15"/>
      <c r="F185" s="15"/>
      <c r="G185" s="64"/>
      <c r="H185" s="17" t="str">
        <f t="shared" si="24"/>
        <v/>
      </c>
      <c r="I185" s="18"/>
      <c r="J185" s="61"/>
      <c r="K185" s="399"/>
      <c r="L185" s="420" t="str">
        <f t="shared" si="22"/>
        <v/>
      </c>
      <c r="M185" s="401" t="str">
        <f t="shared" si="23"/>
        <v/>
      </c>
    </row>
    <row r="186" spans="2:13" x14ac:dyDescent="0.25">
      <c r="B186" s="776"/>
      <c r="C186" s="14"/>
      <c r="D186" s="15"/>
      <c r="E186" s="15"/>
      <c r="F186" s="15"/>
      <c r="G186" s="64"/>
      <c r="H186" s="17"/>
      <c r="I186" s="18"/>
      <c r="J186" s="61"/>
      <c r="K186" s="399"/>
      <c r="L186" s="420" t="str">
        <f t="shared" si="22"/>
        <v/>
      </c>
      <c r="M186" s="401" t="str">
        <f t="shared" si="23"/>
        <v/>
      </c>
    </row>
    <row r="187" spans="2:13" x14ac:dyDescent="0.25">
      <c r="B187" s="774"/>
      <c r="C187" s="234"/>
      <c r="D187" s="15"/>
      <c r="E187" s="15"/>
      <c r="F187" s="15"/>
      <c r="G187" s="64"/>
      <c r="H187" s="17"/>
      <c r="I187" s="18"/>
      <c r="J187" s="61"/>
      <c r="K187" s="399"/>
      <c r="L187" s="420" t="str">
        <f t="shared" si="22"/>
        <v/>
      </c>
      <c r="M187" s="401" t="str">
        <f t="shared" si="23"/>
        <v/>
      </c>
    </row>
    <row r="188" spans="2:13" x14ac:dyDescent="0.25">
      <c r="B188" s="776"/>
      <c r="C188" s="14"/>
      <c r="D188" s="15"/>
      <c r="E188" s="15"/>
      <c r="F188" s="15"/>
      <c r="G188" s="64"/>
      <c r="H188" s="17"/>
      <c r="I188" s="18"/>
      <c r="J188" s="61"/>
      <c r="K188" s="399"/>
      <c r="L188" s="420" t="str">
        <f t="shared" si="22"/>
        <v/>
      </c>
      <c r="M188" s="401" t="str">
        <f t="shared" si="23"/>
        <v/>
      </c>
    </row>
    <row r="189" spans="2:13" x14ac:dyDescent="0.25">
      <c r="B189" s="774"/>
      <c r="C189" s="234"/>
      <c r="D189" s="15"/>
      <c r="E189" s="15"/>
      <c r="F189" s="15"/>
      <c r="G189" s="64"/>
      <c r="H189" s="17" t="str">
        <f t="shared" ref="H189" si="25">IF(D189="","",F189*G189)</f>
        <v/>
      </c>
      <c r="I189" s="18"/>
      <c r="J189" s="61"/>
      <c r="K189" s="399"/>
      <c r="L189" s="420" t="str">
        <f t="shared" si="22"/>
        <v/>
      </c>
      <c r="M189" s="401" t="str">
        <f t="shared" si="23"/>
        <v/>
      </c>
    </row>
    <row r="190" spans="2:13" x14ac:dyDescent="0.25">
      <c r="B190" s="776"/>
      <c r="C190" s="14"/>
      <c r="D190" s="15"/>
      <c r="E190" s="15"/>
      <c r="F190" s="15"/>
      <c r="G190" s="64"/>
      <c r="H190" s="17"/>
      <c r="I190" s="18"/>
      <c r="J190" s="61"/>
      <c r="K190" s="399"/>
      <c r="L190" s="420" t="str">
        <f t="shared" si="22"/>
        <v/>
      </c>
      <c r="M190" s="401" t="str">
        <f t="shared" si="23"/>
        <v/>
      </c>
    </row>
    <row r="191" spans="2:13" x14ac:dyDescent="0.25">
      <c r="B191" s="774"/>
      <c r="C191" s="235"/>
      <c r="D191" s="15"/>
      <c r="E191" s="15"/>
      <c r="F191" s="15"/>
      <c r="G191" s="425"/>
      <c r="H191" s="17" t="str">
        <f t="shared" ref="H191" si="26">IF(D191="","",F191*G191)</f>
        <v/>
      </c>
      <c r="I191" s="18"/>
      <c r="J191" s="61"/>
      <c r="K191" s="399"/>
      <c r="L191" s="420" t="str">
        <f t="shared" si="22"/>
        <v/>
      </c>
      <c r="M191" s="401" t="str">
        <f t="shared" si="23"/>
        <v/>
      </c>
    </row>
    <row r="192" spans="2:13" x14ac:dyDescent="0.25">
      <c r="B192" s="776"/>
      <c r="C192" s="14"/>
      <c r="D192" s="15"/>
      <c r="E192" s="15"/>
      <c r="F192" s="15"/>
      <c r="G192" s="64"/>
      <c r="H192" s="17"/>
      <c r="I192" s="18"/>
      <c r="J192" s="61"/>
      <c r="K192" s="399"/>
      <c r="L192" s="420" t="str">
        <f t="shared" si="22"/>
        <v/>
      </c>
      <c r="M192" s="401" t="str">
        <f t="shared" si="23"/>
        <v/>
      </c>
    </row>
    <row r="193" spans="2:13" x14ac:dyDescent="0.25">
      <c r="B193" s="776"/>
      <c r="C193" s="14"/>
      <c r="D193" s="15"/>
      <c r="E193" s="15"/>
      <c r="F193" s="15"/>
      <c r="G193" s="64"/>
      <c r="H193" s="17"/>
      <c r="I193" s="18"/>
      <c r="J193" s="61"/>
      <c r="K193" s="399"/>
      <c r="L193" s="420" t="str">
        <f t="shared" si="22"/>
        <v/>
      </c>
      <c r="M193" s="401" t="str">
        <f t="shared" si="23"/>
        <v/>
      </c>
    </row>
    <row r="194" spans="2:13" x14ac:dyDescent="0.25">
      <c r="B194" s="776"/>
      <c r="C194" s="14"/>
      <c r="D194" s="15"/>
      <c r="E194" s="15"/>
      <c r="F194" s="15"/>
      <c r="G194" s="64"/>
      <c r="H194" s="17"/>
      <c r="I194" s="18"/>
      <c r="J194" s="61"/>
      <c r="K194" s="399"/>
      <c r="L194" s="420" t="str">
        <f t="shared" si="22"/>
        <v/>
      </c>
      <c r="M194" s="401" t="str">
        <f t="shared" ref="M194:M219" si="27">IF(J194="","",IF(SUM(H194)=0,"",L194/H194))</f>
        <v/>
      </c>
    </row>
    <row r="195" spans="2:13" x14ac:dyDescent="0.25">
      <c r="B195" s="776"/>
      <c r="C195" s="14"/>
      <c r="D195" s="15"/>
      <c r="E195" s="15"/>
      <c r="F195" s="15"/>
      <c r="G195" s="64"/>
      <c r="H195" s="17"/>
      <c r="I195" s="18"/>
      <c r="J195" s="61"/>
      <c r="K195" s="399"/>
      <c r="L195" s="420" t="str">
        <f t="shared" si="22"/>
        <v/>
      </c>
      <c r="M195" s="401" t="str">
        <f t="shared" si="27"/>
        <v/>
      </c>
    </row>
    <row r="196" spans="2:13" x14ac:dyDescent="0.25">
      <c r="B196" s="776"/>
      <c r="C196" s="14"/>
      <c r="D196" s="15"/>
      <c r="E196" s="15"/>
      <c r="F196" s="15"/>
      <c r="G196" s="64"/>
      <c r="H196" s="17"/>
      <c r="I196" s="18"/>
      <c r="J196" s="61"/>
      <c r="K196" s="402"/>
      <c r="L196" s="420" t="str">
        <f t="shared" si="22"/>
        <v/>
      </c>
      <c r="M196" s="401" t="str">
        <f t="shared" si="27"/>
        <v/>
      </c>
    </row>
    <row r="197" spans="2:13" x14ac:dyDescent="0.25">
      <c r="B197" s="776"/>
      <c r="C197" s="14"/>
      <c r="D197" s="15"/>
      <c r="E197" s="15"/>
      <c r="F197" s="15"/>
      <c r="G197" s="64"/>
      <c r="H197" s="17"/>
      <c r="I197" s="18"/>
      <c r="J197" s="61"/>
      <c r="K197" s="399"/>
      <c r="L197" s="420" t="str">
        <f t="shared" si="22"/>
        <v/>
      </c>
      <c r="M197" s="401" t="str">
        <f t="shared" si="27"/>
        <v/>
      </c>
    </row>
    <row r="198" spans="2:13" x14ac:dyDescent="0.25">
      <c r="B198" s="776"/>
      <c r="C198" s="14"/>
      <c r="D198" s="15"/>
      <c r="E198" s="15"/>
      <c r="F198" s="15"/>
      <c r="G198" s="64"/>
      <c r="H198" s="17"/>
      <c r="I198" s="18"/>
      <c r="J198" s="61"/>
      <c r="K198" s="402"/>
      <c r="L198" s="420" t="str">
        <f t="shared" si="22"/>
        <v/>
      </c>
      <c r="M198" s="401" t="str">
        <f t="shared" si="27"/>
        <v/>
      </c>
    </row>
    <row r="199" spans="2:13" x14ac:dyDescent="0.25">
      <c r="B199" s="776"/>
      <c r="C199" s="14"/>
      <c r="D199" s="15"/>
      <c r="E199" s="15"/>
      <c r="F199" s="15"/>
      <c r="G199" s="64"/>
      <c r="H199" s="17"/>
      <c r="I199" s="18"/>
      <c r="J199" s="62"/>
      <c r="K199" s="62"/>
      <c r="L199" s="420" t="str">
        <f t="shared" ref="L199" si="28">IF(J199="","",F216*K199)</f>
        <v/>
      </c>
      <c r="M199" s="401" t="str">
        <f t="shared" si="27"/>
        <v/>
      </c>
    </row>
    <row r="200" spans="2:13" x14ac:dyDescent="0.25">
      <c r="B200" s="776"/>
      <c r="C200" s="14"/>
      <c r="D200" s="15"/>
      <c r="E200" s="15"/>
      <c r="F200" s="15"/>
      <c r="G200" s="64"/>
      <c r="H200" s="17"/>
      <c r="I200" s="18"/>
      <c r="J200" s="62"/>
      <c r="K200" s="62"/>
      <c r="L200" s="420" t="str">
        <f>IF(J200="","",#REF!*K200)</f>
        <v/>
      </c>
      <c r="M200" s="401" t="str">
        <f t="shared" si="27"/>
        <v/>
      </c>
    </row>
    <row r="201" spans="2:13" x14ac:dyDescent="0.25">
      <c r="B201" s="776"/>
      <c r="C201" s="14"/>
      <c r="D201" s="15"/>
      <c r="E201" s="15"/>
      <c r="F201" s="15"/>
      <c r="G201" s="64"/>
      <c r="H201" s="17"/>
      <c r="I201" s="18"/>
      <c r="J201" s="62"/>
      <c r="K201" s="62"/>
      <c r="L201" s="420" t="str">
        <f>IF(J201="","",#REF!*K201)</f>
        <v/>
      </c>
      <c r="M201" s="401" t="str">
        <f t="shared" si="27"/>
        <v/>
      </c>
    </row>
    <row r="202" spans="2:13" x14ac:dyDescent="0.25">
      <c r="B202" s="776"/>
      <c r="C202" s="14"/>
      <c r="D202" s="15"/>
      <c r="E202" s="15"/>
      <c r="F202" s="15"/>
      <c r="G202" s="64"/>
      <c r="H202" s="17"/>
      <c r="I202" s="18"/>
      <c r="J202" s="62"/>
      <c r="K202" s="62"/>
      <c r="L202" s="420" t="str">
        <f>IF(J202="","",#REF!*K202)</f>
        <v/>
      </c>
      <c r="M202" s="401" t="str">
        <f t="shared" si="27"/>
        <v/>
      </c>
    </row>
    <row r="203" spans="2:13" x14ac:dyDescent="0.25">
      <c r="B203" s="776"/>
      <c r="C203" s="14"/>
      <c r="D203" s="15"/>
      <c r="E203" s="15"/>
      <c r="F203" s="15"/>
      <c r="G203" s="64"/>
      <c r="H203" s="17"/>
      <c r="I203" s="18"/>
      <c r="J203" s="62"/>
      <c r="K203" s="62"/>
      <c r="L203" s="420" t="str">
        <f t="shared" ref="L203:L216" si="29">IF(J203="","",F217*K203)</f>
        <v/>
      </c>
      <c r="M203" s="401" t="str">
        <f t="shared" si="27"/>
        <v/>
      </c>
    </row>
    <row r="204" spans="2:13" x14ac:dyDescent="0.25">
      <c r="B204" s="776"/>
      <c r="C204" s="14"/>
      <c r="D204" s="15"/>
      <c r="E204" s="15"/>
      <c r="F204" s="15"/>
      <c r="G204" s="64"/>
      <c r="H204" s="17"/>
      <c r="I204" s="18"/>
      <c r="J204" s="62"/>
      <c r="K204" s="62"/>
      <c r="L204" s="420" t="str">
        <f t="shared" si="29"/>
        <v/>
      </c>
      <c r="M204" s="401" t="str">
        <f t="shared" si="27"/>
        <v/>
      </c>
    </row>
    <row r="205" spans="2:13" x14ac:dyDescent="0.25">
      <c r="B205" s="776"/>
      <c r="C205" s="14"/>
      <c r="D205" s="15"/>
      <c r="E205" s="15"/>
      <c r="F205" s="15"/>
      <c r="G205" s="64"/>
      <c r="H205" s="17"/>
      <c r="I205" s="18"/>
      <c r="J205" s="62"/>
      <c r="K205" s="62"/>
      <c r="L205" s="420" t="str">
        <f t="shared" si="29"/>
        <v/>
      </c>
      <c r="M205" s="401" t="str">
        <f t="shared" si="27"/>
        <v/>
      </c>
    </row>
    <row r="206" spans="2:13" x14ac:dyDescent="0.25">
      <c r="B206" s="776"/>
      <c r="C206" s="14"/>
      <c r="D206" s="15"/>
      <c r="E206" s="15"/>
      <c r="F206" s="15"/>
      <c r="G206" s="64"/>
      <c r="H206" s="17"/>
      <c r="I206" s="18"/>
      <c r="J206" s="62"/>
      <c r="K206" s="62"/>
      <c r="L206" s="420" t="str">
        <f t="shared" si="29"/>
        <v/>
      </c>
      <c r="M206" s="401" t="str">
        <f t="shared" si="27"/>
        <v/>
      </c>
    </row>
    <row r="207" spans="2:13" x14ac:dyDescent="0.25">
      <c r="B207" s="776"/>
      <c r="C207" s="14"/>
      <c r="D207" s="15"/>
      <c r="E207" s="15"/>
      <c r="F207" s="15"/>
      <c r="G207" s="64"/>
      <c r="H207" s="17"/>
      <c r="I207" s="18"/>
      <c r="J207" s="62"/>
      <c r="K207" s="62"/>
      <c r="L207" s="420" t="str">
        <f t="shared" si="29"/>
        <v/>
      </c>
      <c r="M207" s="401" t="str">
        <f t="shared" si="27"/>
        <v/>
      </c>
    </row>
    <row r="208" spans="2:13" x14ac:dyDescent="0.25">
      <c r="B208" s="776"/>
      <c r="C208" s="14"/>
      <c r="D208" s="15"/>
      <c r="E208" s="15"/>
      <c r="F208" s="15"/>
      <c r="G208" s="64"/>
      <c r="H208" s="17"/>
      <c r="I208" s="18"/>
      <c r="J208" s="62"/>
      <c r="K208" s="62"/>
      <c r="L208" s="420" t="str">
        <f t="shared" si="29"/>
        <v/>
      </c>
      <c r="M208" s="401" t="str">
        <f t="shared" si="27"/>
        <v/>
      </c>
    </row>
    <row r="209" spans="2:13" x14ac:dyDescent="0.25">
      <c r="B209" s="776"/>
      <c r="C209" s="14"/>
      <c r="D209" s="15"/>
      <c r="E209" s="15"/>
      <c r="F209" s="15"/>
      <c r="G209" s="64"/>
      <c r="H209" s="17"/>
      <c r="I209" s="18"/>
      <c r="J209" s="62"/>
      <c r="K209" s="62"/>
      <c r="L209" s="420" t="str">
        <f t="shared" si="29"/>
        <v/>
      </c>
      <c r="M209" s="401" t="str">
        <f t="shared" si="27"/>
        <v/>
      </c>
    </row>
    <row r="210" spans="2:13" x14ac:dyDescent="0.25">
      <c r="B210" s="776"/>
      <c r="C210" s="14"/>
      <c r="D210" s="15"/>
      <c r="E210" s="15"/>
      <c r="F210" s="15"/>
      <c r="G210" s="64"/>
      <c r="H210" s="17"/>
      <c r="I210" s="18"/>
      <c r="J210" s="62"/>
      <c r="K210" s="62"/>
      <c r="L210" s="420" t="str">
        <f t="shared" si="29"/>
        <v/>
      </c>
      <c r="M210" s="401" t="str">
        <f t="shared" si="27"/>
        <v/>
      </c>
    </row>
    <row r="211" spans="2:13" x14ac:dyDescent="0.25">
      <c r="B211" s="776"/>
      <c r="C211" s="14"/>
      <c r="D211" s="15"/>
      <c r="E211" s="15"/>
      <c r="F211" s="15"/>
      <c r="G211" s="64"/>
      <c r="H211" s="17"/>
      <c r="I211" s="18"/>
      <c r="J211" s="61"/>
      <c r="K211" s="62"/>
      <c r="L211" s="420" t="str">
        <f t="shared" si="29"/>
        <v/>
      </c>
      <c r="M211" s="401" t="str">
        <f t="shared" si="27"/>
        <v/>
      </c>
    </row>
    <row r="212" spans="2:13" x14ac:dyDescent="0.25">
      <c r="B212" s="776"/>
      <c r="C212" s="14"/>
      <c r="D212" s="15"/>
      <c r="E212" s="15"/>
      <c r="F212" s="15"/>
      <c r="G212" s="64"/>
      <c r="H212" s="17"/>
      <c r="I212" s="18"/>
      <c r="J212" s="62"/>
      <c r="K212" s="62"/>
      <c r="L212" s="420" t="str">
        <f t="shared" si="29"/>
        <v/>
      </c>
      <c r="M212" s="401" t="str">
        <f t="shared" si="27"/>
        <v/>
      </c>
    </row>
    <row r="213" spans="2:13" x14ac:dyDescent="0.25">
      <c r="B213" s="776"/>
      <c r="C213" s="14"/>
      <c r="D213" s="15"/>
      <c r="E213" s="15"/>
      <c r="F213" s="15"/>
      <c r="G213" s="64"/>
      <c r="H213" s="17"/>
      <c r="I213" s="18"/>
      <c r="J213" s="62"/>
      <c r="K213" s="62"/>
      <c r="L213" s="420" t="str">
        <f t="shared" si="29"/>
        <v/>
      </c>
      <c r="M213" s="401" t="str">
        <f t="shared" si="27"/>
        <v/>
      </c>
    </row>
    <row r="214" spans="2:13" x14ac:dyDescent="0.25">
      <c r="B214" s="776"/>
      <c r="C214" s="14"/>
      <c r="D214" s="15"/>
      <c r="E214" s="15"/>
      <c r="F214" s="15"/>
      <c r="G214" s="64"/>
      <c r="H214" s="17"/>
      <c r="I214" s="18"/>
      <c r="J214" s="62"/>
      <c r="K214" s="62"/>
      <c r="L214" s="420" t="str">
        <f t="shared" si="29"/>
        <v/>
      </c>
      <c r="M214" s="401" t="str">
        <f t="shared" si="27"/>
        <v/>
      </c>
    </row>
    <row r="215" spans="2:13" x14ac:dyDescent="0.25">
      <c r="B215" s="776"/>
      <c r="C215" s="14"/>
      <c r="D215" s="15"/>
      <c r="E215" s="15"/>
      <c r="F215" s="15"/>
      <c r="G215" s="64"/>
      <c r="H215" s="17"/>
      <c r="I215" s="18"/>
      <c r="J215" s="62"/>
      <c r="K215" s="62"/>
      <c r="L215" s="420" t="str">
        <f t="shared" si="29"/>
        <v/>
      </c>
      <c r="M215" s="401" t="str">
        <f t="shared" si="27"/>
        <v/>
      </c>
    </row>
    <row r="216" spans="2:13" x14ac:dyDescent="0.25">
      <c r="B216" s="776"/>
      <c r="C216" s="14"/>
      <c r="D216" s="15"/>
      <c r="E216" s="15"/>
      <c r="F216" s="15"/>
      <c r="G216" s="64"/>
      <c r="H216" s="17"/>
      <c r="I216" s="18"/>
      <c r="J216" s="62"/>
      <c r="K216" s="62"/>
      <c r="L216" s="420" t="str">
        <f t="shared" si="29"/>
        <v/>
      </c>
      <c r="M216" s="401" t="str">
        <f t="shared" si="27"/>
        <v/>
      </c>
    </row>
    <row r="217" spans="2:13" x14ac:dyDescent="0.25">
      <c r="B217" s="776"/>
      <c r="C217" s="14"/>
      <c r="D217" s="15"/>
      <c r="E217" s="15"/>
      <c r="F217" s="15"/>
      <c r="G217" s="64"/>
      <c r="H217" s="17"/>
      <c r="I217" s="18"/>
      <c r="J217" s="61"/>
      <c r="K217" s="62"/>
      <c r="L217" s="420" t="str">
        <f>IF(J217="","",F241*K217)</f>
        <v/>
      </c>
      <c r="M217" s="401" t="str">
        <f t="shared" si="27"/>
        <v/>
      </c>
    </row>
    <row r="218" spans="2:13" x14ac:dyDescent="0.25">
      <c r="B218" s="776"/>
      <c r="C218" s="14"/>
      <c r="D218" s="15"/>
      <c r="E218" s="15"/>
      <c r="F218" s="15"/>
      <c r="G218" s="64"/>
      <c r="H218" s="17"/>
      <c r="I218" s="18"/>
      <c r="J218" s="61"/>
      <c r="K218" s="695"/>
      <c r="L218" s="420" t="str">
        <f>IF(J218="","",F242*K218)</f>
        <v/>
      </c>
      <c r="M218" s="401" t="str">
        <f t="shared" si="27"/>
        <v/>
      </c>
    </row>
    <row r="219" spans="2:13" x14ac:dyDescent="0.25">
      <c r="B219" s="776"/>
      <c r="C219" s="14"/>
      <c r="D219" s="15"/>
      <c r="E219" s="15"/>
      <c r="F219" s="15"/>
      <c r="G219" s="64"/>
      <c r="H219" s="17" t="str">
        <f>IF(D219="","",F219*G219)</f>
        <v/>
      </c>
      <c r="I219" s="18"/>
      <c r="J219" s="61"/>
      <c r="K219" s="696"/>
      <c r="L219" s="420" t="str">
        <f>IF(J219="","",F227*K219)</f>
        <v/>
      </c>
      <c r="M219" s="401" t="str">
        <f t="shared" si="27"/>
        <v/>
      </c>
    </row>
    <row r="220" spans="2:13" s="28" customFormat="1" ht="25" customHeight="1" x14ac:dyDescent="0.25">
      <c r="B220" s="29" t="str">
        <f>B12</f>
        <v>C1.2</v>
      </c>
      <c r="C220" s="30" t="str">
        <f>"TOTAL CARRIED FORWARD"&amp;IF(H220=H$1," TO SUMMARY","")</f>
        <v>TOTAL CARRIED FORWARD TO SUMMARY</v>
      </c>
      <c r="D220" s="31"/>
      <c r="E220" s="31"/>
      <c r="F220" s="32"/>
      <c r="G220" s="31"/>
      <c r="H220" s="33">
        <f>SUM(H161:H219)</f>
        <v>329220</v>
      </c>
      <c r="I220" s="34"/>
      <c r="J220" s="408"/>
      <c r="K220" s="406"/>
      <c r="L220" s="418">
        <f>SUM(L161:L219)</f>
        <v>8730</v>
      </c>
      <c r="M220" s="407" t="str">
        <f>IF(F215="","",IF(SUM(I215)=0,"",L220/I205))</f>
        <v/>
      </c>
    </row>
  </sheetData>
  <mergeCells count="21">
    <mergeCell ref="B153:D153"/>
    <mergeCell ref="F153:H155"/>
    <mergeCell ref="B154:D154"/>
    <mergeCell ref="B155:D155"/>
    <mergeCell ref="B156:G156"/>
    <mergeCell ref="H156:H159"/>
    <mergeCell ref="B157:G159"/>
    <mergeCell ref="B78:D78"/>
    <mergeCell ref="F78:H80"/>
    <mergeCell ref="B79:D79"/>
    <mergeCell ref="B80:D80"/>
    <mergeCell ref="B81:G81"/>
    <mergeCell ref="H81:H84"/>
    <mergeCell ref="B82:G84"/>
    <mergeCell ref="B3:D3"/>
    <mergeCell ref="F3:H5"/>
    <mergeCell ref="B4:D4"/>
    <mergeCell ref="B5:D5"/>
    <mergeCell ref="B6:G6"/>
    <mergeCell ref="H6:H9"/>
    <mergeCell ref="B7:G9"/>
  </mergeCells>
  <conditionalFormatting sqref="G11:H77 G86:H152 G161:H220">
    <cfRule type="expression" dxfId="33" priority="1">
      <formula>_Show_Price=FALSE</formula>
    </cfRule>
  </conditionalFormatting>
  <pageMargins left="0.43307086614173229" right="0.31496062992125984" top="0.43307086614173229" bottom="0.62992125984251968" header="0.35433070866141736" footer="0.31496062992125984"/>
  <pageSetup paperSize="9" scale="77" firstPageNumber="237" fitToHeight="0" orientation="portrait" cellComments="asDisplayed" useFirstPageNumber="1"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2" manualBreakCount="2">
    <brk id="77" max="7" man="1"/>
    <brk id="15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0">
    <tabColor rgb="FFFFFF00"/>
  </sheetPr>
  <dimension ref="A1:R78"/>
  <sheetViews>
    <sheetView view="pageBreakPreview" topLeftCell="A7"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2.81640625" style="1" customWidth="1"/>
    <col min="12" max="12" width="14.1796875" style="1" customWidth="1"/>
    <col min="13" max="14" width="14.7265625" style="1" customWidth="1"/>
    <col min="15" max="16384" width="6.81640625" style="1"/>
  </cols>
  <sheetData>
    <row r="1" spans="1:18" s="242" customFormat="1" ht="11.5" x14ac:dyDescent="0.25">
      <c r="B1" s="243"/>
      <c r="C1" s="244" t="s">
        <v>993</v>
      </c>
      <c r="D1" s="245"/>
      <c r="E1" s="245"/>
      <c r="F1" s="246" t="s">
        <v>994</v>
      </c>
      <c r="G1" s="244">
        <v>1</v>
      </c>
      <c r="H1" s="247">
        <f>MAX(H2:H78)</f>
        <v>839375</v>
      </c>
      <c r="I1" s="247">
        <f>MAX(I2:I212)</f>
        <v>0</v>
      </c>
      <c r="J1" s="248"/>
      <c r="K1" s="247">
        <f>MAX(K2:K78)</f>
        <v>0</v>
      </c>
      <c r="L1" s="249">
        <f>MAX(L2:L212)</f>
        <v>0</v>
      </c>
      <c r="M1" s="249"/>
      <c r="N1" s="250"/>
      <c r="O1" s="256"/>
      <c r="P1" s="257" t="s">
        <v>1001</v>
      </c>
      <c r="Q1" s="255">
        <f>K1</f>
        <v>0</v>
      </c>
      <c r="R1" s="256"/>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18" ht="13" x14ac:dyDescent="0.25">
      <c r="B3" s="2" t="str">
        <f>Client1</f>
        <v>Province of KwaZulu-Natal</v>
      </c>
      <c r="F3" s="1124" t="str">
        <f>"Contract No. "&amp;ContractNo</f>
        <v>Contract No. ZNB 00399/00000/HOD/INF/21/T</v>
      </c>
      <c r="G3" s="1124"/>
      <c r="H3" s="1124"/>
    </row>
    <row r="4" spans="1:18" ht="13" x14ac:dyDescent="0.25">
      <c r="B4" s="87" t="str">
        <f>Client2</f>
        <v>Department of Transport</v>
      </c>
    </row>
    <row r="5" spans="1:18" x14ac:dyDescent="0.25">
      <c r="B5" s="77"/>
      <c r="C5" s="77"/>
      <c r="D5" s="78"/>
      <c r="E5" s="78"/>
      <c r="F5" s="78"/>
      <c r="G5" s="79"/>
      <c r="H5" s="89"/>
    </row>
    <row r="6" spans="1:18" ht="13" x14ac:dyDescent="0.25">
      <c r="B6" s="1112" t="s">
        <v>8</v>
      </c>
      <c r="C6" s="1113"/>
      <c r="D6" s="1113"/>
      <c r="E6" s="1113"/>
      <c r="F6" s="1113"/>
      <c r="G6" s="1113"/>
      <c r="H6" s="1121" t="str">
        <f>"CHAPTER "&amp;B12</f>
        <v>CHAPTER C1.3</v>
      </c>
      <c r="I6" s="6"/>
    </row>
    <row r="7" spans="1:18"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8" ht="12.75" customHeight="1" x14ac:dyDescent="0.25">
      <c r="B8" s="1117"/>
      <c r="C8" s="1118"/>
      <c r="D8" s="1118"/>
      <c r="E8" s="1118"/>
      <c r="F8" s="1118"/>
      <c r="G8" s="1118"/>
      <c r="H8" s="1122"/>
      <c r="I8" s="8"/>
    </row>
    <row r="9" spans="1:18" ht="7.5" customHeight="1" x14ac:dyDescent="0.25">
      <c r="B9" s="1119"/>
      <c r="C9" s="1120"/>
      <c r="D9" s="1120"/>
      <c r="E9" s="1120"/>
      <c r="F9" s="1120"/>
      <c r="G9" s="1120"/>
      <c r="H9" s="1123"/>
      <c r="I9" s="8"/>
    </row>
    <row r="10" spans="1:18"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8" x14ac:dyDescent="0.25">
      <c r="B11" s="58"/>
      <c r="C11" s="14"/>
      <c r="D11" s="15"/>
      <c r="E11" s="15"/>
      <c r="F11" s="15"/>
      <c r="G11" s="411"/>
      <c r="H11" s="17" t="str">
        <f t="shared" ref="H11:H74" si="0">IF(D11="","",F11*G11)</f>
        <v/>
      </c>
      <c r="I11" s="18"/>
      <c r="J11" s="61"/>
      <c r="K11" s="399"/>
      <c r="L11" s="420" t="str">
        <f t="shared" ref="L11" si="1">IF(J11="","",F11*K11)</f>
        <v/>
      </c>
      <c r="M11" s="401" t="str">
        <f t="shared" ref="M11" si="2">IF(J11="","",IF(SUM(H11)=0,"",L11/H11))</f>
        <v/>
      </c>
    </row>
    <row r="12" spans="1:18" ht="26" x14ac:dyDescent="0.25">
      <c r="B12" s="146" t="s">
        <v>53</v>
      </c>
      <c r="C12" s="19" t="s">
        <v>54</v>
      </c>
      <c r="D12" s="15"/>
      <c r="E12" s="15"/>
      <c r="F12" s="15"/>
      <c r="G12" s="411"/>
      <c r="H12" s="17" t="str">
        <f t="shared" si="0"/>
        <v/>
      </c>
      <c r="I12" s="18"/>
      <c r="J12" s="61"/>
      <c r="K12" s="399"/>
      <c r="L12" s="420" t="str">
        <f t="shared" ref="L12:L75" si="3">IF(J12="","",F12*K12)</f>
        <v/>
      </c>
      <c r="M12" s="401" t="str">
        <f t="shared" ref="M12:M75" si="4">IF(J12="","",IF(SUM(H12)=0,"",L12/H12))</f>
        <v/>
      </c>
    </row>
    <row r="13" spans="1:18" x14ac:dyDescent="0.25">
      <c r="B13" s="58"/>
      <c r="C13" s="14"/>
      <c r="D13" s="15"/>
      <c r="E13" s="15"/>
      <c r="F13" s="15"/>
      <c r="G13" s="411"/>
      <c r="H13" s="17" t="str">
        <f t="shared" si="0"/>
        <v/>
      </c>
      <c r="I13" s="18"/>
      <c r="J13" s="61"/>
      <c r="K13" s="399"/>
      <c r="L13" s="420" t="str">
        <f t="shared" si="3"/>
        <v/>
      </c>
      <c r="M13" s="401" t="str">
        <f t="shared" si="4"/>
        <v/>
      </c>
    </row>
    <row r="14" spans="1:18" ht="13" x14ac:dyDescent="0.25">
      <c r="B14" s="146" t="s">
        <v>1864</v>
      </c>
      <c r="C14" s="19" t="s">
        <v>55</v>
      </c>
      <c r="D14" s="15"/>
      <c r="E14" s="15"/>
      <c r="F14" s="15"/>
      <c r="G14" s="411"/>
      <c r="H14" s="17" t="str">
        <f t="shared" si="0"/>
        <v/>
      </c>
      <c r="I14" s="18"/>
      <c r="J14" s="61"/>
      <c r="K14" s="399"/>
      <c r="L14" s="420" t="str">
        <f t="shared" si="3"/>
        <v/>
      </c>
      <c r="M14" s="401" t="str">
        <f t="shared" si="4"/>
        <v/>
      </c>
    </row>
    <row r="15" spans="1:18" x14ac:dyDescent="0.25">
      <c r="B15" s="58"/>
      <c r="C15" s="14"/>
      <c r="D15" s="15"/>
      <c r="E15" s="15"/>
      <c r="F15" s="15"/>
      <c r="G15" s="411"/>
      <c r="H15" s="17" t="str">
        <f t="shared" si="0"/>
        <v/>
      </c>
      <c r="I15" s="18"/>
      <c r="J15" s="61"/>
      <c r="K15" s="399"/>
      <c r="L15" s="420" t="str">
        <f t="shared" si="3"/>
        <v/>
      </c>
      <c r="M15" s="401" t="str">
        <f t="shared" si="4"/>
        <v/>
      </c>
    </row>
    <row r="16" spans="1:18" x14ac:dyDescent="0.25">
      <c r="B16" s="58" t="s">
        <v>56</v>
      </c>
      <c r="C16" s="14" t="s">
        <v>58</v>
      </c>
      <c r="D16" s="15" t="s">
        <v>11</v>
      </c>
      <c r="E16" s="15"/>
      <c r="F16" s="24">
        <v>1</v>
      </c>
      <c r="G16" s="422">
        <f>SUM('Chapter F'!$F$18:$F$26)*10000*1.5</f>
        <v>255000</v>
      </c>
      <c r="H16" s="17">
        <f t="shared" si="0"/>
        <v>255000</v>
      </c>
      <c r="I16" s="57"/>
      <c r="J16" s="61"/>
      <c r="K16" s="400"/>
      <c r="L16" s="420" t="str">
        <f t="shared" si="3"/>
        <v/>
      </c>
      <c r="M16" s="401" t="str">
        <f t="shared" si="4"/>
        <v/>
      </c>
    </row>
    <row r="17" spans="2:13" x14ac:dyDescent="0.25">
      <c r="B17" s="58"/>
      <c r="C17" s="14"/>
      <c r="D17" s="15"/>
      <c r="E17" s="15"/>
      <c r="F17" s="24"/>
      <c r="G17" s="422"/>
      <c r="H17" s="17" t="str">
        <f t="shared" si="0"/>
        <v/>
      </c>
      <c r="I17" s="57"/>
      <c r="J17" s="61"/>
      <c r="K17" s="399"/>
      <c r="L17" s="420" t="str">
        <f t="shared" si="3"/>
        <v/>
      </c>
      <c r="M17" s="401" t="str">
        <f t="shared" si="4"/>
        <v/>
      </c>
    </row>
    <row r="18" spans="2:13" x14ac:dyDescent="0.25">
      <c r="B18" s="58" t="s">
        <v>57</v>
      </c>
      <c r="C18" s="14" t="s">
        <v>59</v>
      </c>
      <c r="D18" s="15" t="s">
        <v>18</v>
      </c>
      <c r="E18" s="15"/>
      <c r="F18" s="24">
        <f>_ContractPeriod</f>
        <v>22</v>
      </c>
      <c r="G18" s="422">
        <f>(SUM('Chapter F'!F18:F28)*2.5*12500)/(_ContractPeriod-2)</f>
        <v>26562.5</v>
      </c>
      <c r="H18" s="17">
        <f t="shared" si="0"/>
        <v>584375</v>
      </c>
      <c r="I18" s="57"/>
      <c r="J18" s="61"/>
      <c r="K18" s="399"/>
      <c r="L18" s="420" t="str">
        <f t="shared" si="3"/>
        <v/>
      </c>
      <c r="M18" s="401" t="str">
        <f t="shared" si="4"/>
        <v/>
      </c>
    </row>
    <row r="19" spans="2:13" x14ac:dyDescent="0.25">
      <c r="B19" s="58"/>
      <c r="C19" s="14"/>
      <c r="D19" s="15"/>
      <c r="E19" s="15"/>
      <c r="F19" s="24"/>
      <c r="G19" s="411"/>
      <c r="H19" s="17" t="str">
        <f t="shared" si="0"/>
        <v/>
      </c>
      <c r="I19" s="57"/>
      <c r="J19" s="61"/>
      <c r="K19" s="399"/>
      <c r="L19" s="420" t="str">
        <f t="shared" si="3"/>
        <v/>
      </c>
      <c r="M19" s="401" t="str">
        <f t="shared" si="4"/>
        <v/>
      </c>
    </row>
    <row r="20" spans="2:13" x14ac:dyDescent="0.25">
      <c r="B20" s="58"/>
      <c r="C20" s="14"/>
      <c r="D20" s="15"/>
      <c r="E20" s="15"/>
      <c r="F20" s="24"/>
      <c r="G20" s="422"/>
      <c r="H20" s="17" t="str">
        <f t="shared" si="0"/>
        <v/>
      </c>
      <c r="I20" s="57"/>
      <c r="J20" s="61"/>
      <c r="K20" s="402"/>
      <c r="L20" s="420" t="str">
        <f t="shared" si="3"/>
        <v/>
      </c>
      <c r="M20" s="401" t="str">
        <f t="shared" si="4"/>
        <v/>
      </c>
    </row>
    <row r="21" spans="2:13" x14ac:dyDescent="0.25">
      <c r="B21" s="58"/>
      <c r="C21" s="14"/>
      <c r="D21" s="15"/>
      <c r="E21" s="15"/>
      <c r="F21" s="24"/>
      <c r="G21" s="411"/>
      <c r="H21" s="17" t="str">
        <f t="shared" si="0"/>
        <v/>
      </c>
      <c r="I21" s="18"/>
      <c r="J21" s="61"/>
      <c r="K21" s="402"/>
      <c r="L21" s="420" t="str">
        <f t="shared" si="3"/>
        <v/>
      </c>
      <c r="M21" s="401" t="str">
        <f t="shared" si="4"/>
        <v/>
      </c>
    </row>
    <row r="22" spans="2:13" x14ac:dyDescent="0.25">
      <c r="B22" s="58"/>
      <c r="C22" s="14"/>
      <c r="D22" s="15"/>
      <c r="E22" s="15"/>
      <c r="F22" s="24"/>
      <c r="G22" s="422"/>
      <c r="H22" s="17" t="str">
        <f t="shared" si="0"/>
        <v/>
      </c>
      <c r="I22" s="18"/>
      <c r="J22" s="61"/>
      <c r="K22" s="402"/>
      <c r="L22" s="420" t="str">
        <f t="shared" si="3"/>
        <v/>
      </c>
      <c r="M22" s="401" t="str">
        <f t="shared" si="4"/>
        <v/>
      </c>
    </row>
    <row r="23" spans="2:13" x14ac:dyDescent="0.25">
      <c r="B23" s="58"/>
      <c r="C23" s="14"/>
      <c r="D23" s="15"/>
      <c r="E23" s="15"/>
      <c r="F23" s="24"/>
      <c r="G23" s="411"/>
      <c r="H23" s="17" t="str">
        <f t="shared" si="0"/>
        <v/>
      </c>
      <c r="I23" s="60"/>
      <c r="J23" s="61"/>
      <c r="K23" s="402"/>
      <c r="L23" s="420" t="str">
        <f t="shared" si="3"/>
        <v/>
      </c>
      <c r="M23" s="401" t="str">
        <f t="shared" si="4"/>
        <v/>
      </c>
    </row>
    <row r="24" spans="2:13" x14ac:dyDescent="0.25">
      <c r="B24" s="58"/>
      <c r="C24" s="14"/>
      <c r="D24" s="15"/>
      <c r="E24" s="15"/>
      <c r="F24" s="15"/>
      <c r="G24" s="422"/>
      <c r="H24" s="17" t="str">
        <f t="shared" si="0"/>
        <v/>
      </c>
      <c r="I24" s="18"/>
      <c r="J24" s="61"/>
      <c r="K24" s="402"/>
      <c r="L24" s="420" t="str">
        <f t="shared" si="3"/>
        <v/>
      </c>
      <c r="M24" s="401" t="str">
        <f t="shared" si="4"/>
        <v/>
      </c>
    </row>
    <row r="25" spans="2:13" x14ac:dyDescent="0.25">
      <c r="B25" s="58"/>
      <c r="C25" s="14"/>
      <c r="D25" s="15"/>
      <c r="E25" s="15"/>
      <c r="F25" s="15"/>
      <c r="G25" s="422"/>
      <c r="H25" s="17" t="str">
        <f t="shared" si="0"/>
        <v/>
      </c>
      <c r="I25" s="18"/>
      <c r="J25" s="61"/>
      <c r="K25" s="402"/>
      <c r="L25" s="420" t="str">
        <f t="shared" si="3"/>
        <v/>
      </c>
      <c r="M25" s="401" t="str">
        <f t="shared" si="4"/>
        <v/>
      </c>
    </row>
    <row r="26" spans="2:13" x14ac:dyDescent="0.25">
      <c r="B26" s="58"/>
      <c r="C26" s="14"/>
      <c r="D26" s="15"/>
      <c r="E26" s="15"/>
      <c r="F26" s="15"/>
      <c r="G26" s="422"/>
      <c r="H26" s="17" t="str">
        <f t="shared" si="0"/>
        <v/>
      </c>
      <c r="I26" s="18"/>
      <c r="J26" s="61"/>
      <c r="K26" s="399"/>
      <c r="L26" s="420" t="str">
        <f t="shared" si="3"/>
        <v/>
      </c>
      <c r="M26" s="401" t="str">
        <f t="shared" si="4"/>
        <v/>
      </c>
    </row>
    <row r="27" spans="2:13" x14ac:dyDescent="0.25">
      <c r="B27" s="58"/>
      <c r="C27" s="14"/>
      <c r="D27" s="15"/>
      <c r="E27" s="15"/>
      <c r="F27" s="15"/>
      <c r="G27" s="422"/>
      <c r="H27" s="17" t="str">
        <f t="shared" si="0"/>
        <v/>
      </c>
      <c r="I27" s="18"/>
      <c r="J27" s="61"/>
      <c r="K27" s="399"/>
      <c r="L27" s="420" t="str">
        <f t="shared" si="3"/>
        <v/>
      </c>
      <c r="M27" s="401" t="str">
        <f t="shared" si="4"/>
        <v/>
      </c>
    </row>
    <row r="28" spans="2:13" x14ac:dyDescent="0.25">
      <c r="B28" s="58"/>
      <c r="C28" s="14"/>
      <c r="D28" s="15"/>
      <c r="E28" s="15"/>
      <c r="F28" s="15"/>
      <c r="G28" s="422"/>
      <c r="H28" s="17" t="str">
        <f t="shared" si="0"/>
        <v/>
      </c>
      <c r="I28" s="18"/>
      <c r="J28" s="61"/>
      <c r="K28" s="400"/>
      <c r="L28" s="420" t="str">
        <f t="shared" si="3"/>
        <v/>
      </c>
      <c r="M28" s="401" t="str">
        <f t="shared" si="4"/>
        <v/>
      </c>
    </row>
    <row r="29" spans="2:13" x14ac:dyDescent="0.25">
      <c r="B29" s="58"/>
      <c r="C29" s="14"/>
      <c r="D29" s="15"/>
      <c r="E29" s="15"/>
      <c r="F29" s="15"/>
      <c r="G29" s="422"/>
      <c r="H29" s="17" t="str">
        <f t="shared" si="0"/>
        <v/>
      </c>
      <c r="I29" s="18"/>
      <c r="J29" s="61"/>
      <c r="K29" s="399"/>
      <c r="L29" s="420" t="str">
        <f t="shared" si="3"/>
        <v/>
      </c>
      <c r="M29" s="401" t="str">
        <f t="shared" si="4"/>
        <v/>
      </c>
    </row>
    <row r="30" spans="2:13" x14ac:dyDescent="0.25">
      <c r="B30" s="58"/>
      <c r="C30" s="14"/>
      <c r="D30" s="15"/>
      <c r="E30" s="15"/>
      <c r="F30" s="15"/>
      <c r="G30" s="422"/>
      <c r="H30" s="17" t="str">
        <f t="shared" si="0"/>
        <v/>
      </c>
      <c r="I30" s="18"/>
      <c r="J30" s="61"/>
      <c r="K30" s="399"/>
      <c r="L30" s="420" t="str">
        <f t="shared" si="3"/>
        <v/>
      </c>
      <c r="M30" s="401" t="str">
        <f t="shared" si="4"/>
        <v/>
      </c>
    </row>
    <row r="31" spans="2:13" x14ac:dyDescent="0.25">
      <c r="B31" s="58"/>
      <c r="C31" s="14"/>
      <c r="D31" s="15"/>
      <c r="E31" s="15"/>
      <c r="F31" s="15"/>
      <c r="G31" s="422"/>
      <c r="H31" s="17" t="str">
        <f t="shared" si="0"/>
        <v/>
      </c>
      <c r="I31" s="18"/>
      <c r="J31" s="61"/>
      <c r="K31" s="399"/>
      <c r="L31" s="420" t="str">
        <f t="shared" si="3"/>
        <v/>
      </c>
      <c r="M31" s="401" t="str">
        <f t="shared" si="4"/>
        <v/>
      </c>
    </row>
    <row r="32" spans="2:13" x14ac:dyDescent="0.25">
      <c r="B32" s="58"/>
      <c r="C32" s="14"/>
      <c r="D32" s="15"/>
      <c r="E32" s="15"/>
      <c r="F32" s="15"/>
      <c r="G32" s="422"/>
      <c r="H32" s="17" t="str">
        <f t="shared" si="0"/>
        <v/>
      </c>
      <c r="I32" s="18"/>
      <c r="J32" s="61"/>
      <c r="K32" s="399"/>
      <c r="L32" s="420" t="str">
        <f t="shared" si="3"/>
        <v/>
      </c>
      <c r="M32" s="401" t="str">
        <f t="shared" si="4"/>
        <v/>
      </c>
    </row>
    <row r="33" spans="2:13" x14ac:dyDescent="0.25">
      <c r="B33" s="58"/>
      <c r="C33" s="14"/>
      <c r="D33" s="15"/>
      <c r="E33" s="15"/>
      <c r="F33" s="15"/>
      <c r="G33" s="422"/>
      <c r="H33" s="17" t="str">
        <f t="shared" si="0"/>
        <v/>
      </c>
      <c r="I33" s="18"/>
      <c r="J33" s="61"/>
      <c r="K33" s="399"/>
      <c r="L33" s="420" t="str">
        <f t="shared" si="3"/>
        <v/>
      </c>
      <c r="M33" s="401" t="str">
        <f t="shared" si="4"/>
        <v/>
      </c>
    </row>
    <row r="34" spans="2:13" x14ac:dyDescent="0.25">
      <c r="B34" s="58"/>
      <c r="C34" s="14"/>
      <c r="D34" s="15"/>
      <c r="E34" s="15"/>
      <c r="F34" s="15"/>
      <c r="G34" s="422"/>
      <c r="H34" s="17" t="str">
        <f t="shared" si="0"/>
        <v/>
      </c>
      <c r="I34" s="18"/>
      <c r="J34" s="61"/>
      <c r="K34" s="400"/>
      <c r="L34" s="420" t="str">
        <f t="shared" si="3"/>
        <v/>
      </c>
      <c r="M34" s="401" t="str">
        <f t="shared" si="4"/>
        <v/>
      </c>
    </row>
    <row r="35" spans="2:13" x14ac:dyDescent="0.25">
      <c r="B35" s="58"/>
      <c r="C35" s="14"/>
      <c r="D35" s="15"/>
      <c r="E35" s="15"/>
      <c r="F35" s="15"/>
      <c r="G35" s="422"/>
      <c r="H35" s="17" t="str">
        <f t="shared" si="0"/>
        <v/>
      </c>
      <c r="I35" s="18"/>
      <c r="J35" s="61"/>
      <c r="K35" s="399"/>
      <c r="L35" s="420" t="str">
        <f t="shared" si="3"/>
        <v/>
      </c>
      <c r="M35" s="401" t="str">
        <f t="shared" si="4"/>
        <v/>
      </c>
    </row>
    <row r="36" spans="2:13" x14ac:dyDescent="0.25">
      <c r="B36" s="58"/>
      <c r="C36" s="14"/>
      <c r="D36" s="15"/>
      <c r="E36" s="15"/>
      <c r="F36" s="15"/>
      <c r="G36" s="422"/>
      <c r="H36" s="17" t="str">
        <f t="shared" si="0"/>
        <v/>
      </c>
      <c r="I36" s="18"/>
      <c r="J36" s="61"/>
      <c r="K36" s="399"/>
      <c r="L36" s="420" t="str">
        <f t="shared" si="3"/>
        <v/>
      </c>
      <c r="M36" s="401" t="str">
        <f t="shared" si="4"/>
        <v/>
      </c>
    </row>
    <row r="37" spans="2:13" x14ac:dyDescent="0.25">
      <c r="B37" s="58"/>
      <c r="C37" s="14"/>
      <c r="D37" s="15"/>
      <c r="E37" s="15"/>
      <c r="F37" s="15"/>
      <c r="G37" s="422"/>
      <c r="H37" s="17" t="str">
        <f t="shared" si="0"/>
        <v/>
      </c>
      <c r="I37" s="18"/>
      <c r="J37" s="61"/>
      <c r="K37" s="399"/>
      <c r="L37" s="420" t="str">
        <f t="shared" si="3"/>
        <v/>
      </c>
      <c r="M37" s="401" t="str">
        <f t="shared" si="4"/>
        <v/>
      </c>
    </row>
    <row r="38" spans="2:13" x14ac:dyDescent="0.25">
      <c r="B38" s="58"/>
      <c r="C38" s="14"/>
      <c r="D38" s="15"/>
      <c r="E38" s="15"/>
      <c r="F38" s="15"/>
      <c r="G38" s="422"/>
      <c r="H38" s="17" t="str">
        <f t="shared" si="0"/>
        <v/>
      </c>
      <c r="I38" s="18"/>
      <c r="J38" s="61"/>
      <c r="K38" s="399"/>
      <c r="L38" s="420" t="str">
        <f t="shared" si="3"/>
        <v/>
      </c>
      <c r="M38" s="401" t="str">
        <f t="shared" si="4"/>
        <v/>
      </c>
    </row>
    <row r="39" spans="2:13" x14ac:dyDescent="0.25">
      <c r="B39" s="58"/>
      <c r="C39" s="14"/>
      <c r="D39" s="15"/>
      <c r="E39" s="15"/>
      <c r="F39" s="15"/>
      <c r="G39" s="422"/>
      <c r="H39" s="17" t="str">
        <f t="shared" si="0"/>
        <v/>
      </c>
      <c r="I39" s="18"/>
      <c r="J39" s="61"/>
      <c r="K39" s="399"/>
      <c r="L39" s="420" t="str">
        <f t="shared" si="3"/>
        <v/>
      </c>
      <c r="M39" s="401" t="str">
        <f t="shared" si="4"/>
        <v/>
      </c>
    </row>
    <row r="40" spans="2:13" x14ac:dyDescent="0.25">
      <c r="B40" s="58"/>
      <c r="C40" s="14"/>
      <c r="D40" s="15"/>
      <c r="E40" s="15"/>
      <c r="F40" s="15"/>
      <c r="G40" s="422"/>
      <c r="H40" s="17" t="str">
        <f t="shared" si="0"/>
        <v/>
      </c>
      <c r="I40" s="18"/>
      <c r="J40" s="61"/>
      <c r="K40" s="399"/>
      <c r="L40" s="420" t="str">
        <f t="shared" si="3"/>
        <v/>
      </c>
      <c r="M40" s="401" t="str">
        <f t="shared" si="4"/>
        <v/>
      </c>
    </row>
    <row r="41" spans="2:13" x14ac:dyDescent="0.25">
      <c r="B41" s="58"/>
      <c r="C41" s="14"/>
      <c r="D41" s="15"/>
      <c r="E41" s="15"/>
      <c r="F41" s="15"/>
      <c r="G41" s="422"/>
      <c r="H41" s="17" t="str">
        <f t="shared" si="0"/>
        <v/>
      </c>
      <c r="I41" s="18"/>
      <c r="J41" s="61"/>
      <c r="K41" s="399"/>
      <c r="L41" s="420" t="str">
        <f t="shared" si="3"/>
        <v/>
      </c>
      <c r="M41" s="401" t="str">
        <f t="shared" si="4"/>
        <v/>
      </c>
    </row>
    <row r="42" spans="2:13" x14ac:dyDescent="0.25">
      <c r="B42" s="58"/>
      <c r="C42" s="14"/>
      <c r="D42" s="15"/>
      <c r="E42" s="15"/>
      <c r="F42" s="15"/>
      <c r="G42" s="422"/>
      <c r="H42" s="17" t="str">
        <f t="shared" si="0"/>
        <v/>
      </c>
      <c r="I42" s="18"/>
      <c r="J42" s="61"/>
      <c r="K42" s="399"/>
      <c r="L42" s="420" t="str">
        <f t="shared" si="3"/>
        <v/>
      </c>
      <c r="M42" s="401" t="str">
        <f t="shared" si="4"/>
        <v/>
      </c>
    </row>
    <row r="43" spans="2:13" x14ac:dyDescent="0.25">
      <c r="B43" s="58"/>
      <c r="C43" s="14"/>
      <c r="D43" s="15"/>
      <c r="E43" s="15"/>
      <c r="F43" s="15"/>
      <c r="G43" s="422"/>
      <c r="H43" s="17" t="str">
        <f t="shared" si="0"/>
        <v/>
      </c>
      <c r="I43" s="18"/>
      <c r="J43" s="61"/>
      <c r="K43" s="399"/>
      <c r="L43" s="420" t="str">
        <f t="shared" si="3"/>
        <v/>
      </c>
      <c r="M43" s="401" t="str">
        <f t="shared" si="4"/>
        <v/>
      </c>
    </row>
    <row r="44" spans="2:13" x14ac:dyDescent="0.25">
      <c r="B44" s="58"/>
      <c r="C44" s="14"/>
      <c r="D44" s="15"/>
      <c r="E44" s="15"/>
      <c r="F44" s="15"/>
      <c r="G44" s="422"/>
      <c r="H44" s="17" t="str">
        <f t="shared" si="0"/>
        <v/>
      </c>
      <c r="I44" s="18"/>
      <c r="J44" s="61"/>
      <c r="K44" s="399"/>
      <c r="L44" s="420" t="str">
        <f t="shared" si="3"/>
        <v/>
      </c>
      <c r="M44" s="401" t="str">
        <f t="shared" si="4"/>
        <v/>
      </c>
    </row>
    <row r="45" spans="2:13" x14ac:dyDescent="0.25">
      <c r="B45" s="58"/>
      <c r="C45" s="14"/>
      <c r="D45" s="15"/>
      <c r="E45" s="15"/>
      <c r="F45" s="15"/>
      <c r="G45" s="422"/>
      <c r="H45" s="17" t="str">
        <f t="shared" si="0"/>
        <v/>
      </c>
      <c r="I45" s="18"/>
      <c r="J45" s="61"/>
      <c r="K45" s="399"/>
      <c r="L45" s="420" t="str">
        <f t="shared" si="3"/>
        <v/>
      </c>
      <c r="M45" s="401" t="str">
        <f t="shared" si="4"/>
        <v/>
      </c>
    </row>
    <row r="46" spans="2:13" x14ac:dyDescent="0.25">
      <c r="B46" s="58"/>
      <c r="C46" s="14"/>
      <c r="D46" s="15"/>
      <c r="E46" s="15"/>
      <c r="F46" s="15"/>
      <c r="G46" s="422"/>
      <c r="H46" s="17" t="str">
        <f t="shared" si="0"/>
        <v/>
      </c>
      <c r="I46" s="18"/>
      <c r="J46" s="61"/>
      <c r="K46" s="402"/>
      <c r="L46" s="420" t="str">
        <f t="shared" si="3"/>
        <v/>
      </c>
      <c r="M46" s="401" t="str">
        <f t="shared" si="4"/>
        <v/>
      </c>
    </row>
    <row r="47" spans="2:13" x14ac:dyDescent="0.25">
      <c r="B47" s="58"/>
      <c r="C47" s="14"/>
      <c r="D47" s="15"/>
      <c r="E47" s="15"/>
      <c r="F47" s="15"/>
      <c r="G47" s="422"/>
      <c r="H47" s="17" t="str">
        <f t="shared" si="0"/>
        <v/>
      </c>
      <c r="I47" s="18"/>
      <c r="J47" s="61"/>
      <c r="K47" s="399"/>
      <c r="L47" s="420" t="str">
        <f t="shared" si="3"/>
        <v/>
      </c>
      <c r="M47" s="401" t="str">
        <f t="shared" si="4"/>
        <v/>
      </c>
    </row>
    <row r="48" spans="2:13" x14ac:dyDescent="0.25">
      <c r="B48" s="58"/>
      <c r="C48" s="14"/>
      <c r="D48" s="15"/>
      <c r="E48" s="15"/>
      <c r="F48" s="15"/>
      <c r="G48" s="422"/>
      <c r="H48" s="17" t="str">
        <f t="shared" si="0"/>
        <v/>
      </c>
      <c r="I48" s="18"/>
      <c r="J48" s="61"/>
      <c r="K48" s="402"/>
      <c r="L48" s="420" t="str">
        <f t="shared" si="3"/>
        <v/>
      </c>
      <c r="M48" s="401" t="str">
        <f t="shared" si="4"/>
        <v/>
      </c>
    </row>
    <row r="49" spans="2:13" x14ac:dyDescent="0.25">
      <c r="B49" s="58"/>
      <c r="C49" s="14"/>
      <c r="D49" s="15"/>
      <c r="E49" s="15"/>
      <c r="F49" s="15"/>
      <c r="G49" s="422"/>
      <c r="H49" s="17" t="str">
        <f t="shared" si="0"/>
        <v/>
      </c>
      <c r="I49" s="18"/>
      <c r="J49" s="62"/>
      <c r="K49" s="62"/>
      <c r="L49" s="420" t="str">
        <f t="shared" si="3"/>
        <v/>
      </c>
      <c r="M49" s="401" t="str">
        <f t="shared" si="4"/>
        <v/>
      </c>
    </row>
    <row r="50" spans="2:13" x14ac:dyDescent="0.25">
      <c r="B50" s="58"/>
      <c r="C50" s="14"/>
      <c r="D50" s="15"/>
      <c r="E50" s="15"/>
      <c r="F50" s="15"/>
      <c r="G50" s="422"/>
      <c r="H50" s="17" t="str">
        <f t="shared" si="0"/>
        <v/>
      </c>
      <c r="I50" s="18"/>
      <c r="J50" s="62"/>
      <c r="K50" s="62"/>
      <c r="L50" s="420" t="str">
        <f t="shared" si="3"/>
        <v/>
      </c>
      <c r="M50" s="401" t="str">
        <f t="shared" si="4"/>
        <v/>
      </c>
    </row>
    <row r="51" spans="2:13" x14ac:dyDescent="0.25">
      <c r="B51" s="58"/>
      <c r="C51" s="14"/>
      <c r="D51" s="15"/>
      <c r="E51" s="15"/>
      <c r="F51" s="15"/>
      <c r="G51" s="422"/>
      <c r="H51" s="17" t="str">
        <f t="shared" si="0"/>
        <v/>
      </c>
      <c r="I51" s="18"/>
      <c r="J51" s="62"/>
      <c r="K51" s="62"/>
      <c r="L51" s="420" t="str">
        <f t="shared" si="3"/>
        <v/>
      </c>
      <c r="M51" s="401" t="str">
        <f t="shared" si="4"/>
        <v/>
      </c>
    </row>
    <row r="52" spans="2:13" x14ac:dyDescent="0.25">
      <c r="B52" s="58"/>
      <c r="C52" s="14"/>
      <c r="D52" s="15"/>
      <c r="E52" s="15"/>
      <c r="F52" s="15"/>
      <c r="G52" s="422"/>
      <c r="H52" s="17" t="str">
        <f t="shared" si="0"/>
        <v/>
      </c>
      <c r="I52" s="18"/>
      <c r="J52" s="62"/>
      <c r="K52" s="62"/>
      <c r="L52" s="420" t="str">
        <f t="shared" si="3"/>
        <v/>
      </c>
      <c r="M52" s="401" t="str">
        <f t="shared" si="4"/>
        <v/>
      </c>
    </row>
    <row r="53" spans="2:13" x14ac:dyDescent="0.25">
      <c r="B53" s="58"/>
      <c r="C53" s="14"/>
      <c r="D53" s="15"/>
      <c r="E53" s="15"/>
      <c r="F53" s="15"/>
      <c r="G53" s="422"/>
      <c r="H53" s="17" t="str">
        <f t="shared" si="0"/>
        <v/>
      </c>
      <c r="I53" s="18"/>
      <c r="J53" s="62"/>
      <c r="K53" s="62"/>
      <c r="L53" s="420" t="str">
        <f t="shared" si="3"/>
        <v/>
      </c>
      <c r="M53" s="401" t="str">
        <f t="shared" si="4"/>
        <v/>
      </c>
    </row>
    <row r="54" spans="2:13" x14ac:dyDescent="0.25">
      <c r="B54" s="58"/>
      <c r="C54" s="14"/>
      <c r="D54" s="15"/>
      <c r="E54" s="15"/>
      <c r="F54" s="15"/>
      <c r="G54" s="422"/>
      <c r="H54" s="17" t="str">
        <f t="shared" si="0"/>
        <v/>
      </c>
      <c r="I54" s="18"/>
      <c r="J54" s="62"/>
      <c r="K54" s="62"/>
      <c r="L54" s="420" t="str">
        <f t="shared" si="3"/>
        <v/>
      </c>
      <c r="M54" s="401" t="str">
        <f t="shared" si="4"/>
        <v/>
      </c>
    </row>
    <row r="55" spans="2:13" x14ac:dyDescent="0.25">
      <c r="B55" s="58"/>
      <c r="C55" s="14"/>
      <c r="D55" s="15"/>
      <c r="E55" s="15"/>
      <c r="F55" s="15"/>
      <c r="G55" s="422"/>
      <c r="H55" s="17" t="str">
        <f t="shared" si="0"/>
        <v/>
      </c>
      <c r="I55" s="18"/>
      <c r="J55" s="62"/>
      <c r="K55" s="62"/>
      <c r="L55" s="420" t="str">
        <f t="shared" si="3"/>
        <v/>
      </c>
      <c r="M55" s="401" t="str">
        <f t="shared" si="4"/>
        <v/>
      </c>
    </row>
    <row r="56" spans="2:13" x14ac:dyDescent="0.25">
      <c r="B56" s="58"/>
      <c r="C56" s="14"/>
      <c r="D56" s="15"/>
      <c r="E56" s="15"/>
      <c r="F56" s="15"/>
      <c r="G56" s="422"/>
      <c r="H56" s="17" t="str">
        <f t="shared" si="0"/>
        <v/>
      </c>
      <c r="I56" s="18"/>
      <c r="J56" s="62"/>
      <c r="K56" s="62"/>
      <c r="L56" s="420" t="str">
        <f t="shared" si="3"/>
        <v/>
      </c>
      <c r="M56" s="401" t="str">
        <f t="shared" si="4"/>
        <v/>
      </c>
    </row>
    <row r="57" spans="2:13" x14ac:dyDescent="0.25">
      <c r="B57" s="58"/>
      <c r="C57" s="14"/>
      <c r="D57" s="15"/>
      <c r="E57" s="15"/>
      <c r="F57" s="15"/>
      <c r="G57" s="422"/>
      <c r="H57" s="17" t="str">
        <f t="shared" si="0"/>
        <v/>
      </c>
      <c r="I57" s="18"/>
      <c r="J57" s="62"/>
      <c r="K57" s="62"/>
      <c r="L57" s="420" t="str">
        <f t="shared" si="3"/>
        <v/>
      </c>
      <c r="M57" s="401" t="str">
        <f t="shared" si="4"/>
        <v/>
      </c>
    </row>
    <row r="58" spans="2:13" x14ac:dyDescent="0.25">
      <c r="B58" s="58"/>
      <c r="C58" s="14"/>
      <c r="D58" s="15"/>
      <c r="E58" s="15"/>
      <c r="F58" s="15"/>
      <c r="G58" s="422"/>
      <c r="H58" s="17" t="str">
        <f t="shared" si="0"/>
        <v/>
      </c>
      <c r="I58" s="18"/>
      <c r="J58" s="62"/>
      <c r="K58" s="62"/>
      <c r="L58" s="420" t="str">
        <f t="shared" si="3"/>
        <v/>
      </c>
      <c r="M58" s="401" t="str">
        <f t="shared" si="4"/>
        <v/>
      </c>
    </row>
    <row r="59" spans="2:13" x14ac:dyDescent="0.25">
      <c r="B59" s="58"/>
      <c r="C59" s="14"/>
      <c r="D59" s="15"/>
      <c r="E59" s="15"/>
      <c r="F59" s="15"/>
      <c r="G59" s="422"/>
      <c r="H59" s="17" t="str">
        <f t="shared" si="0"/>
        <v/>
      </c>
      <c r="I59" s="18"/>
      <c r="J59" s="62"/>
      <c r="K59" s="62"/>
      <c r="L59" s="420" t="str">
        <f t="shared" si="3"/>
        <v/>
      </c>
      <c r="M59" s="401" t="str">
        <f t="shared" si="4"/>
        <v/>
      </c>
    </row>
    <row r="60" spans="2:13" x14ac:dyDescent="0.25">
      <c r="B60" s="58"/>
      <c r="C60" s="14"/>
      <c r="D60" s="15"/>
      <c r="E60" s="15"/>
      <c r="F60" s="15"/>
      <c r="G60" s="422"/>
      <c r="H60" s="17" t="str">
        <f t="shared" si="0"/>
        <v/>
      </c>
      <c r="I60" s="18"/>
      <c r="J60" s="62"/>
      <c r="K60" s="62"/>
      <c r="L60" s="420" t="str">
        <f t="shared" si="3"/>
        <v/>
      </c>
      <c r="M60" s="401" t="str">
        <f t="shared" si="4"/>
        <v/>
      </c>
    </row>
    <row r="61" spans="2:13" x14ac:dyDescent="0.25">
      <c r="B61" s="58"/>
      <c r="C61" s="14"/>
      <c r="D61" s="15"/>
      <c r="E61" s="15"/>
      <c r="F61" s="15"/>
      <c r="G61" s="422"/>
      <c r="H61" s="17" t="str">
        <f t="shared" si="0"/>
        <v/>
      </c>
      <c r="I61" s="18"/>
      <c r="J61" s="61"/>
      <c r="K61" s="62"/>
      <c r="L61" s="420" t="str">
        <f t="shared" si="3"/>
        <v/>
      </c>
      <c r="M61" s="401" t="str">
        <f t="shared" si="4"/>
        <v/>
      </c>
    </row>
    <row r="62" spans="2:13" x14ac:dyDescent="0.25">
      <c r="B62" s="58"/>
      <c r="C62" s="14"/>
      <c r="D62" s="15"/>
      <c r="E62" s="15"/>
      <c r="F62" s="15"/>
      <c r="G62" s="422"/>
      <c r="H62" s="17" t="str">
        <f t="shared" si="0"/>
        <v/>
      </c>
      <c r="I62" s="18"/>
      <c r="J62" s="62"/>
      <c r="K62" s="62"/>
      <c r="L62" s="420" t="str">
        <f t="shared" si="3"/>
        <v/>
      </c>
      <c r="M62" s="401" t="str">
        <f t="shared" si="4"/>
        <v/>
      </c>
    </row>
    <row r="63" spans="2:13" x14ac:dyDescent="0.25">
      <c r="B63" s="58"/>
      <c r="C63" s="14"/>
      <c r="D63" s="15"/>
      <c r="E63" s="15"/>
      <c r="F63" s="15"/>
      <c r="G63" s="422"/>
      <c r="H63" s="17" t="str">
        <f t="shared" si="0"/>
        <v/>
      </c>
      <c r="I63" s="18"/>
      <c r="J63" s="62"/>
      <c r="K63" s="62"/>
      <c r="L63" s="420" t="str">
        <f t="shared" si="3"/>
        <v/>
      </c>
      <c r="M63" s="401" t="str">
        <f t="shared" si="4"/>
        <v/>
      </c>
    </row>
    <row r="64" spans="2:13" x14ac:dyDescent="0.25">
      <c r="B64" s="58"/>
      <c r="C64" s="14"/>
      <c r="D64" s="15"/>
      <c r="E64" s="15"/>
      <c r="F64" s="15"/>
      <c r="G64" s="422"/>
      <c r="H64" s="17" t="str">
        <f t="shared" si="0"/>
        <v/>
      </c>
      <c r="I64" s="18"/>
      <c r="J64" s="62"/>
      <c r="K64" s="62"/>
      <c r="L64" s="420" t="str">
        <f t="shared" si="3"/>
        <v/>
      </c>
      <c r="M64" s="401" t="str">
        <f t="shared" si="4"/>
        <v/>
      </c>
    </row>
    <row r="65" spans="2:13" x14ac:dyDescent="0.25">
      <c r="B65" s="58"/>
      <c r="C65" s="14"/>
      <c r="D65" s="15"/>
      <c r="E65" s="15"/>
      <c r="F65" s="15"/>
      <c r="G65" s="422"/>
      <c r="H65" s="17" t="str">
        <f t="shared" si="0"/>
        <v/>
      </c>
      <c r="I65" s="18"/>
      <c r="J65" s="62"/>
      <c r="K65" s="62"/>
      <c r="L65" s="62" t="str">
        <f t="shared" si="3"/>
        <v/>
      </c>
      <c r="M65" s="401" t="str">
        <f t="shared" si="4"/>
        <v/>
      </c>
    </row>
    <row r="66" spans="2:13" x14ac:dyDescent="0.25">
      <c r="B66" s="58"/>
      <c r="C66" s="14"/>
      <c r="D66" s="15"/>
      <c r="E66" s="15"/>
      <c r="F66" s="15"/>
      <c r="G66" s="422"/>
      <c r="H66" s="17" t="str">
        <f t="shared" si="0"/>
        <v/>
      </c>
      <c r="I66" s="18"/>
      <c r="J66" s="62"/>
      <c r="K66" s="62"/>
      <c r="L66" s="62" t="str">
        <f t="shared" si="3"/>
        <v/>
      </c>
      <c r="M66" s="401" t="str">
        <f t="shared" si="4"/>
        <v/>
      </c>
    </row>
    <row r="67" spans="2:13" x14ac:dyDescent="0.25">
      <c r="B67" s="58"/>
      <c r="C67" s="14"/>
      <c r="D67" s="15"/>
      <c r="E67" s="15"/>
      <c r="F67" s="15"/>
      <c r="G67" s="422"/>
      <c r="H67" s="17" t="str">
        <f t="shared" si="0"/>
        <v/>
      </c>
      <c r="I67" s="18"/>
      <c r="J67" s="62"/>
      <c r="K67" s="62"/>
      <c r="L67" s="62" t="str">
        <f t="shared" si="3"/>
        <v/>
      </c>
      <c r="M67" s="401" t="str">
        <f t="shared" si="4"/>
        <v/>
      </c>
    </row>
    <row r="68" spans="2:13" x14ac:dyDescent="0.25">
      <c r="B68" s="58"/>
      <c r="C68" s="14"/>
      <c r="D68" s="15"/>
      <c r="E68" s="15"/>
      <c r="F68" s="15"/>
      <c r="G68" s="422"/>
      <c r="H68" s="17" t="str">
        <f t="shared" si="0"/>
        <v/>
      </c>
      <c r="I68" s="18"/>
      <c r="J68" s="62"/>
      <c r="K68" s="62"/>
      <c r="L68" s="62" t="str">
        <f t="shared" si="3"/>
        <v/>
      </c>
      <c r="M68" s="401" t="str">
        <f t="shared" si="4"/>
        <v/>
      </c>
    </row>
    <row r="69" spans="2:13" x14ac:dyDescent="0.25">
      <c r="B69" s="58"/>
      <c r="C69" s="14"/>
      <c r="D69" s="15"/>
      <c r="E69" s="15"/>
      <c r="F69" s="15"/>
      <c r="G69" s="422"/>
      <c r="H69" s="17" t="str">
        <f t="shared" si="0"/>
        <v/>
      </c>
      <c r="I69" s="18"/>
      <c r="J69" s="62"/>
      <c r="K69" s="62"/>
      <c r="L69" s="62" t="str">
        <f t="shared" si="3"/>
        <v/>
      </c>
      <c r="M69" s="401" t="str">
        <f t="shared" si="4"/>
        <v/>
      </c>
    </row>
    <row r="70" spans="2:13" x14ac:dyDescent="0.25">
      <c r="B70" s="58"/>
      <c r="C70" s="14"/>
      <c r="D70" s="15"/>
      <c r="E70" s="15"/>
      <c r="F70" s="15"/>
      <c r="G70" s="422"/>
      <c r="H70" s="17" t="str">
        <f t="shared" si="0"/>
        <v/>
      </c>
      <c r="I70" s="18"/>
      <c r="J70" s="62"/>
      <c r="K70" s="62"/>
      <c r="L70" s="62" t="str">
        <f t="shared" si="3"/>
        <v/>
      </c>
      <c r="M70" s="401" t="str">
        <f t="shared" si="4"/>
        <v/>
      </c>
    </row>
    <row r="71" spans="2:13" x14ac:dyDescent="0.25">
      <c r="B71" s="58"/>
      <c r="C71" s="14"/>
      <c r="D71" s="15"/>
      <c r="E71" s="15"/>
      <c r="F71" s="15"/>
      <c r="G71" s="422"/>
      <c r="H71" s="17" t="str">
        <f t="shared" si="0"/>
        <v/>
      </c>
      <c r="I71" s="18"/>
      <c r="J71" s="62"/>
      <c r="K71" s="62"/>
      <c r="L71" s="62" t="str">
        <f t="shared" si="3"/>
        <v/>
      </c>
      <c r="M71" s="401" t="str">
        <f t="shared" si="4"/>
        <v/>
      </c>
    </row>
    <row r="72" spans="2:13" x14ac:dyDescent="0.25">
      <c r="B72" s="58"/>
      <c r="C72" s="14"/>
      <c r="D72" s="15"/>
      <c r="E72" s="15"/>
      <c r="F72" s="15"/>
      <c r="G72" s="422"/>
      <c r="H72" s="17" t="str">
        <f t="shared" si="0"/>
        <v/>
      </c>
      <c r="I72" s="18"/>
      <c r="J72" s="62"/>
      <c r="K72" s="62"/>
      <c r="L72" s="62" t="str">
        <f t="shared" si="3"/>
        <v/>
      </c>
      <c r="M72" s="401" t="str">
        <f t="shared" si="4"/>
        <v/>
      </c>
    </row>
    <row r="73" spans="2:13" x14ac:dyDescent="0.25">
      <c r="B73" s="58"/>
      <c r="C73" s="14"/>
      <c r="D73" s="15"/>
      <c r="E73" s="15"/>
      <c r="F73" s="15"/>
      <c r="G73" s="422"/>
      <c r="H73" s="17" t="str">
        <f t="shared" si="0"/>
        <v/>
      </c>
      <c r="I73" s="18"/>
      <c r="J73" s="62"/>
      <c r="K73" s="62"/>
      <c r="L73" s="62" t="str">
        <f t="shared" si="3"/>
        <v/>
      </c>
      <c r="M73" s="401" t="str">
        <f t="shared" si="4"/>
        <v/>
      </c>
    </row>
    <row r="74" spans="2:13" x14ac:dyDescent="0.25">
      <c r="B74" s="58"/>
      <c r="C74" s="14"/>
      <c r="D74" s="15"/>
      <c r="E74" s="15"/>
      <c r="F74" s="15"/>
      <c r="G74" s="422"/>
      <c r="H74" s="17" t="str">
        <f t="shared" si="0"/>
        <v/>
      </c>
      <c r="I74" s="18"/>
      <c r="J74" s="62"/>
      <c r="K74" s="62"/>
      <c r="L74" s="62" t="str">
        <f t="shared" si="3"/>
        <v/>
      </c>
      <c r="M74" s="401" t="str">
        <f t="shared" si="4"/>
        <v/>
      </c>
    </row>
    <row r="75" spans="2:13" x14ac:dyDescent="0.25">
      <c r="B75" s="58"/>
      <c r="C75" s="14"/>
      <c r="D75" s="15"/>
      <c r="E75" s="15"/>
      <c r="F75" s="15"/>
      <c r="G75" s="422"/>
      <c r="H75" s="17" t="str">
        <f t="shared" ref="H75:H77" si="5">IF(D75="","",F75*G75)</f>
        <v/>
      </c>
      <c r="I75" s="18"/>
      <c r="J75" s="62"/>
      <c r="K75" s="62"/>
      <c r="L75" s="62" t="str">
        <f t="shared" si="3"/>
        <v/>
      </c>
      <c r="M75" s="401" t="str">
        <f t="shared" si="4"/>
        <v/>
      </c>
    </row>
    <row r="76" spans="2:13" x14ac:dyDescent="0.25">
      <c r="B76" s="58"/>
      <c r="C76" s="14"/>
      <c r="D76" s="15"/>
      <c r="E76" s="15"/>
      <c r="F76" s="15"/>
      <c r="G76" s="422"/>
      <c r="H76" s="17" t="str">
        <f t="shared" si="5"/>
        <v/>
      </c>
      <c r="I76" s="18"/>
      <c r="J76" s="61"/>
      <c r="K76" s="695"/>
      <c r="L76" s="420" t="str">
        <f t="shared" ref="L76:L77" si="6">IF(J76="","",F76*K76)</f>
        <v/>
      </c>
      <c r="M76" s="401" t="str">
        <f t="shared" ref="M76:M78" si="7">IF(J76="","",IF(SUM(H76)=0,"",L76/H76))</f>
        <v/>
      </c>
    </row>
    <row r="77" spans="2:13" x14ac:dyDescent="0.25">
      <c r="B77" s="58"/>
      <c r="C77" s="14"/>
      <c r="D77" s="15"/>
      <c r="E77" s="15"/>
      <c r="F77" s="15"/>
      <c r="G77" s="422"/>
      <c r="H77" s="17" t="str">
        <f t="shared" si="5"/>
        <v/>
      </c>
      <c r="I77" s="18"/>
      <c r="J77" s="61"/>
      <c r="K77" s="696"/>
      <c r="L77" s="420" t="str">
        <f t="shared" si="6"/>
        <v/>
      </c>
      <c r="M77" s="401" t="str">
        <f t="shared" si="7"/>
        <v/>
      </c>
    </row>
    <row r="78" spans="2:13" s="28" customFormat="1" ht="25" customHeight="1" x14ac:dyDescent="0.25">
      <c r="B78" s="29" t="str">
        <f>B12</f>
        <v>C1.3</v>
      </c>
      <c r="C78" s="30" t="str">
        <f>"TOTAL CARRIED FORWARD"&amp;IF(H78=H$1," TO SUMMARY","")</f>
        <v>TOTAL CARRIED FORWARD TO SUMMARY</v>
      </c>
      <c r="D78" s="31"/>
      <c r="E78" s="31"/>
      <c r="F78" s="32"/>
      <c r="G78" s="31"/>
      <c r="H78" s="33">
        <f>SUM(H11:H77)</f>
        <v>839375</v>
      </c>
      <c r="I78" s="34"/>
      <c r="J78" s="408"/>
      <c r="K78" s="406"/>
      <c r="L78" s="418">
        <f>SUM(L11:L77)</f>
        <v>0</v>
      </c>
      <c r="M78" s="407" t="str">
        <f t="shared" si="7"/>
        <v/>
      </c>
    </row>
  </sheetData>
  <mergeCells count="4">
    <mergeCell ref="F3:H3"/>
    <mergeCell ref="B6:G6"/>
    <mergeCell ref="H6:H9"/>
    <mergeCell ref="B7:G9"/>
  </mergeCells>
  <conditionalFormatting sqref="G11:H78">
    <cfRule type="expression" dxfId="32"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N209"/>
  <sheetViews>
    <sheetView view="pageBreakPreview" topLeftCell="A57" zoomScaleNormal="100"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6.5429687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2</v>
      </c>
      <c r="H1" s="247">
        <f>MAX(H2:H209)</f>
        <v>1337260</v>
      </c>
      <c r="I1" s="247">
        <f>MAX(I2:I216)</f>
        <v>0</v>
      </c>
      <c r="J1" s="248"/>
      <c r="K1" s="249"/>
      <c r="L1" s="417">
        <f>MAX(L2:L209)</f>
        <v>661523.83999999985</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1" t="str">
        <f>"CHAPTER "&amp;B12</f>
        <v>CHAPTER C1.5</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6"/>
      <c r="C11" s="14"/>
      <c r="D11" s="15"/>
      <c r="E11" s="15"/>
      <c r="F11" s="15"/>
      <c r="G11" s="411"/>
      <c r="H11" s="17" t="str">
        <f t="shared" ref="H11:H65" si="0">IF(D11="","",F11*G11)</f>
        <v/>
      </c>
      <c r="I11" s="18"/>
      <c r="J11" s="61"/>
      <c r="K11" s="399"/>
      <c r="L11" s="420" t="str">
        <f t="shared" ref="L11:L65" si="1">IF(J11="","",F11*K11)</f>
        <v/>
      </c>
      <c r="M11" s="401" t="str">
        <f t="shared" ref="M11:M66" si="2">IF(J11="","",IF(SUM(H11)=0,"",L11/H11))</f>
        <v/>
      </c>
    </row>
    <row r="12" spans="1:14" ht="13" x14ac:dyDescent="0.25">
      <c r="B12" s="146" t="s">
        <v>1064</v>
      </c>
      <c r="C12" s="19" t="s">
        <v>134</v>
      </c>
      <c r="D12" s="15"/>
      <c r="E12" s="15"/>
      <c r="F12" s="15"/>
      <c r="G12" s="411"/>
      <c r="H12" s="17" t="str">
        <f t="shared" si="0"/>
        <v/>
      </c>
      <c r="I12" s="40"/>
      <c r="J12" s="61"/>
      <c r="K12" s="399"/>
      <c r="L12" s="420" t="str">
        <f t="shared" si="1"/>
        <v/>
      </c>
      <c r="M12" s="401" t="str">
        <f t="shared" si="2"/>
        <v/>
      </c>
    </row>
    <row r="13" spans="1:14" x14ac:dyDescent="0.25">
      <c r="B13" s="58"/>
      <c r="C13" s="14"/>
      <c r="D13" s="15"/>
      <c r="E13" s="15"/>
      <c r="F13" s="15"/>
      <c r="G13" s="411"/>
      <c r="H13" s="17" t="str">
        <f t="shared" si="0"/>
        <v/>
      </c>
      <c r="I13" s="40"/>
      <c r="J13" s="61"/>
      <c r="K13" s="399"/>
      <c r="L13" s="420" t="str">
        <f t="shared" si="1"/>
        <v/>
      </c>
      <c r="M13" s="401" t="str">
        <f t="shared" si="2"/>
        <v/>
      </c>
    </row>
    <row r="14" spans="1:14" ht="13" x14ac:dyDescent="0.25">
      <c r="B14" s="146" t="s">
        <v>143</v>
      </c>
      <c r="C14" s="19" t="s">
        <v>144</v>
      </c>
      <c r="D14" s="15"/>
      <c r="E14" s="15"/>
      <c r="F14" s="580"/>
      <c r="G14" s="424"/>
      <c r="H14" s="743" t="str">
        <f t="shared" si="0"/>
        <v/>
      </c>
      <c r="I14" s="18"/>
      <c r="J14" s="61"/>
      <c r="K14" s="399"/>
      <c r="L14" s="420" t="str">
        <f t="shared" si="1"/>
        <v/>
      </c>
      <c r="M14" s="401" t="str">
        <f t="shared" si="2"/>
        <v/>
      </c>
    </row>
    <row r="15" spans="1:14" x14ac:dyDescent="0.25">
      <c r="B15" s="58"/>
      <c r="C15" s="14"/>
      <c r="D15" s="15"/>
      <c r="E15" s="15"/>
      <c r="F15" s="580"/>
      <c r="G15" s="424"/>
      <c r="H15" s="743" t="str">
        <f t="shared" si="0"/>
        <v/>
      </c>
      <c r="I15" s="18"/>
      <c r="J15" s="61"/>
      <c r="K15" s="399"/>
      <c r="L15" s="420" t="str">
        <f t="shared" si="1"/>
        <v/>
      </c>
      <c r="M15" s="401" t="str">
        <f t="shared" si="2"/>
        <v/>
      </c>
    </row>
    <row r="16" spans="1:14" x14ac:dyDescent="0.25">
      <c r="B16" s="58" t="s">
        <v>145</v>
      </c>
      <c r="C16" s="14" t="s">
        <v>148</v>
      </c>
      <c r="D16" s="15"/>
      <c r="E16" s="15"/>
      <c r="F16" s="580"/>
      <c r="G16" s="424"/>
      <c r="H16" s="743" t="str">
        <f t="shared" si="0"/>
        <v/>
      </c>
      <c r="I16" s="18"/>
      <c r="J16" s="61"/>
      <c r="K16" s="399"/>
      <c r="L16" s="420" t="str">
        <f t="shared" si="1"/>
        <v/>
      </c>
      <c r="M16" s="401" t="str">
        <f t="shared" si="2"/>
        <v/>
      </c>
    </row>
    <row r="17" spans="2:13" x14ac:dyDescent="0.25">
      <c r="B17" s="58"/>
      <c r="C17" s="14"/>
      <c r="D17" s="15"/>
      <c r="E17" s="15"/>
      <c r="F17" s="580"/>
      <c r="G17" s="424"/>
      <c r="H17" s="743" t="str">
        <f t="shared" si="0"/>
        <v/>
      </c>
      <c r="I17" s="18"/>
      <c r="J17" s="61"/>
      <c r="K17" s="400"/>
      <c r="L17" s="420" t="str">
        <f t="shared" si="1"/>
        <v/>
      </c>
      <c r="M17" s="401" t="str">
        <f t="shared" si="2"/>
        <v/>
      </c>
    </row>
    <row r="18" spans="2:13" ht="25" x14ac:dyDescent="0.25">
      <c r="B18" s="58" t="s">
        <v>39</v>
      </c>
      <c r="C18" s="14" t="s">
        <v>1779</v>
      </c>
      <c r="D18" s="15" t="s">
        <v>34</v>
      </c>
      <c r="E18" s="15"/>
      <c r="F18" s="580">
        <v>40</v>
      </c>
      <c r="G18" s="424">
        <v>150</v>
      </c>
      <c r="H18" s="743">
        <f t="shared" si="0"/>
        <v>6000</v>
      </c>
      <c r="I18" s="18"/>
      <c r="J18" s="61" t="s">
        <v>1721</v>
      </c>
      <c r="K18" s="399">
        <f>IF(D18="","",ROUND(Labour_perc_roads*G18,1))</f>
        <v>4.4000000000000004</v>
      </c>
      <c r="L18" s="420">
        <f t="shared" si="1"/>
        <v>176</v>
      </c>
      <c r="M18" s="401">
        <f t="shared" si="2"/>
        <v>2.9333333333333333E-2</v>
      </c>
    </row>
    <row r="19" spans="2:13" x14ac:dyDescent="0.25">
      <c r="B19" s="58"/>
      <c r="C19" s="14"/>
      <c r="D19" s="15"/>
      <c r="E19" s="15"/>
      <c r="F19" s="580"/>
      <c r="G19" s="424"/>
      <c r="H19" s="743" t="str">
        <f t="shared" si="0"/>
        <v/>
      </c>
      <c r="I19" s="18"/>
      <c r="J19" s="61"/>
      <c r="K19" s="399"/>
      <c r="L19" s="420" t="str">
        <f t="shared" si="1"/>
        <v/>
      </c>
      <c r="M19" s="401" t="str">
        <f t="shared" si="2"/>
        <v/>
      </c>
    </row>
    <row r="20" spans="2:13" ht="25" x14ac:dyDescent="0.25">
      <c r="B20" s="58" t="s">
        <v>41</v>
      </c>
      <c r="C20" s="14" t="s">
        <v>1780</v>
      </c>
      <c r="D20" s="15" t="s">
        <v>34</v>
      </c>
      <c r="E20" s="15"/>
      <c r="F20" s="580">
        <v>40</v>
      </c>
      <c r="G20" s="424">
        <v>200</v>
      </c>
      <c r="H20" s="743">
        <f t="shared" si="0"/>
        <v>8000</v>
      </c>
      <c r="I20" s="18"/>
      <c r="J20" s="61" t="s">
        <v>1721</v>
      </c>
      <c r="K20" s="399">
        <f>IF(D20="","",ROUND(Labour_perc_roads*G20,1))</f>
        <v>5.8</v>
      </c>
      <c r="L20" s="420">
        <f t="shared" si="1"/>
        <v>232</v>
      </c>
      <c r="M20" s="401">
        <f t="shared" si="2"/>
        <v>2.9000000000000001E-2</v>
      </c>
    </row>
    <row r="21" spans="2:13" x14ac:dyDescent="0.25">
      <c r="B21" s="58"/>
      <c r="C21" s="14"/>
      <c r="D21" s="15"/>
      <c r="E21" s="15"/>
      <c r="F21" s="580"/>
      <c r="G21" s="424"/>
      <c r="H21" s="743" t="str">
        <f t="shared" si="0"/>
        <v/>
      </c>
      <c r="I21" s="18"/>
      <c r="J21" s="61"/>
      <c r="K21" s="402"/>
      <c r="L21" s="420" t="str">
        <f t="shared" si="1"/>
        <v/>
      </c>
      <c r="M21" s="401" t="str">
        <f t="shared" si="2"/>
        <v/>
      </c>
    </row>
    <row r="22" spans="2:13" x14ac:dyDescent="0.25">
      <c r="B22" s="58" t="s">
        <v>146</v>
      </c>
      <c r="C22" s="14" t="s">
        <v>149</v>
      </c>
      <c r="D22" s="15" t="s">
        <v>192</v>
      </c>
      <c r="E22" s="15" t="s">
        <v>996</v>
      </c>
      <c r="F22" s="580">
        <f>Quantities!$S$145</f>
        <v>1760</v>
      </c>
      <c r="G22" s="748">
        <f>ROUND(_LabourRate*8*1.3,0)</f>
        <v>466</v>
      </c>
      <c r="H22" s="743">
        <f t="shared" si="0"/>
        <v>820160</v>
      </c>
      <c r="I22" s="18"/>
      <c r="J22" s="61" t="s">
        <v>996</v>
      </c>
      <c r="K22" s="577">
        <f>_LabourDaily</f>
        <v>358.32</v>
      </c>
      <c r="L22" s="420">
        <f t="shared" si="1"/>
        <v>630643.19999999995</v>
      </c>
      <c r="M22" s="401">
        <f t="shared" si="2"/>
        <v>0.76892703862660938</v>
      </c>
    </row>
    <row r="23" spans="2:13" x14ac:dyDescent="0.25">
      <c r="B23" s="58"/>
      <c r="C23" s="14"/>
      <c r="D23" s="15"/>
      <c r="E23" s="15"/>
      <c r="F23" s="580"/>
      <c r="G23" s="424"/>
      <c r="H23" s="743"/>
      <c r="I23" s="18"/>
      <c r="J23" s="61"/>
      <c r="K23" s="402"/>
      <c r="L23" s="420" t="str">
        <f t="shared" si="1"/>
        <v/>
      </c>
      <c r="M23" s="401" t="str">
        <f t="shared" si="2"/>
        <v/>
      </c>
    </row>
    <row r="24" spans="2:13" x14ac:dyDescent="0.25">
      <c r="B24" s="58" t="s">
        <v>147</v>
      </c>
      <c r="C24" s="14" t="s">
        <v>150</v>
      </c>
      <c r="D24" s="15"/>
      <c r="E24" s="15"/>
      <c r="F24" s="580"/>
      <c r="G24" s="424"/>
      <c r="H24" s="743" t="str">
        <f t="shared" ref="H24:H32" si="3">IF(D24="","",F24*G24)</f>
        <v/>
      </c>
      <c r="I24" s="18"/>
      <c r="J24" s="61"/>
      <c r="K24" s="402"/>
      <c r="L24" s="420" t="str">
        <f t="shared" si="1"/>
        <v/>
      </c>
      <c r="M24" s="401" t="str">
        <f t="shared" si="2"/>
        <v/>
      </c>
    </row>
    <row r="25" spans="2:13" x14ac:dyDescent="0.25">
      <c r="B25" s="58"/>
      <c r="C25" s="26"/>
      <c r="D25" s="15"/>
      <c r="E25" s="15"/>
      <c r="F25" s="580"/>
      <c r="G25" s="424"/>
      <c r="H25" s="743" t="str">
        <f t="shared" si="3"/>
        <v/>
      </c>
      <c r="I25" s="18"/>
      <c r="J25" s="61"/>
      <c r="K25" s="399"/>
      <c r="L25" s="420" t="str">
        <f t="shared" si="1"/>
        <v/>
      </c>
      <c r="M25" s="401" t="str">
        <f t="shared" si="2"/>
        <v/>
      </c>
    </row>
    <row r="26" spans="2:13" ht="37.5" x14ac:dyDescent="0.25">
      <c r="B26" s="58" t="s">
        <v>39</v>
      </c>
      <c r="C26" s="26" t="s">
        <v>151</v>
      </c>
      <c r="D26" s="15"/>
      <c r="E26" s="15"/>
      <c r="F26" s="580"/>
      <c r="G26" s="424"/>
      <c r="H26" s="743" t="str">
        <f t="shared" si="3"/>
        <v/>
      </c>
      <c r="I26" s="18"/>
      <c r="J26" s="61"/>
      <c r="K26" s="399"/>
      <c r="L26" s="420" t="str">
        <f t="shared" si="1"/>
        <v/>
      </c>
      <c r="M26" s="401" t="str">
        <f t="shared" si="2"/>
        <v/>
      </c>
    </row>
    <row r="27" spans="2:13" x14ac:dyDescent="0.25">
      <c r="B27" s="58"/>
      <c r="C27" s="26"/>
      <c r="D27" s="15"/>
      <c r="E27" s="15"/>
      <c r="F27" s="580"/>
      <c r="G27" s="424"/>
      <c r="H27" s="743" t="str">
        <f t="shared" si="3"/>
        <v/>
      </c>
      <c r="I27" s="18"/>
      <c r="J27" s="61"/>
      <c r="K27" s="400"/>
      <c r="L27" s="420" t="str">
        <f t="shared" si="1"/>
        <v/>
      </c>
      <c r="M27" s="401" t="str">
        <f t="shared" si="2"/>
        <v/>
      </c>
    </row>
    <row r="28" spans="2:13" x14ac:dyDescent="0.25">
      <c r="B28" s="58" t="s">
        <v>152</v>
      </c>
      <c r="C28" s="26" t="s">
        <v>153</v>
      </c>
      <c r="D28" s="15" t="s">
        <v>34</v>
      </c>
      <c r="E28" s="15"/>
      <c r="F28" s="697">
        <v>3</v>
      </c>
      <c r="G28" s="424">
        <v>1000</v>
      </c>
      <c r="H28" s="743">
        <f t="shared" si="3"/>
        <v>3000</v>
      </c>
      <c r="I28" s="63"/>
      <c r="J28" s="61"/>
      <c r="K28" s="399"/>
      <c r="L28" s="420" t="str">
        <f t="shared" si="1"/>
        <v/>
      </c>
      <c r="M28" s="401" t="str">
        <f t="shared" si="2"/>
        <v/>
      </c>
    </row>
    <row r="29" spans="2:13" s="36" customFormat="1" x14ac:dyDescent="0.25">
      <c r="B29" s="58"/>
      <c r="C29" s="26"/>
      <c r="D29" s="15"/>
      <c r="E29" s="15"/>
      <c r="F29" s="697"/>
      <c r="G29" s="424"/>
      <c r="H29" s="743" t="str">
        <f t="shared" si="3"/>
        <v/>
      </c>
      <c r="I29" s="63"/>
      <c r="J29" s="61"/>
      <c r="K29" s="399"/>
      <c r="L29" s="420" t="str">
        <f t="shared" si="1"/>
        <v/>
      </c>
      <c r="M29" s="401" t="str">
        <f t="shared" si="2"/>
        <v/>
      </c>
    </row>
    <row r="30" spans="2:13" s="36" customFormat="1" x14ac:dyDescent="0.25">
      <c r="B30" s="58" t="s">
        <v>1876</v>
      </c>
      <c r="C30" s="14" t="s">
        <v>155</v>
      </c>
      <c r="D30" s="15" t="s">
        <v>18</v>
      </c>
      <c r="E30" s="15" t="s">
        <v>996</v>
      </c>
      <c r="F30" s="752">
        <f>_ContractPeriod-1</f>
        <v>21</v>
      </c>
      <c r="G30" s="424">
        <v>20000</v>
      </c>
      <c r="H30" s="743">
        <f t="shared" si="3"/>
        <v>420000</v>
      </c>
      <c r="I30" s="18"/>
      <c r="J30" s="62" t="s">
        <v>1721</v>
      </c>
      <c r="K30" s="399">
        <f>IF(D30="","",ROUND(Labour_perc_roads*G30,1))</f>
        <v>580</v>
      </c>
      <c r="L30" s="420">
        <f t="shared" si="1"/>
        <v>12180</v>
      </c>
      <c r="M30" s="401">
        <f t="shared" si="2"/>
        <v>2.9000000000000001E-2</v>
      </c>
    </row>
    <row r="31" spans="2:13" s="36" customFormat="1" x14ac:dyDescent="0.25">
      <c r="B31" s="58"/>
      <c r="C31" s="14"/>
      <c r="D31" s="15"/>
      <c r="E31" s="15"/>
      <c r="F31" s="580"/>
      <c r="G31" s="424"/>
      <c r="H31" s="743" t="str">
        <f t="shared" si="3"/>
        <v/>
      </c>
      <c r="I31" s="18"/>
      <c r="J31" s="62"/>
      <c r="K31" s="62"/>
      <c r="L31" s="420" t="str">
        <f t="shared" si="1"/>
        <v/>
      </c>
      <c r="M31" s="401" t="str">
        <f t="shared" si="2"/>
        <v/>
      </c>
    </row>
    <row r="32" spans="2:13" s="36" customFormat="1" x14ac:dyDescent="0.25">
      <c r="B32" s="58" t="s">
        <v>1906</v>
      </c>
      <c r="C32" s="14" t="s">
        <v>1907</v>
      </c>
      <c r="D32" s="15" t="s">
        <v>18</v>
      </c>
      <c r="E32" s="15"/>
      <c r="F32" s="752">
        <f>_ContractPeriod-1</f>
        <v>21</v>
      </c>
      <c r="G32" s="750">
        <v>1000</v>
      </c>
      <c r="H32" s="743">
        <f t="shared" si="3"/>
        <v>21000</v>
      </c>
      <c r="I32" s="18"/>
      <c r="J32" s="61" t="s">
        <v>1721</v>
      </c>
      <c r="K32" s="399">
        <f>_LabourDaily*2</f>
        <v>716.64</v>
      </c>
      <c r="L32" s="420">
        <f t="shared" si="1"/>
        <v>15049.44</v>
      </c>
      <c r="M32" s="401">
        <f t="shared" si="2"/>
        <v>0.71664000000000005</v>
      </c>
    </row>
    <row r="33" spans="2:13" s="36" customFormat="1" x14ac:dyDescent="0.25">
      <c r="B33" s="58"/>
      <c r="C33" s="39"/>
      <c r="D33" s="15"/>
      <c r="E33" s="15"/>
      <c r="F33" s="647"/>
      <c r="G33" s="411"/>
      <c r="H33" s="743" t="str">
        <f t="shared" si="0"/>
        <v/>
      </c>
      <c r="I33" s="18"/>
      <c r="J33" s="61"/>
      <c r="K33" s="399"/>
      <c r="L33" s="420" t="str">
        <f t="shared" si="1"/>
        <v/>
      </c>
      <c r="M33" s="401" t="str">
        <f t="shared" si="2"/>
        <v/>
      </c>
    </row>
    <row r="34" spans="2:13" s="36" customFormat="1" ht="26" x14ac:dyDescent="0.25">
      <c r="B34" s="146" t="s">
        <v>160</v>
      </c>
      <c r="C34" s="19" t="s">
        <v>157</v>
      </c>
      <c r="D34" s="15"/>
      <c r="E34" s="15"/>
      <c r="F34" s="580"/>
      <c r="G34" s="424"/>
      <c r="H34" s="743" t="str">
        <f t="shared" si="0"/>
        <v/>
      </c>
      <c r="I34" s="18"/>
      <c r="J34" s="61"/>
      <c r="K34" s="399"/>
      <c r="L34" s="420" t="str">
        <f t="shared" si="1"/>
        <v/>
      </c>
      <c r="M34" s="401" t="str">
        <f t="shared" si="2"/>
        <v/>
      </c>
    </row>
    <row r="35" spans="2:13" s="36" customFormat="1" x14ac:dyDescent="0.25">
      <c r="B35" s="58"/>
      <c r="C35" s="14"/>
      <c r="D35" s="15"/>
      <c r="E35" s="15"/>
      <c r="F35" s="580"/>
      <c r="G35" s="424"/>
      <c r="H35" s="743" t="str">
        <f t="shared" si="0"/>
        <v/>
      </c>
      <c r="I35" s="18"/>
      <c r="J35" s="61"/>
      <c r="K35" s="399"/>
      <c r="L35" s="420" t="str">
        <f t="shared" si="1"/>
        <v/>
      </c>
      <c r="M35" s="401" t="str">
        <f t="shared" si="2"/>
        <v/>
      </c>
    </row>
    <row r="36" spans="2:13" s="36" customFormat="1" x14ac:dyDescent="0.25">
      <c r="B36" s="58" t="s">
        <v>158</v>
      </c>
      <c r="C36" s="14" t="s">
        <v>161</v>
      </c>
      <c r="D36" s="15" t="s">
        <v>556</v>
      </c>
      <c r="E36" s="15"/>
      <c r="F36" s="580">
        <v>20000</v>
      </c>
      <c r="G36" s="424">
        <v>1</v>
      </c>
      <c r="H36" s="743">
        <f t="shared" si="0"/>
        <v>20000</v>
      </c>
      <c r="I36" s="18"/>
      <c r="J36" s="61"/>
      <c r="K36" s="399"/>
      <c r="L36" s="420" t="str">
        <f t="shared" si="1"/>
        <v/>
      </c>
      <c r="M36" s="401" t="str">
        <f t="shared" si="2"/>
        <v/>
      </c>
    </row>
    <row r="37" spans="2:13" s="36" customFormat="1" x14ac:dyDescent="0.25">
      <c r="B37" s="58"/>
      <c r="C37" s="14"/>
      <c r="D37" s="15"/>
      <c r="E37" s="15"/>
      <c r="F37" s="580"/>
      <c r="G37" s="424"/>
      <c r="H37" s="743" t="str">
        <f t="shared" si="0"/>
        <v/>
      </c>
      <c r="I37" s="18"/>
      <c r="J37" s="61"/>
      <c r="K37" s="399"/>
      <c r="L37" s="420" t="str">
        <f t="shared" si="1"/>
        <v/>
      </c>
      <c r="M37" s="401" t="str">
        <f t="shared" si="2"/>
        <v/>
      </c>
    </row>
    <row r="38" spans="2:13" s="36" customFormat="1" ht="25" x14ac:dyDescent="0.25">
      <c r="B38" s="58" t="s">
        <v>159</v>
      </c>
      <c r="C38" s="14" t="s">
        <v>162</v>
      </c>
      <c r="D38" s="15" t="s">
        <v>26</v>
      </c>
      <c r="E38" s="15"/>
      <c r="F38" s="580">
        <f>F36</f>
        <v>20000</v>
      </c>
      <c r="G38" s="758">
        <f>_Markup</f>
        <v>0.05</v>
      </c>
      <c r="H38" s="743">
        <f t="shared" si="0"/>
        <v>1000</v>
      </c>
      <c r="I38" s="18"/>
      <c r="J38" s="61"/>
      <c r="K38" s="399"/>
      <c r="L38" s="420" t="str">
        <f t="shared" si="1"/>
        <v/>
      </c>
      <c r="M38" s="401" t="str">
        <f t="shared" si="2"/>
        <v/>
      </c>
    </row>
    <row r="39" spans="2:13" s="36" customFormat="1" x14ac:dyDescent="0.25">
      <c r="B39" s="58"/>
      <c r="C39" s="566"/>
      <c r="D39" s="391"/>
      <c r="E39" s="391"/>
      <c r="F39" s="567"/>
      <c r="G39" s="614"/>
      <c r="H39" s="763" t="str">
        <f t="shared" si="0"/>
        <v/>
      </c>
      <c r="I39" s="18"/>
      <c r="J39" s="61"/>
      <c r="K39" s="399"/>
      <c r="L39" s="420" t="str">
        <f t="shared" si="1"/>
        <v/>
      </c>
      <c r="M39" s="401" t="str">
        <f t="shared" si="2"/>
        <v/>
      </c>
    </row>
    <row r="40" spans="2:13" s="36" customFormat="1" ht="26" x14ac:dyDescent="0.25">
      <c r="B40" s="146" t="s">
        <v>1958</v>
      </c>
      <c r="C40" s="19" t="s">
        <v>668</v>
      </c>
      <c r="D40" s="15"/>
      <c r="E40" s="15"/>
      <c r="F40" s="580"/>
      <c r="G40" s="424"/>
      <c r="H40" s="743" t="str">
        <f t="shared" si="0"/>
        <v/>
      </c>
      <c r="I40" s="18"/>
      <c r="J40" s="62"/>
      <c r="K40" s="62"/>
      <c r="L40" s="420" t="str">
        <f t="shared" si="1"/>
        <v/>
      </c>
      <c r="M40" s="401" t="str">
        <f t="shared" si="2"/>
        <v/>
      </c>
    </row>
    <row r="41" spans="2:13" s="36" customFormat="1" x14ac:dyDescent="0.25">
      <c r="B41" s="58"/>
      <c r="C41" s="14"/>
      <c r="D41" s="15"/>
      <c r="E41" s="15"/>
      <c r="F41" s="580"/>
      <c r="G41" s="424"/>
      <c r="H41" s="743" t="str">
        <f t="shared" si="0"/>
        <v/>
      </c>
      <c r="I41" s="18"/>
      <c r="J41" s="62"/>
      <c r="K41" s="62"/>
      <c r="L41" s="420" t="str">
        <f t="shared" si="1"/>
        <v/>
      </c>
      <c r="M41" s="401" t="str">
        <f t="shared" si="2"/>
        <v/>
      </c>
    </row>
    <row r="42" spans="2:13" s="36" customFormat="1" x14ac:dyDescent="0.25">
      <c r="B42" s="58" t="s">
        <v>650</v>
      </c>
      <c r="C42" s="14" t="s">
        <v>667</v>
      </c>
      <c r="D42" s="15"/>
      <c r="E42" s="15"/>
      <c r="F42" s="580"/>
      <c r="G42" s="424"/>
      <c r="H42" s="743" t="str">
        <f t="shared" si="0"/>
        <v/>
      </c>
      <c r="I42" s="18"/>
      <c r="J42" s="62"/>
      <c r="K42" s="62"/>
      <c r="L42" s="420" t="str">
        <f t="shared" si="1"/>
        <v/>
      </c>
      <c r="M42" s="401" t="str">
        <f t="shared" si="2"/>
        <v/>
      </c>
    </row>
    <row r="43" spans="2:13" s="36" customFormat="1" x14ac:dyDescent="0.25">
      <c r="B43" s="58"/>
      <c r="C43" s="14"/>
      <c r="D43" s="15"/>
      <c r="E43" s="15"/>
      <c r="F43" s="580"/>
      <c r="G43" s="424"/>
      <c r="H43" s="743" t="str">
        <f t="shared" si="0"/>
        <v/>
      </c>
      <c r="I43" s="18"/>
      <c r="J43" s="62"/>
      <c r="K43" s="62"/>
      <c r="L43" s="420" t="str">
        <f t="shared" si="1"/>
        <v/>
      </c>
      <c r="M43" s="401" t="str">
        <f t="shared" si="2"/>
        <v/>
      </c>
    </row>
    <row r="44" spans="2:13" s="36" customFormat="1" x14ac:dyDescent="0.25">
      <c r="B44" s="58" t="s">
        <v>39</v>
      </c>
      <c r="C44" s="14" t="s">
        <v>649</v>
      </c>
      <c r="D44" s="15" t="s">
        <v>6</v>
      </c>
      <c r="E44" s="15"/>
      <c r="F44" s="580">
        <v>20</v>
      </c>
      <c r="G44" s="424">
        <v>475</v>
      </c>
      <c r="H44" s="743">
        <f t="shared" si="0"/>
        <v>9500</v>
      </c>
      <c r="I44" s="18"/>
      <c r="J44" s="62" t="s">
        <v>1721</v>
      </c>
      <c r="K44" s="399">
        <f>IF(D44="","",ROUND(Labour_perc_roads*G44,1))</f>
        <v>13.8</v>
      </c>
      <c r="L44" s="420">
        <f t="shared" si="1"/>
        <v>276</v>
      </c>
      <c r="M44" s="401">
        <f t="shared" si="2"/>
        <v>2.9052631578947368E-2</v>
      </c>
    </row>
    <row r="45" spans="2:13" s="36" customFormat="1" x14ac:dyDescent="0.25">
      <c r="B45" s="58"/>
      <c r="C45" s="14"/>
      <c r="D45" s="15"/>
      <c r="E45" s="15"/>
      <c r="F45" s="580"/>
      <c r="G45" s="424"/>
      <c r="H45" s="743" t="str">
        <f t="shared" si="0"/>
        <v/>
      </c>
      <c r="I45" s="18"/>
      <c r="J45" s="62"/>
      <c r="K45" s="62"/>
      <c r="L45" s="420" t="str">
        <f t="shared" si="1"/>
        <v/>
      </c>
      <c r="M45" s="401" t="str">
        <f t="shared" si="2"/>
        <v/>
      </c>
    </row>
    <row r="46" spans="2:13" s="36" customFormat="1" x14ac:dyDescent="0.25">
      <c r="B46" s="58" t="s">
        <v>666</v>
      </c>
      <c r="C46" s="133" t="s">
        <v>665</v>
      </c>
      <c r="D46" s="15"/>
      <c r="E46" s="15"/>
      <c r="F46" s="580"/>
      <c r="G46" s="424"/>
      <c r="H46" s="743" t="str">
        <f t="shared" si="0"/>
        <v/>
      </c>
      <c r="I46" s="18"/>
      <c r="J46" s="62"/>
      <c r="K46" s="62"/>
      <c r="L46" s="420" t="str">
        <f t="shared" si="1"/>
        <v/>
      </c>
      <c r="M46" s="401" t="str">
        <f t="shared" si="2"/>
        <v/>
      </c>
    </row>
    <row r="47" spans="2:13" s="36" customFormat="1" x14ac:dyDescent="0.25">
      <c r="B47" s="58"/>
      <c r="C47" s="133"/>
      <c r="D47" s="61"/>
      <c r="E47" s="61"/>
      <c r="F47" s="580"/>
      <c r="G47" s="424"/>
      <c r="H47" s="743" t="str">
        <f t="shared" si="0"/>
        <v/>
      </c>
      <c r="I47" s="18"/>
      <c r="J47" s="62"/>
      <c r="K47" s="62"/>
      <c r="L47" s="420" t="str">
        <f t="shared" si="1"/>
        <v/>
      </c>
      <c r="M47" s="401" t="str">
        <f t="shared" si="2"/>
        <v/>
      </c>
    </row>
    <row r="48" spans="2:13" s="36" customFormat="1" x14ac:dyDescent="0.25">
      <c r="B48" s="58" t="s">
        <v>39</v>
      </c>
      <c r="C48" s="14" t="s">
        <v>664</v>
      </c>
      <c r="D48" s="15" t="s">
        <v>34</v>
      </c>
      <c r="E48" s="15"/>
      <c r="F48" s="580">
        <v>4</v>
      </c>
      <c r="G48" s="424">
        <v>750</v>
      </c>
      <c r="H48" s="743">
        <f t="shared" si="0"/>
        <v>3000</v>
      </c>
      <c r="I48" s="18"/>
      <c r="J48" s="62" t="s">
        <v>1721</v>
      </c>
      <c r="K48" s="399">
        <f>IF(D48="","",ROUND(Labour_perc_roads*G48,1))</f>
        <v>21.8</v>
      </c>
      <c r="L48" s="420">
        <f t="shared" si="1"/>
        <v>87.2</v>
      </c>
      <c r="M48" s="401">
        <f t="shared" si="2"/>
        <v>2.9066666666666668E-2</v>
      </c>
    </row>
    <row r="49" spans="2:13" s="36" customFormat="1" x14ac:dyDescent="0.25">
      <c r="B49" s="58"/>
      <c r="C49" s="14"/>
      <c r="D49" s="15"/>
      <c r="E49" s="15"/>
      <c r="F49" s="580"/>
      <c r="G49" s="424"/>
      <c r="H49" s="743" t="str">
        <f t="shared" si="0"/>
        <v/>
      </c>
      <c r="I49" s="18"/>
      <c r="J49" s="62"/>
      <c r="K49" s="399"/>
      <c r="L49" s="420" t="str">
        <f t="shared" si="1"/>
        <v/>
      </c>
      <c r="M49" s="401" t="str">
        <f t="shared" si="2"/>
        <v/>
      </c>
    </row>
    <row r="50" spans="2:13" s="36" customFormat="1" ht="65" x14ac:dyDescent="0.25">
      <c r="B50" s="146" t="s">
        <v>1930</v>
      </c>
      <c r="C50" s="672" t="s">
        <v>716</v>
      </c>
      <c r="D50" s="15"/>
      <c r="E50" s="15"/>
      <c r="F50" s="15"/>
      <c r="G50" s="411"/>
      <c r="H50" s="743" t="str">
        <f t="shared" si="0"/>
        <v/>
      </c>
      <c r="I50" s="18"/>
      <c r="J50" s="61"/>
      <c r="K50" s="399"/>
      <c r="L50" s="420" t="str">
        <f t="shared" si="1"/>
        <v/>
      </c>
      <c r="M50" s="401" t="str">
        <f t="shared" si="2"/>
        <v/>
      </c>
    </row>
    <row r="51" spans="2:13" s="36" customFormat="1" x14ac:dyDescent="0.25">
      <c r="B51" s="58"/>
      <c r="C51" s="65"/>
      <c r="D51" s="15"/>
      <c r="E51" s="15"/>
      <c r="F51" s="15"/>
      <c r="G51" s="411"/>
      <c r="H51" s="743" t="str">
        <f t="shared" si="0"/>
        <v/>
      </c>
      <c r="I51" s="18"/>
      <c r="J51" s="61"/>
      <c r="K51" s="399"/>
      <c r="L51" s="420" t="str">
        <f t="shared" si="1"/>
        <v/>
      </c>
      <c r="M51" s="401" t="str">
        <f t="shared" si="2"/>
        <v/>
      </c>
    </row>
    <row r="52" spans="2:13" s="36" customFormat="1" ht="25" x14ac:dyDescent="0.25">
      <c r="B52" s="58" t="s">
        <v>715</v>
      </c>
      <c r="C52" s="65" t="s">
        <v>1931</v>
      </c>
      <c r="D52" s="15"/>
      <c r="E52" s="15"/>
      <c r="F52" s="15"/>
      <c r="G52" s="411"/>
      <c r="H52" s="743" t="str">
        <f t="shared" si="0"/>
        <v/>
      </c>
      <c r="I52" s="18"/>
      <c r="J52" s="61"/>
      <c r="K52" s="399"/>
      <c r="L52" s="420" t="str">
        <f t="shared" si="1"/>
        <v/>
      </c>
      <c r="M52" s="401" t="str">
        <f t="shared" si="2"/>
        <v/>
      </c>
    </row>
    <row r="53" spans="2:13" s="36" customFormat="1" x14ac:dyDescent="0.25">
      <c r="B53" s="58"/>
      <c r="C53" s="65"/>
      <c r="D53" s="15"/>
      <c r="E53" s="15"/>
      <c r="F53" s="15"/>
      <c r="G53" s="411"/>
      <c r="H53" s="743" t="str">
        <f t="shared" si="0"/>
        <v/>
      </c>
      <c r="I53" s="18"/>
      <c r="J53" s="61"/>
      <c r="K53" s="402"/>
      <c r="L53" s="420" t="str">
        <f t="shared" si="1"/>
        <v/>
      </c>
      <c r="M53" s="401" t="str">
        <f t="shared" si="2"/>
        <v/>
      </c>
    </row>
    <row r="54" spans="2:13" s="36" customFormat="1" x14ac:dyDescent="0.25">
      <c r="B54" s="58" t="s">
        <v>39</v>
      </c>
      <c r="C54" s="65" t="s">
        <v>1932</v>
      </c>
      <c r="D54" s="15" t="s">
        <v>700</v>
      </c>
      <c r="E54" s="15"/>
      <c r="F54" s="15">
        <v>2</v>
      </c>
      <c r="G54" s="411">
        <v>1500</v>
      </c>
      <c r="H54" s="743">
        <f t="shared" si="0"/>
        <v>3000</v>
      </c>
      <c r="I54" s="18"/>
      <c r="J54" s="61" t="s">
        <v>1721</v>
      </c>
      <c r="K54" s="399">
        <f>_Sign</f>
        <v>90</v>
      </c>
      <c r="L54" s="420">
        <f t="shared" si="1"/>
        <v>180</v>
      </c>
      <c r="M54" s="401">
        <f t="shared" si="2"/>
        <v>0.06</v>
      </c>
    </row>
    <row r="55" spans="2:13" s="36" customFormat="1" x14ac:dyDescent="0.25">
      <c r="B55" s="58"/>
      <c r="C55" s="65"/>
      <c r="D55" s="15"/>
      <c r="E55" s="15"/>
      <c r="F55" s="15"/>
      <c r="G55" s="411"/>
      <c r="H55" s="743" t="str">
        <f t="shared" si="0"/>
        <v/>
      </c>
      <c r="I55" s="18"/>
      <c r="J55" s="61"/>
      <c r="K55" s="402"/>
      <c r="L55" s="420" t="str">
        <f t="shared" si="1"/>
        <v/>
      </c>
      <c r="M55" s="401" t="str">
        <f t="shared" si="2"/>
        <v/>
      </c>
    </row>
    <row r="56" spans="2:13" s="36" customFormat="1" x14ac:dyDescent="0.25">
      <c r="B56" s="58" t="s">
        <v>41</v>
      </c>
      <c r="C56" s="65" t="s">
        <v>1933</v>
      </c>
      <c r="D56" s="15" t="s">
        <v>700</v>
      </c>
      <c r="E56" s="15"/>
      <c r="F56" s="15">
        <v>3</v>
      </c>
      <c r="G56" s="411">
        <v>1000</v>
      </c>
      <c r="H56" s="743">
        <f t="shared" si="0"/>
        <v>3000</v>
      </c>
      <c r="I56" s="18"/>
      <c r="J56" s="61" t="s">
        <v>1721</v>
      </c>
      <c r="K56" s="399">
        <f>_Sign</f>
        <v>90</v>
      </c>
      <c r="L56" s="420">
        <f t="shared" si="1"/>
        <v>270</v>
      </c>
      <c r="M56" s="401">
        <f t="shared" si="2"/>
        <v>0.09</v>
      </c>
    </row>
    <row r="57" spans="2:13" s="36" customFormat="1" x14ac:dyDescent="0.25">
      <c r="B57" s="58"/>
      <c r="C57" s="65"/>
      <c r="D57" s="15"/>
      <c r="E57" s="15"/>
      <c r="F57" s="15"/>
      <c r="G57" s="411"/>
      <c r="H57" s="743" t="str">
        <f t="shared" si="0"/>
        <v/>
      </c>
      <c r="I57" s="18"/>
      <c r="J57" s="61"/>
      <c r="K57" s="399"/>
      <c r="L57" s="420" t="str">
        <f t="shared" si="1"/>
        <v/>
      </c>
      <c r="M57" s="401" t="str">
        <f t="shared" si="2"/>
        <v/>
      </c>
    </row>
    <row r="58" spans="2:13" s="36" customFormat="1" x14ac:dyDescent="0.25">
      <c r="B58" s="58" t="s">
        <v>52</v>
      </c>
      <c r="C58" s="65" t="s">
        <v>1934</v>
      </c>
      <c r="D58" s="15" t="s">
        <v>700</v>
      </c>
      <c r="E58" s="15"/>
      <c r="F58" s="15">
        <v>3</v>
      </c>
      <c r="G58" s="411">
        <v>1200</v>
      </c>
      <c r="H58" s="743">
        <f t="shared" si="0"/>
        <v>3600</v>
      </c>
      <c r="I58" s="18"/>
      <c r="J58" s="61" t="s">
        <v>1721</v>
      </c>
      <c r="K58" s="399">
        <f>_Sign</f>
        <v>90</v>
      </c>
      <c r="L58" s="420">
        <f t="shared" si="1"/>
        <v>270</v>
      </c>
      <c r="M58" s="401">
        <f t="shared" si="2"/>
        <v>7.4999999999999997E-2</v>
      </c>
    </row>
    <row r="59" spans="2:13" s="36" customFormat="1" x14ac:dyDescent="0.25">
      <c r="B59" s="58"/>
      <c r="C59" s="14"/>
      <c r="D59" s="21"/>
      <c r="E59" s="21"/>
      <c r="F59" s="647"/>
      <c r="G59" s="411"/>
      <c r="H59" s="743" t="str">
        <f t="shared" si="0"/>
        <v/>
      </c>
      <c r="I59" s="18"/>
      <c r="J59" s="61"/>
      <c r="K59" s="399"/>
      <c r="L59" s="420" t="str">
        <f t="shared" si="1"/>
        <v/>
      </c>
      <c r="M59" s="401" t="str">
        <f t="shared" si="2"/>
        <v/>
      </c>
    </row>
    <row r="60" spans="2:13" s="36" customFormat="1" x14ac:dyDescent="0.25">
      <c r="B60" s="58" t="s">
        <v>710</v>
      </c>
      <c r="C60" s="386" t="s">
        <v>709</v>
      </c>
      <c r="D60" s="390"/>
      <c r="E60" s="390"/>
      <c r="F60" s="15"/>
      <c r="G60" s="411"/>
      <c r="H60" s="743" t="str">
        <f t="shared" si="0"/>
        <v/>
      </c>
      <c r="I60" s="18"/>
      <c r="J60" s="61"/>
      <c r="K60" s="399"/>
      <c r="L60" s="420" t="str">
        <f t="shared" si="1"/>
        <v/>
      </c>
      <c r="M60" s="401" t="str">
        <f t="shared" si="2"/>
        <v/>
      </c>
    </row>
    <row r="61" spans="2:13" s="36" customFormat="1" x14ac:dyDescent="0.25">
      <c r="B61" s="58"/>
      <c r="C61" s="386"/>
      <c r="D61" s="390"/>
      <c r="E61" s="390"/>
      <c r="F61" s="15"/>
      <c r="G61" s="411"/>
      <c r="H61" s="17" t="str">
        <f t="shared" si="0"/>
        <v/>
      </c>
      <c r="I61" s="18"/>
      <c r="J61" s="62"/>
      <c r="K61" s="62"/>
      <c r="L61" s="420" t="str">
        <f t="shared" si="1"/>
        <v/>
      </c>
      <c r="M61" s="401" t="str">
        <f t="shared" si="2"/>
        <v/>
      </c>
    </row>
    <row r="62" spans="2:13" s="36" customFormat="1" ht="25" x14ac:dyDescent="0.25">
      <c r="B62" s="58" t="s">
        <v>41</v>
      </c>
      <c r="C62" s="65" t="s">
        <v>1935</v>
      </c>
      <c r="D62" s="15" t="s">
        <v>34</v>
      </c>
      <c r="E62" s="15"/>
      <c r="F62" s="15">
        <v>8</v>
      </c>
      <c r="G62" s="411">
        <v>500</v>
      </c>
      <c r="H62" s="17">
        <f t="shared" si="0"/>
        <v>4000</v>
      </c>
      <c r="I62" s="18"/>
      <c r="J62" s="61" t="s">
        <v>1721</v>
      </c>
      <c r="K62" s="399">
        <f>_Sign</f>
        <v>90</v>
      </c>
      <c r="L62" s="420">
        <f t="shared" si="1"/>
        <v>720</v>
      </c>
      <c r="M62" s="401">
        <f t="shared" si="2"/>
        <v>0.18</v>
      </c>
    </row>
    <row r="63" spans="2:13" s="36" customFormat="1" x14ac:dyDescent="0.25">
      <c r="B63" s="58"/>
      <c r="C63" s="14"/>
      <c r="D63" s="21"/>
      <c r="E63" s="21"/>
      <c r="F63" s="647"/>
      <c r="G63" s="411"/>
      <c r="H63" s="743" t="str">
        <f t="shared" si="0"/>
        <v/>
      </c>
      <c r="I63" s="18"/>
      <c r="J63" s="61"/>
      <c r="K63" s="399"/>
      <c r="L63" s="420" t="str">
        <f t="shared" si="1"/>
        <v/>
      </c>
      <c r="M63" s="401" t="str">
        <f t="shared" si="2"/>
        <v/>
      </c>
    </row>
    <row r="64" spans="2:13" s="36" customFormat="1" x14ac:dyDescent="0.25">
      <c r="B64" s="58"/>
      <c r="C64" s="14"/>
      <c r="D64" s="21"/>
      <c r="E64" s="21"/>
      <c r="F64" s="647"/>
      <c r="G64" s="411"/>
      <c r="H64" s="743"/>
      <c r="I64" s="18"/>
      <c r="J64" s="61"/>
      <c r="K64" s="399"/>
      <c r="L64" s="420"/>
      <c r="M64" s="401"/>
    </row>
    <row r="65" spans="2:13" x14ac:dyDescent="0.25">
      <c r="B65" s="58"/>
      <c r="C65" s="14"/>
      <c r="D65" s="15"/>
      <c r="E65" s="15"/>
      <c r="F65" s="15"/>
      <c r="G65" s="424"/>
      <c r="H65" s="743" t="str">
        <f t="shared" si="0"/>
        <v/>
      </c>
      <c r="I65" s="40"/>
      <c r="J65" s="61"/>
      <c r="K65" s="696"/>
      <c r="L65" s="420" t="str">
        <f t="shared" si="1"/>
        <v/>
      </c>
      <c r="M65" s="401" t="str">
        <f t="shared" si="2"/>
        <v/>
      </c>
    </row>
    <row r="66" spans="2:13" s="28" customFormat="1" ht="20.149999999999999" customHeight="1" x14ac:dyDescent="0.25">
      <c r="B66" s="80" t="str">
        <f>$B$12</f>
        <v>C1.5</v>
      </c>
      <c r="C66" s="498" t="str">
        <f>"TOTAL CARRIED FORWARD"&amp;IF(H66=H$1," TO SUMMARY","")</f>
        <v>TOTAL CARRIED FORWARD</v>
      </c>
      <c r="D66" s="31"/>
      <c r="E66" s="31"/>
      <c r="F66" s="32"/>
      <c r="G66" s="31"/>
      <c r="H66" s="33">
        <f>SUM(H11:H65)</f>
        <v>1325260</v>
      </c>
      <c r="I66" s="34"/>
      <c r="J66" s="408"/>
      <c r="K66" s="406"/>
      <c r="L66" s="418">
        <f>SUM(L11:L65)</f>
        <v>660083.83999999985</v>
      </c>
      <c r="M66" s="407" t="str">
        <f t="shared" si="2"/>
        <v/>
      </c>
    </row>
    <row r="67" spans="2:13" ht="13" x14ac:dyDescent="0.25">
      <c r="B67" s="1108" t="str">
        <f>Client1</f>
        <v>Province of KwaZulu-Natal</v>
      </c>
      <c r="C67" s="1108"/>
      <c r="D67" s="1108"/>
      <c r="E67" s="87"/>
      <c r="F67" s="1109" t="str">
        <f>"Contract No. "&amp;ContractNo</f>
        <v>Contract No. ZNB 00399/00000/HOD/INF/21/T</v>
      </c>
      <c r="G67" s="1109"/>
      <c r="H67" s="1109"/>
    </row>
    <row r="68" spans="2:13" ht="13" x14ac:dyDescent="0.25">
      <c r="B68" s="1108" t="str">
        <f>Client2</f>
        <v>Department of Transport</v>
      </c>
      <c r="C68" s="1108"/>
      <c r="D68" s="1108"/>
      <c r="E68" s="87"/>
      <c r="F68" s="1109"/>
      <c r="G68" s="1109"/>
      <c r="H68" s="1109"/>
    </row>
    <row r="69" spans="2:13" x14ac:dyDescent="0.25">
      <c r="B69" s="1111"/>
      <c r="C69" s="1111"/>
      <c r="D69" s="1111"/>
      <c r="E69" s="78"/>
      <c r="F69" s="1110"/>
      <c r="G69" s="1110"/>
      <c r="H69" s="1110"/>
    </row>
    <row r="70" spans="2:13" ht="13" x14ac:dyDescent="0.25">
      <c r="B70" s="1112" t="s">
        <v>8</v>
      </c>
      <c r="C70" s="1113"/>
      <c r="D70" s="1113"/>
      <c r="E70" s="1113"/>
      <c r="F70" s="1113"/>
      <c r="G70" s="1113"/>
      <c r="H70" s="1114" t="str">
        <f>$H$6</f>
        <v>CHAPTER C1.5</v>
      </c>
      <c r="I70" s="6"/>
    </row>
    <row r="71" spans="2:13" ht="13" x14ac:dyDescent="0.25">
      <c r="B71" s="1117" t="str">
        <f>ContractDescription</f>
        <v>THE CONSTRUCTION OF EARTHWORKS, LAYERWORKS, SURFACING, CULVERTS AND CWAKA RIVER BRIDGE FROM KM 11.600 TO KM 14.000 ON MAIN ROAD P494 IN THE KING CETSHWAYO DISTRICT UNDER EMPANGENI REGION</v>
      </c>
      <c r="C71" s="1118"/>
      <c r="D71" s="1118"/>
      <c r="E71" s="1118"/>
      <c r="F71" s="1118"/>
      <c r="G71" s="1118"/>
      <c r="H71" s="1115"/>
      <c r="I71" s="8"/>
    </row>
    <row r="72" spans="2:13" ht="13" x14ac:dyDescent="0.25">
      <c r="B72" s="1117"/>
      <c r="C72" s="1118"/>
      <c r="D72" s="1118"/>
      <c r="E72" s="1118"/>
      <c r="F72" s="1118"/>
      <c r="G72" s="1118"/>
      <c r="H72" s="1115"/>
      <c r="I72" s="8"/>
    </row>
    <row r="73" spans="2:13" ht="13" x14ac:dyDescent="0.25">
      <c r="B73" s="1119"/>
      <c r="C73" s="1120"/>
      <c r="D73" s="1120"/>
      <c r="E73" s="1120"/>
      <c r="F73" s="1120"/>
      <c r="G73" s="1120"/>
      <c r="H73" s="1116"/>
      <c r="I73" s="8"/>
    </row>
    <row r="74" spans="2:13" s="9" customFormat="1" ht="25" customHeight="1" x14ac:dyDescent="0.25">
      <c r="B74" s="74" t="s">
        <v>0</v>
      </c>
      <c r="C74" s="11" t="s">
        <v>1</v>
      </c>
      <c r="D74" s="11" t="s">
        <v>2</v>
      </c>
      <c r="E74" s="11"/>
      <c r="F74" s="11" t="s">
        <v>3</v>
      </c>
      <c r="G74" s="11" t="s">
        <v>4</v>
      </c>
      <c r="H74" s="11" t="s">
        <v>5</v>
      </c>
      <c r="I74" s="12"/>
      <c r="J74" s="408" t="s">
        <v>996</v>
      </c>
      <c r="K74" s="253" t="s">
        <v>997</v>
      </c>
      <c r="L74" s="253" t="s">
        <v>998</v>
      </c>
      <c r="M74" s="253" t="s">
        <v>999</v>
      </c>
    </row>
    <row r="75" spans="2:13" s="28" customFormat="1" ht="20.149999999999999" customHeight="1" x14ac:dyDescent="0.25">
      <c r="B75" s="80"/>
      <c r="C75" s="30" t="s">
        <v>27</v>
      </c>
      <c r="D75" s="31"/>
      <c r="E75" s="31"/>
      <c r="F75" s="32"/>
      <c r="G75" s="31"/>
      <c r="H75" s="33">
        <f>H66</f>
        <v>1325260</v>
      </c>
      <c r="I75" s="34"/>
      <c r="J75" s="416"/>
      <c r="K75" s="409"/>
      <c r="L75" s="419">
        <f>L66</f>
        <v>660083.83999999985</v>
      </c>
      <c r="M75" s="410" t="str">
        <f>IF(F75="","",IF(SUM(I75)=0,"",L75/I75))</f>
        <v/>
      </c>
    </row>
    <row r="76" spans="2:13" x14ac:dyDescent="0.25">
      <c r="B76" s="58"/>
      <c r="C76" s="14"/>
      <c r="D76" s="15"/>
      <c r="E76" s="15"/>
      <c r="F76" s="580"/>
      <c r="G76" s="422"/>
      <c r="H76" s="17"/>
      <c r="I76" s="18"/>
      <c r="J76" s="61"/>
      <c r="K76" s="399"/>
      <c r="L76" s="420" t="str">
        <f t="shared" ref="L76:L85" si="4">IF(J76="","",F76*K76)</f>
        <v/>
      </c>
      <c r="M76" s="401" t="str">
        <f t="shared" ref="M76:M85" si="5">IF(J76="","",IF(SUM(H76)=0,"",L76/H76))</f>
        <v/>
      </c>
    </row>
    <row r="77" spans="2:13" x14ac:dyDescent="0.25">
      <c r="B77" s="58" t="s">
        <v>706</v>
      </c>
      <c r="C77" s="65" t="s">
        <v>705</v>
      </c>
      <c r="D77" s="15"/>
      <c r="E77" s="15"/>
      <c r="F77" s="15"/>
      <c r="G77" s="411"/>
      <c r="H77" s="17" t="str">
        <f t="shared" ref="H77:H81" si="6">IF(D77="","",F77*G77)</f>
        <v/>
      </c>
      <c r="I77" s="18"/>
      <c r="J77" s="61"/>
      <c r="K77" s="62"/>
      <c r="L77" s="420" t="str">
        <f t="shared" ref="L77:L81" si="7">IF(J77="","",F77*K77)</f>
        <v/>
      </c>
      <c r="M77" s="401" t="str">
        <f t="shared" ref="M77:M81" si="8">IF(J77="","",IF(SUM(H77)=0,"",L77/H77))</f>
        <v/>
      </c>
    </row>
    <row r="78" spans="2:13" x14ac:dyDescent="0.25">
      <c r="B78" s="58"/>
      <c r="C78" s="65"/>
      <c r="D78" s="15"/>
      <c r="E78" s="15"/>
      <c r="F78" s="15"/>
      <c r="G78" s="411"/>
      <c r="H78" s="17" t="str">
        <f t="shared" si="6"/>
        <v/>
      </c>
      <c r="I78" s="18"/>
      <c r="J78" s="62"/>
      <c r="K78" s="62"/>
      <c r="L78" s="420" t="str">
        <f t="shared" si="7"/>
        <v/>
      </c>
      <c r="M78" s="401" t="str">
        <f t="shared" si="8"/>
        <v/>
      </c>
    </row>
    <row r="79" spans="2:13" ht="25" x14ac:dyDescent="0.25">
      <c r="B79" s="58" t="s">
        <v>52</v>
      </c>
      <c r="C79" s="751" t="s">
        <v>1936</v>
      </c>
      <c r="D79" s="15" t="s">
        <v>34</v>
      </c>
      <c r="E79" s="15"/>
      <c r="F79" s="15">
        <v>8</v>
      </c>
      <c r="G79" s="411">
        <v>500</v>
      </c>
      <c r="H79" s="17">
        <f t="shared" si="6"/>
        <v>4000</v>
      </c>
      <c r="I79" s="18"/>
      <c r="J79" s="61" t="s">
        <v>1721</v>
      </c>
      <c r="K79" s="399">
        <f>_Sign</f>
        <v>90</v>
      </c>
      <c r="L79" s="420">
        <f t="shared" si="7"/>
        <v>720</v>
      </c>
      <c r="M79" s="401">
        <f t="shared" si="8"/>
        <v>0.18</v>
      </c>
    </row>
    <row r="80" spans="2:13" x14ac:dyDescent="0.25">
      <c r="B80" s="58"/>
      <c r="C80" s="65"/>
      <c r="D80" s="15"/>
      <c r="E80" s="15"/>
      <c r="F80" s="15"/>
      <c r="G80" s="411"/>
      <c r="H80" s="17" t="str">
        <f t="shared" si="6"/>
        <v/>
      </c>
      <c r="I80" s="18"/>
      <c r="J80" s="62"/>
      <c r="K80" s="62"/>
      <c r="L80" s="420" t="str">
        <f t="shared" si="7"/>
        <v/>
      </c>
      <c r="M80" s="401" t="str">
        <f t="shared" si="8"/>
        <v/>
      </c>
    </row>
    <row r="81" spans="2:13" ht="37.5" x14ac:dyDescent="0.25">
      <c r="B81" s="58" t="s">
        <v>704</v>
      </c>
      <c r="C81" s="65" t="s">
        <v>1937</v>
      </c>
      <c r="D81" s="15" t="s">
        <v>700</v>
      </c>
      <c r="E81" s="15"/>
      <c r="F81" s="15">
        <v>8</v>
      </c>
      <c r="G81" s="411">
        <v>1000</v>
      </c>
      <c r="H81" s="17">
        <f t="shared" si="6"/>
        <v>8000</v>
      </c>
      <c r="I81" s="18"/>
      <c r="J81" s="61" t="s">
        <v>1721</v>
      </c>
      <c r="K81" s="399">
        <f>_Sign</f>
        <v>90</v>
      </c>
      <c r="L81" s="420">
        <f t="shared" si="7"/>
        <v>720</v>
      </c>
      <c r="M81" s="401">
        <f t="shared" si="8"/>
        <v>0.09</v>
      </c>
    </row>
    <row r="82" spans="2:13" x14ac:dyDescent="0.25">
      <c r="B82" s="58"/>
      <c r="C82" s="65"/>
      <c r="D82" s="15"/>
      <c r="E82" s="15"/>
      <c r="F82" s="15"/>
      <c r="G82" s="411"/>
      <c r="H82" s="17" t="str">
        <f t="shared" ref="H82:H138" si="9">IF(D82="","",F82*G82)</f>
        <v/>
      </c>
      <c r="I82" s="18"/>
      <c r="J82" s="62"/>
      <c r="K82" s="62"/>
      <c r="L82" s="420" t="str">
        <f t="shared" si="4"/>
        <v/>
      </c>
      <c r="M82" s="401" t="str">
        <f t="shared" si="5"/>
        <v/>
      </c>
    </row>
    <row r="83" spans="2:13" x14ac:dyDescent="0.25">
      <c r="B83" s="58"/>
      <c r="C83" s="751"/>
      <c r="D83" s="15"/>
      <c r="E83" s="15"/>
      <c r="F83" s="15"/>
      <c r="G83" s="411"/>
      <c r="H83" s="17" t="str">
        <f t="shared" si="9"/>
        <v/>
      </c>
      <c r="I83" s="18"/>
      <c r="J83" s="61"/>
      <c r="K83" s="399"/>
      <c r="L83" s="420" t="str">
        <f t="shared" si="4"/>
        <v/>
      </c>
      <c r="M83" s="401" t="str">
        <f t="shared" si="5"/>
        <v/>
      </c>
    </row>
    <row r="84" spans="2:13" x14ac:dyDescent="0.25">
      <c r="B84" s="58"/>
      <c r="C84" s="65"/>
      <c r="D84" s="15"/>
      <c r="E84" s="15"/>
      <c r="F84" s="15"/>
      <c r="G84" s="411"/>
      <c r="H84" s="17" t="str">
        <f t="shared" si="9"/>
        <v/>
      </c>
      <c r="I84" s="18"/>
      <c r="J84" s="62"/>
      <c r="K84" s="62"/>
      <c r="L84" s="420" t="str">
        <f t="shared" si="4"/>
        <v/>
      </c>
      <c r="M84" s="401" t="str">
        <f t="shared" si="5"/>
        <v/>
      </c>
    </row>
    <row r="85" spans="2:13" x14ac:dyDescent="0.25">
      <c r="B85" s="58"/>
      <c r="C85" s="65"/>
      <c r="D85" s="15"/>
      <c r="E85" s="15"/>
      <c r="F85" s="15"/>
      <c r="G85" s="411"/>
      <c r="H85" s="17" t="str">
        <f t="shared" si="9"/>
        <v/>
      </c>
      <c r="I85" s="18"/>
      <c r="J85" s="61"/>
      <c r="K85" s="399"/>
      <c r="L85" s="420" t="str">
        <f t="shared" si="4"/>
        <v/>
      </c>
      <c r="M85" s="401" t="str">
        <f t="shared" si="5"/>
        <v/>
      </c>
    </row>
    <row r="86" spans="2:13" x14ac:dyDescent="0.25">
      <c r="B86" s="58"/>
      <c r="C86" s="14"/>
      <c r="D86" s="15"/>
      <c r="E86" s="15"/>
      <c r="F86" s="580"/>
      <c r="G86" s="424"/>
      <c r="H86" s="743" t="str">
        <f t="shared" si="9"/>
        <v/>
      </c>
      <c r="I86" s="18"/>
      <c r="J86" s="61"/>
      <c r="K86" s="402"/>
      <c r="L86" s="420" t="str">
        <f t="shared" ref="L86:L138" si="10">IF(J86="","",F86*K86)</f>
        <v/>
      </c>
      <c r="M86" s="401" t="str">
        <f t="shared" ref="M86:M138" si="11">IF(J86="","",IF(SUM(H86)=0,"",L86/H86))</f>
        <v/>
      </c>
    </row>
    <row r="87" spans="2:13" x14ac:dyDescent="0.25">
      <c r="B87" s="58"/>
      <c r="C87" s="14"/>
      <c r="D87" s="15"/>
      <c r="E87" s="15"/>
      <c r="F87" s="580"/>
      <c r="G87" s="424"/>
      <c r="H87" s="743" t="str">
        <f t="shared" si="9"/>
        <v/>
      </c>
      <c r="I87" s="18"/>
      <c r="J87" s="61"/>
      <c r="K87" s="402"/>
      <c r="L87" s="420" t="str">
        <f t="shared" si="10"/>
        <v/>
      </c>
      <c r="M87" s="401" t="str">
        <f t="shared" si="11"/>
        <v/>
      </c>
    </row>
    <row r="88" spans="2:13" x14ac:dyDescent="0.25">
      <c r="B88" s="58"/>
      <c r="C88" s="26"/>
      <c r="D88" s="15"/>
      <c r="E88" s="15"/>
      <c r="F88" s="580"/>
      <c r="G88" s="424"/>
      <c r="H88" s="743" t="str">
        <f t="shared" si="9"/>
        <v/>
      </c>
      <c r="I88" s="18"/>
      <c r="J88" s="61"/>
      <c r="K88" s="399"/>
      <c r="L88" s="420" t="str">
        <f t="shared" si="10"/>
        <v/>
      </c>
      <c r="M88" s="401" t="str">
        <f t="shared" si="11"/>
        <v/>
      </c>
    </row>
    <row r="89" spans="2:13" x14ac:dyDescent="0.25">
      <c r="B89" s="58"/>
      <c r="C89" s="26"/>
      <c r="D89" s="15"/>
      <c r="E89" s="15"/>
      <c r="F89" s="580"/>
      <c r="G89" s="424"/>
      <c r="H89" s="743" t="str">
        <f t="shared" si="9"/>
        <v/>
      </c>
      <c r="I89" s="18"/>
      <c r="J89" s="61"/>
      <c r="K89" s="399"/>
      <c r="L89" s="420" t="str">
        <f t="shared" si="10"/>
        <v/>
      </c>
      <c r="M89" s="401" t="str">
        <f t="shared" si="11"/>
        <v/>
      </c>
    </row>
    <row r="90" spans="2:13" x14ac:dyDescent="0.25">
      <c r="B90" s="58"/>
      <c r="C90" s="26"/>
      <c r="D90" s="15"/>
      <c r="E90" s="15"/>
      <c r="F90" s="580"/>
      <c r="G90" s="424"/>
      <c r="H90" s="743" t="str">
        <f t="shared" si="9"/>
        <v/>
      </c>
      <c r="I90" s="18"/>
      <c r="J90" s="61"/>
      <c r="K90" s="400"/>
      <c r="L90" s="420" t="str">
        <f t="shared" si="10"/>
        <v/>
      </c>
      <c r="M90" s="401" t="str">
        <f t="shared" si="11"/>
        <v/>
      </c>
    </row>
    <row r="91" spans="2:13" x14ac:dyDescent="0.25">
      <c r="B91" s="58"/>
      <c r="C91" s="26"/>
      <c r="D91" s="15"/>
      <c r="E91" s="15"/>
      <c r="F91" s="697"/>
      <c r="G91" s="424"/>
      <c r="H91" s="743" t="str">
        <f t="shared" si="9"/>
        <v/>
      </c>
      <c r="I91" s="63"/>
      <c r="J91" s="61"/>
      <c r="K91" s="399"/>
      <c r="L91" s="420" t="str">
        <f t="shared" si="10"/>
        <v/>
      </c>
      <c r="M91" s="401" t="str">
        <f t="shared" si="11"/>
        <v/>
      </c>
    </row>
    <row r="92" spans="2:13" x14ac:dyDescent="0.25">
      <c r="B92" s="58"/>
      <c r="C92" s="26"/>
      <c r="D92" s="15"/>
      <c r="E92" s="15"/>
      <c r="F92" s="697"/>
      <c r="G92" s="424"/>
      <c r="H92" s="743" t="str">
        <f t="shared" si="9"/>
        <v/>
      </c>
      <c r="I92" s="63"/>
      <c r="J92" s="61"/>
      <c r="K92" s="399"/>
      <c r="L92" s="420" t="str">
        <f t="shared" si="10"/>
        <v/>
      </c>
      <c r="M92" s="401" t="str">
        <f t="shared" si="11"/>
        <v/>
      </c>
    </row>
    <row r="93" spans="2:13" x14ac:dyDescent="0.25">
      <c r="B93" s="58"/>
      <c r="C93" s="14"/>
      <c r="D93" s="15"/>
      <c r="E93" s="15"/>
      <c r="F93" s="752"/>
      <c r="G93" s="424"/>
      <c r="H93" s="743" t="str">
        <f t="shared" si="9"/>
        <v/>
      </c>
      <c r="I93" s="18"/>
      <c r="J93" s="62"/>
      <c r="K93" s="399"/>
      <c r="L93" s="420" t="str">
        <f t="shared" si="10"/>
        <v/>
      </c>
      <c r="M93" s="401" t="str">
        <f t="shared" si="11"/>
        <v/>
      </c>
    </row>
    <row r="94" spans="2:13" x14ac:dyDescent="0.25">
      <c r="B94" s="58"/>
      <c r="C94" s="14"/>
      <c r="D94" s="15"/>
      <c r="E94" s="15"/>
      <c r="F94" s="580"/>
      <c r="G94" s="424"/>
      <c r="H94" s="743" t="str">
        <f t="shared" si="9"/>
        <v/>
      </c>
      <c r="I94" s="18"/>
      <c r="J94" s="62"/>
      <c r="K94" s="62"/>
      <c r="L94" s="420" t="str">
        <f t="shared" si="10"/>
        <v/>
      </c>
      <c r="M94" s="401" t="str">
        <f t="shared" si="11"/>
        <v/>
      </c>
    </row>
    <row r="95" spans="2:13" x14ac:dyDescent="0.25">
      <c r="B95" s="58"/>
      <c r="C95" s="14"/>
      <c r="D95" s="15"/>
      <c r="E95" s="15"/>
      <c r="F95" s="752"/>
      <c r="G95" s="750"/>
      <c r="H95" s="743" t="str">
        <f t="shared" si="9"/>
        <v/>
      </c>
      <c r="I95" s="18"/>
      <c r="J95" s="61"/>
      <c r="K95" s="399"/>
      <c r="L95" s="420" t="str">
        <f t="shared" si="10"/>
        <v/>
      </c>
      <c r="M95" s="401" t="str">
        <f t="shared" si="11"/>
        <v/>
      </c>
    </row>
    <row r="96" spans="2:13" x14ac:dyDescent="0.25">
      <c r="B96" s="58"/>
      <c r="C96" s="14"/>
      <c r="D96" s="15"/>
      <c r="E96" s="15"/>
      <c r="F96" s="580"/>
      <c r="G96" s="424"/>
      <c r="H96" s="743" t="str">
        <f t="shared" si="9"/>
        <v/>
      </c>
      <c r="I96" s="18"/>
      <c r="J96" s="62"/>
      <c r="K96" s="62"/>
      <c r="L96" s="420" t="str">
        <f t="shared" si="10"/>
        <v/>
      </c>
      <c r="M96" s="401" t="str">
        <f t="shared" si="11"/>
        <v/>
      </c>
    </row>
    <row r="97" spans="2:13" ht="13" x14ac:dyDescent="0.25">
      <c r="B97" s="146"/>
      <c r="C97" s="19"/>
      <c r="D97" s="15"/>
      <c r="E97" s="15"/>
      <c r="F97" s="752"/>
      <c r="G97" s="424"/>
      <c r="H97" s="743" t="str">
        <f t="shared" si="9"/>
        <v/>
      </c>
      <c r="I97" s="18"/>
      <c r="J97" s="62"/>
      <c r="K97" s="399"/>
      <c r="L97" s="420" t="str">
        <f t="shared" si="10"/>
        <v/>
      </c>
      <c r="M97" s="401" t="str">
        <f t="shared" si="11"/>
        <v/>
      </c>
    </row>
    <row r="98" spans="2:13" x14ac:dyDescent="0.25">
      <c r="B98" s="58"/>
      <c r="C98" s="14"/>
      <c r="D98" s="15"/>
      <c r="E98" s="15"/>
      <c r="F98" s="580"/>
      <c r="G98" s="424"/>
      <c r="H98" s="743" t="str">
        <f t="shared" si="9"/>
        <v/>
      </c>
      <c r="I98" s="18"/>
      <c r="J98" s="62"/>
      <c r="K98" s="62"/>
      <c r="L98" s="420" t="str">
        <f t="shared" si="10"/>
        <v/>
      </c>
      <c r="M98" s="401" t="str">
        <f t="shared" si="11"/>
        <v/>
      </c>
    </row>
    <row r="99" spans="2:13" ht="13" x14ac:dyDescent="0.25">
      <c r="B99" s="146"/>
      <c r="C99" s="19"/>
      <c r="D99" s="15"/>
      <c r="E99" s="15"/>
      <c r="F99" s="580"/>
      <c r="G99" s="424"/>
      <c r="H99" s="743" t="str">
        <f t="shared" si="9"/>
        <v/>
      </c>
      <c r="I99" s="18"/>
      <c r="J99" s="61"/>
      <c r="K99" s="62"/>
      <c r="L99" s="420" t="str">
        <f t="shared" si="10"/>
        <v/>
      </c>
      <c r="M99" s="401" t="str">
        <f t="shared" si="11"/>
        <v/>
      </c>
    </row>
    <row r="100" spans="2:13" x14ac:dyDescent="0.25">
      <c r="B100" s="58"/>
      <c r="C100" s="14"/>
      <c r="D100" s="15"/>
      <c r="E100" s="15"/>
      <c r="F100" s="580"/>
      <c r="G100" s="424"/>
      <c r="H100" s="743" t="str">
        <f t="shared" si="9"/>
        <v/>
      </c>
      <c r="I100" s="18"/>
      <c r="J100" s="62"/>
      <c r="K100" s="62"/>
      <c r="L100" s="420" t="str">
        <f t="shared" si="10"/>
        <v/>
      </c>
      <c r="M100" s="401" t="str">
        <f t="shared" si="11"/>
        <v/>
      </c>
    </row>
    <row r="101" spans="2:13" x14ac:dyDescent="0.25">
      <c r="B101" s="58"/>
      <c r="C101" s="14"/>
      <c r="D101" s="15"/>
      <c r="E101" s="15"/>
      <c r="F101" s="580"/>
      <c r="G101" s="424"/>
      <c r="H101" s="743" t="str">
        <f t="shared" si="9"/>
        <v/>
      </c>
      <c r="I101" s="18"/>
      <c r="J101" s="62"/>
      <c r="K101" s="62"/>
      <c r="L101" s="420" t="str">
        <f t="shared" si="10"/>
        <v/>
      </c>
      <c r="M101" s="401" t="str">
        <f t="shared" si="11"/>
        <v/>
      </c>
    </row>
    <row r="102" spans="2:13" x14ac:dyDescent="0.25">
      <c r="B102" s="58"/>
      <c r="C102" s="14"/>
      <c r="D102" s="15"/>
      <c r="E102" s="15"/>
      <c r="F102" s="580"/>
      <c r="G102" s="424"/>
      <c r="H102" s="743" t="str">
        <f t="shared" si="9"/>
        <v/>
      </c>
      <c r="I102" s="18"/>
      <c r="J102" s="62"/>
      <c r="K102" s="62"/>
      <c r="L102" s="420" t="str">
        <f t="shared" si="10"/>
        <v/>
      </c>
      <c r="M102" s="401" t="str">
        <f t="shared" si="11"/>
        <v/>
      </c>
    </row>
    <row r="103" spans="2:13" x14ac:dyDescent="0.25">
      <c r="B103" s="58"/>
      <c r="C103" s="14"/>
      <c r="D103" s="15"/>
      <c r="E103" s="15"/>
      <c r="F103" s="580"/>
      <c r="G103" s="758"/>
      <c r="H103" s="743" t="str">
        <f t="shared" si="9"/>
        <v/>
      </c>
      <c r="I103" s="18"/>
      <c r="J103" s="62"/>
      <c r="K103" s="62"/>
      <c r="L103" s="420" t="str">
        <f t="shared" si="10"/>
        <v/>
      </c>
      <c r="M103" s="401" t="str">
        <f t="shared" si="11"/>
        <v/>
      </c>
    </row>
    <row r="104" spans="2:13" x14ac:dyDescent="0.25">
      <c r="B104" s="58"/>
      <c r="C104" s="133"/>
      <c r="D104" s="61"/>
      <c r="E104" s="61"/>
      <c r="F104" s="580"/>
      <c r="G104" s="424"/>
      <c r="H104" s="743" t="str">
        <f t="shared" si="9"/>
        <v/>
      </c>
      <c r="I104" s="18"/>
      <c r="J104" s="62"/>
      <c r="K104" s="62"/>
      <c r="L104" s="420" t="str">
        <f t="shared" si="10"/>
        <v/>
      </c>
      <c r="M104" s="401" t="str">
        <f t="shared" si="11"/>
        <v/>
      </c>
    </row>
    <row r="105" spans="2:13" x14ac:dyDescent="0.25">
      <c r="B105" s="58"/>
      <c r="C105" s="14"/>
      <c r="D105" s="15"/>
      <c r="E105" s="15"/>
      <c r="F105" s="580"/>
      <c r="G105" s="422"/>
      <c r="H105" s="17" t="str">
        <f t="shared" si="9"/>
        <v/>
      </c>
      <c r="I105" s="18"/>
      <c r="J105" s="61"/>
      <c r="K105" s="399"/>
      <c r="L105" s="420" t="str">
        <f t="shared" si="10"/>
        <v/>
      </c>
      <c r="M105" s="401" t="str">
        <f t="shared" si="11"/>
        <v/>
      </c>
    </row>
    <row r="106" spans="2:13" x14ac:dyDescent="0.25">
      <c r="B106" s="58"/>
      <c r="C106" s="14"/>
      <c r="D106" s="15"/>
      <c r="E106" s="15"/>
      <c r="F106" s="580"/>
      <c r="G106" s="422"/>
      <c r="H106" s="17" t="str">
        <f t="shared" si="9"/>
        <v/>
      </c>
      <c r="I106" s="18"/>
      <c r="J106" s="61"/>
      <c r="K106" s="399"/>
      <c r="L106" s="420" t="str">
        <f t="shared" si="10"/>
        <v/>
      </c>
      <c r="M106" s="401" t="str">
        <f t="shared" si="11"/>
        <v/>
      </c>
    </row>
    <row r="107" spans="2:13" x14ac:dyDescent="0.25">
      <c r="B107" s="58"/>
      <c r="C107" s="14"/>
      <c r="D107" s="15"/>
      <c r="E107" s="15"/>
      <c r="F107" s="580"/>
      <c r="G107" s="422"/>
      <c r="H107" s="17" t="str">
        <f t="shared" si="9"/>
        <v/>
      </c>
      <c r="I107" s="18"/>
      <c r="J107" s="61"/>
      <c r="K107" s="399"/>
      <c r="L107" s="420" t="str">
        <f t="shared" si="10"/>
        <v/>
      </c>
      <c r="M107" s="401" t="str">
        <f t="shared" si="11"/>
        <v/>
      </c>
    </row>
    <row r="108" spans="2:13" x14ac:dyDescent="0.25">
      <c r="B108" s="58"/>
      <c r="C108" s="14"/>
      <c r="D108" s="15"/>
      <c r="E108" s="15"/>
      <c r="F108" s="580"/>
      <c r="G108" s="422"/>
      <c r="H108" s="17" t="str">
        <f t="shared" si="9"/>
        <v/>
      </c>
      <c r="I108" s="18"/>
      <c r="J108" s="61"/>
      <c r="K108" s="402"/>
      <c r="L108" s="420" t="str">
        <f t="shared" si="10"/>
        <v/>
      </c>
      <c r="M108" s="401" t="str">
        <f t="shared" si="11"/>
        <v/>
      </c>
    </row>
    <row r="109" spans="2:13" x14ac:dyDescent="0.25">
      <c r="B109" s="58"/>
      <c r="C109" s="764"/>
      <c r="D109" s="15"/>
      <c r="E109" s="15"/>
      <c r="F109" s="580"/>
      <c r="G109" s="422"/>
      <c r="H109" s="17" t="str">
        <f t="shared" si="9"/>
        <v/>
      </c>
      <c r="I109" s="18"/>
      <c r="J109" s="61"/>
      <c r="K109" s="399"/>
      <c r="L109" s="420" t="str">
        <f t="shared" si="10"/>
        <v/>
      </c>
      <c r="M109" s="401" t="str">
        <f t="shared" si="11"/>
        <v/>
      </c>
    </row>
    <row r="110" spans="2:13" x14ac:dyDescent="0.25">
      <c r="B110" s="58"/>
      <c r="C110" s="14"/>
      <c r="D110" s="15"/>
      <c r="E110" s="15"/>
      <c r="F110" s="580"/>
      <c r="G110" s="422"/>
      <c r="H110" s="17" t="str">
        <f t="shared" si="9"/>
        <v/>
      </c>
      <c r="I110" s="18"/>
      <c r="J110" s="61"/>
      <c r="K110" s="402"/>
      <c r="L110" s="420" t="str">
        <f t="shared" si="10"/>
        <v/>
      </c>
      <c r="M110" s="401" t="str">
        <f t="shared" si="11"/>
        <v/>
      </c>
    </row>
    <row r="111" spans="2:13" x14ac:dyDescent="0.25">
      <c r="B111" s="58"/>
      <c r="C111" s="14"/>
      <c r="D111" s="15"/>
      <c r="E111" s="15"/>
      <c r="F111" s="580"/>
      <c r="G111" s="422"/>
      <c r="H111" s="17" t="str">
        <f t="shared" si="9"/>
        <v/>
      </c>
      <c r="I111" s="18"/>
      <c r="J111" s="61"/>
      <c r="K111" s="399"/>
      <c r="L111" s="420" t="str">
        <f t="shared" si="10"/>
        <v/>
      </c>
      <c r="M111" s="401" t="str">
        <f t="shared" si="11"/>
        <v/>
      </c>
    </row>
    <row r="112" spans="2:13" x14ac:dyDescent="0.25">
      <c r="B112" s="58"/>
      <c r="C112" s="14"/>
      <c r="D112" s="15"/>
      <c r="E112" s="15"/>
      <c r="F112" s="580"/>
      <c r="G112" s="422"/>
      <c r="H112" s="17" t="str">
        <f t="shared" si="9"/>
        <v/>
      </c>
      <c r="I112" s="18"/>
      <c r="J112" s="61"/>
      <c r="K112" s="399"/>
      <c r="L112" s="420" t="str">
        <f t="shared" si="10"/>
        <v/>
      </c>
      <c r="M112" s="401" t="str">
        <f t="shared" si="11"/>
        <v/>
      </c>
    </row>
    <row r="113" spans="2:13" x14ac:dyDescent="0.25">
      <c r="B113" s="58"/>
      <c r="C113" s="14"/>
      <c r="D113" s="15"/>
      <c r="E113" s="15"/>
      <c r="F113" s="580"/>
      <c r="G113" s="422"/>
      <c r="H113" s="17" t="str">
        <f t="shared" si="9"/>
        <v/>
      </c>
      <c r="I113" s="18"/>
      <c r="J113" s="61"/>
      <c r="K113" s="399"/>
      <c r="L113" s="420" t="str">
        <f t="shared" si="10"/>
        <v/>
      </c>
      <c r="M113" s="401" t="str">
        <f t="shared" si="11"/>
        <v/>
      </c>
    </row>
    <row r="114" spans="2:13" x14ac:dyDescent="0.25">
      <c r="B114" s="58"/>
      <c r="C114" s="14"/>
      <c r="D114" s="15"/>
      <c r="E114" s="15"/>
      <c r="F114" s="580"/>
      <c r="G114" s="424"/>
      <c r="H114" s="743" t="str">
        <f t="shared" si="9"/>
        <v/>
      </c>
      <c r="I114" s="18"/>
      <c r="J114" s="61"/>
      <c r="K114" s="399"/>
      <c r="L114" s="420" t="str">
        <f t="shared" si="10"/>
        <v/>
      </c>
      <c r="M114" s="401" t="str">
        <f t="shared" si="11"/>
        <v/>
      </c>
    </row>
    <row r="115" spans="2:13" x14ac:dyDescent="0.25">
      <c r="B115" s="58"/>
      <c r="C115" s="14"/>
      <c r="D115" s="15"/>
      <c r="E115" s="15"/>
      <c r="F115" s="580"/>
      <c r="G115" s="424"/>
      <c r="H115" s="743" t="str">
        <f t="shared" si="9"/>
        <v/>
      </c>
      <c r="I115" s="18"/>
      <c r="J115" s="62"/>
      <c r="K115" s="62"/>
      <c r="L115" s="420" t="str">
        <f t="shared" si="10"/>
        <v/>
      </c>
      <c r="M115" s="401" t="str">
        <f t="shared" si="11"/>
        <v/>
      </c>
    </row>
    <row r="116" spans="2:13" x14ac:dyDescent="0.25">
      <c r="B116" s="58"/>
      <c r="C116" s="14"/>
      <c r="D116" s="15"/>
      <c r="E116" s="15"/>
      <c r="F116" s="580"/>
      <c r="G116" s="424"/>
      <c r="H116" s="743" t="str">
        <f t="shared" si="9"/>
        <v/>
      </c>
      <c r="I116" s="18"/>
      <c r="J116" s="62"/>
      <c r="K116" s="62"/>
      <c r="L116" s="420" t="str">
        <f t="shared" si="10"/>
        <v/>
      </c>
      <c r="M116" s="401" t="str">
        <f t="shared" si="11"/>
        <v/>
      </c>
    </row>
    <row r="117" spans="2:13" x14ac:dyDescent="0.25">
      <c r="B117" s="58"/>
      <c r="C117" s="48"/>
      <c r="D117" s="15"/>
      <c r="E117" s="15"/>
      <c r="F117" s="580"/>
      <c r="G117" s="424"/>
      <c r="H117" s="743" t="str">
        <f t="shared" si="9"/>
        <v/>
      </c>
      <c r="I117" s="18"/>
      <c r="J117" s="62"/>
      <c r="K117" s="62"/>
      <c r="L117" s="420" t="str">
        <f t="shared" si="10"/>
        <v/>
      </c>
      <c r="M117" s="401" t="str">
        <f t="shared" si="11"/>
        <v/>
      </c>
    </row>
    <row r="118" spans="2:13" x14ac:dyDescent="0.25">
      <c r="B118" s="58"/>
      <c r="C118" s="14"/>
      <c r="D118" s="15"/>
      <c r="E118" s="15"/>
      <c r="F118" s="580"/>
      <c r="G118" s="424"/>
      <c r="H118" s="743" t="str">
        <f t="shared" si="9"/>
        <v/>
      </c>
      <c r="I118" s="18"/>
      <c r="J118" s="62"/>
      <c r="K118" s="62"/>
      <c r="L118" s="420" t="str">
        <f t="shared" si="10"/>
        <v/>
      </c>
      <c r="M118" s="401" t="str">
        <f t="shared" si="11"/>
        <v/>
      </c>
    </row>
    <row r="119" spans="2:13" x14ac:dyDescent="0.25">
      <c r="B119" s="58"/>
      <c r="C119" s="14"/>
      <c r="D119" s="15"/>
      <c r="E119" s="15"/>
      <c r="F119" s="580"/>
      <c r="G119" s="424"/>
      <c r="H119" s="743" t="str">
        <f t="shared" si="9"/>
        <v/>
      </c>
      <c r="I119" s="18"/>
      <c r="J119" s="62"/>
      <c r="K119" s="399" t="str">
        <f>IF(D119="","",ROUND(Labour_perc_roads*G119,1))</f>
        <v/>
      </c>
      <c r="L119" s="420" t="str">
        <f t="shared" si="10"/>
        <v/>
      </c>
      <c r="M119" s="401" t="str">
        <f t="shared" si="11"/>
        <v/>
      </c>
    </row>
    <row r="120" spans="2:13" x14ac:dyDescent="0.25">
      <c r="B120" s="58"/>
      <c r="C120" s="14"/>
      <c r="D120" s="15"/>
      <c r="E120" s="15"/>
      <c r="F120" s="580"/>
      <c r="G120" s="424"/>
      <c r="H120" s="743" t="str">
        <f t="shared" si="9"/>
        <v/>
      </c>
      <c r="I120" s="18"/>
      <c r="J120" s="62"/>
      <c r="K120" s="62"/>
      <c r="L120" s="420" t="str">
        <f t="shared" si="10"/>
        <v/>
      </c>
      <c r="M120" s="401" t="str">
        <f t="shared" si="11"/>
        <v/>
      </c>
    </row>
    <row r="121" spans="2:13" x14ac:dyDescent="0.25">
      <c r="B121" s="58"/>
      <c r="C121" s="133"/>
      <c r="D121" s="15"/>
      <c r="E121" s="15"/>
      <c r="F121" s="580"/>
      <c r="G121" s="424"/>
      <c r="H121" s="743" t="str">
        <f t="shared" si="9"/>
        <v/>
      </c>
      <c r="I121" s="18"/>
      <c r="J121" s="62"/>
      <c r="K121" s="62"/>
      <c r="L121" s="420" t="str">
        <f t="shared" si="10"/>
        <v/>
      </c>
      <c r="M121" s="401" t="str">
        <f t="shared" si="11"/>
        <v/>
      </c>
    </row>
    <row r="122" spans="2:13" x14ac:dyDescent="0.25">
      <c r="B122" s="58"/>
      <c r="C122" s="133"/>
      <c r="D122" s="61"/>
      <c r="E122" s="61"/>
      <c r="F122" s="580"/>
      <c r="G122" s="424"/>
      <c r="H122" s="743" t="str">
        <f t="shared" si="9"/>
        <v/>
      </c>
      <c r="I122" s="18"/>
      <c r="J122" s="62"/>
      <c r="K122" s="62"/>
      <c r="L122" s="420" t="str">
        <f t="shared" si="10"/>
        <v/>
      </c>
      <c r="M122" s="401" t="str">
        <f t="shared" si="11"/>
        <v/>
      </c>
    </row>
    <row r="123" spans="2:13" x14ac:dyDescent="0.25">
      <c r="B123" s="58"/>
      <c r="C123" s="14"/>
      <c r="D123" s="15"/>
      <c r="E123" s="15"/>
      <c r="F123" s="580"/>
      <c r="G123" s="424"/>
      <c r="H123" s="743" t="str">
        <f t="shared" si="9"/>
        <v/>
      </c>
      <c r="I123" s="18"/>
      <c r="J123" s="62"/>
      <c r="K123" s="399" t="str">
        <f>IF(D123="","",ROUND(Labour_perc_roads*G123,1))</f>
        <v/>
      </c>
      <c r="L123" s="420" t="str">
        <f t="shared" si="10"/>
        <v/>
      </c>
      <c r="M123" s="401" t="str">
        <f t="shared" si="11"/>
        <v/>
      </c>
    </row>
    <row r="124" spans="2:13" x14ac:dyDescent="0.25">
      <c r="B124" s="58"/>
      <c r="C124" s="14"/>
      <c r="D124" s="15"/>
      <c r="E124" s="15"/>
      <c r="F124" s="580"/>
      <c r="G124" s="424"/>
      <c r="H124" s="743" t="str">
        <f t="shared" si="9"/>
        <v/>
      </c>
      <c r="I124" s="18"/>
      <c r="J124" s="62"/>
      <c r="K124" s="399"/>
      <c r="L124" s="420" t="str">
        <f t="shared" si="10"/>
        <v/>
      </c>
      <c r="M124" s="401" t="str">
        <f t="shared" si="11"/>
        <v/>
      </c>
    </row>
    <row r="125" spans="2:13" x14ac:dyDescent="0.25">
      <c r="B125" s="58"/>
      <c r="C125" s="14"/>
      <c r="D125" s="15"/>
      <c r="E125" s="15"/>
      <c r="F125" s="580"/>
      <c r="G125" s="424"/>
      <c r="H125" s="743" t="str">
        <f t="shared" si="9"/>
        <v/>
      </c>
      <c r="I125" s="18"/>
      <c r="J125" s="62"/>
      <c r="K125" s="399"/>
      <c r="L125" s="420" t="str">
        <f t="shared" si="10"/>
        <v/>
      </c>
      <c r="M125" s="401" t="str">
        <f t="shared" si="11"/>
        <v/>
      </c>
    </row>
    <row r="126" spans="2:13" x14ac:dyDescent="0.25">
      <c r="B126" s="58"/>
      <c r="C126" s="14"/>
      <c r="D126" s="15"/>
      <c r="E126" s="15"/>
      <c r="F126" s="580"/>
      <c r="G126" s="424"/>
      <c r="H126" s="743" t="str">
        <f t="shared" si="9"/>
        <v/>
      </c>
      <c r="I126" s="18"/>
      <c r="J126" s="62"/>
      <c r="K126" s="399"/>
      <c r="L126" s="420" t="str">
        <f t="shared" si="10"/>
        <v/>
      </c>
      <c r="M126" s="401" t="str">
        <f t="shared" si="11"/>
        <v/>
      </c>
    </row>
    <row r="127" spans="2:13" x14ac:dyDescent="0.25">
      <c r="B127" s="58"/>
      <c r="C127" s="14"/>
      <c r="D127" s="15"/>
      <c r="E127" s="15"/>
      <c r="F127" s="580"/>
      <c r="G127" s="424"/>
      <c r="H127" s="743" t="str">
        <f t="shared" si="9"/>
        <v/>
      </c>
      <c r="I127" s="18"/>
      <c r="J127" s="62"/>
      <c r="K127" s="399"/>
      <c r="L127" s="420" t="str">
        <f t="shared" si="10"/>
        <v/>
      </c>
      <c r="M127" s="401" t="str">
        <f t="shared" si="11"/>
        <v/>
      </c>
    </row>
    <row r="128" spans="2:13" x14ac:dyDescent="0.25">
      <c r="B128" s="58"/>
      <c r="C128" s="14"/>
      <c r="D128" s="15"/>
      <c r="E128" s="15"/>
      <c r="F128" s="580"/>
      <c r="G128" s="424"/>
      <c r="H128" s="743" t="str">
        <f t="shared" si="9"/>
        <v/>
      </c>
      <c r="I128" s="18"/>
      <c r="J128" s="62"/>
      <c r="K128" s="399"/>
      <c r="L128" s="420" t="str">
        <f t="shared" si="10"/>
        <v/>
      </c>
      <c r="M128" s="401" t="str">
        <f t="shared" si="11"/>
        <v/>
      </c>
    </row>
    <row r="129" spans="2:13" x14ac:dyDescent="0.25">
      <c r="B129" s="58"/>
      <c r="C129" s="14"/>
      <c r="D129" s="15"/>
      <c r="E129" s="15"/>
      <c r="F129" s="580"/>
      <c r="G129" s="424"/>
      <c r="H129" s="743" t="str">
        <f t="shared" si="9"/>
        <v/>
      </c>
      <c r="I129" s="18"/>
      <c r="J129" s="62"/>
      <c r="K129" s="399"/>
      <c r="L129" s="420" t="str">
        <f t="shared" si="10"/>
        <v/>
      </c>
      <c r="M129" s="401" t="str">
        <f t="shared" si="11"/>
        <v/>
      </c>
    </row>
    <row r="130" spans="2:13" x14ac:dyDescent="0.25">
      <c r="B130" s="58"/>
      <c r="C130" s="14"/>
      <c r="D130" s="15"/>
      <c r="E130" s="15"/>
      <c r="F130" s="580"/>
      <c r="G130" s="424"/>
      <c r="H130" s="743" t="str">
        <f t="shared" si="9"/>
        <v/>
      </c>
      <c r="I130" s="18"/>
      <c r="J130" s="62"/>
      <c r="K130" s="399"/>
      <c r="L130" s="420" t="str">
        <f t="shared" si="10"/>
        <v/>
      </c>
      <c r="M130" s="401" t="str">
        <f t="shared" si="11"/>
        <v/>
      </c>
    </row>
    <row r="131" spans="2:13" x14ac:dyDescent="0.25">
      <c r="B131" s="58"/>
      <c r="C131" s="14"/>
      <c r="D131" s="15"/>
      <c r="E131" s="15"/>
      <c r="F131" s="580"/>
      <c r="G131" s="424"/>
      <c r="H131" s="743" t="str">
        <f t="shared" si="9"/>
        <v/>
      </c>
      <c r="I131" s="18"/>
      <c r="J131" s="62"/>
      <c r="K131" s="399"/>
      <c r="L131" s="420" t="str">
        <f t="shared" si="10"/>
        <v/>
      </c>
      <c r="M131" s="401" t="str">
        <f t="shared" si="11"/>
        <v/>
      </c>
    </row>
    <row r="132" spans="2:13" x14ac:dyDescent="0.25">
      <c r="B132" s="58"/>
      <c r="C132" s="14"/>
      <c r="D132" s="15"/>
      <c r="E132" s="15"/>
      <c r="F132" s="580"/>
      <c r="G132" s="424"/>
      <c r="H132" s="743" t="str">
        <f t="shared" si="9"/>
        <v/>
      </c>
      <c r="I132" s="18"/>
      <c r="J132" s="62"/>
      <c r="K132" s="399"/>
      <c r="L132" s="420" t="str">
        <f t="shared" si="10"/>
        <v/>
      </c>
      <c r="M132" s="401" t="str">
        <f t="shared" si="11"/>
        <v/>
      </c>
    </row>
    <row r="133" spans="2:13" x14ac:dyDescent="0.25">
      <c r="B133" s="58"/>
      <c r="C133" s="14"/>
      <c r="D133" s="15"/>
      <c r="E133" s="15"/>
      <c r="F133" s="580"/>
      <c r="G133" s="424"/>
      <c r="H133" s="743" t="str">
        <f t="shared" si="9"/>
        <v/>
      </c>
      <c r="I133" s="18"/>
      <c r="J133" s="62"/>
      <c r="K133" s="399"/>
      <c r="L133" s="420" t="str">
        <f t="shared" si="10"/>
        <v/>
      </c>
      <c r="M133" s="401" t="str">
        <f t="shared" si="11"/>
        <v/>
      </c>
    </row>
    <row r="134" spans="2:13" x14ac:dyDescent="0.25">
      <c r="B134" s="58"/>
      <c r="C134" s="14"/>
      <c r="D134" s="15"/>
      <c r="E134" s="15"/>
      <c r="F134" s="580"/>
      <c r="G134" s="424"/>
      <c r="H134" s="743" t="str">
        <f t="shared" si="9"/>
        <v/>
      </c>
      <c r="I134" s="18"/>
      <c r="J134" s="62"/>
      <c r="K134" s="399"/>
      <c r="L134" s="420" t="str">
        <f t="shared" si="10"/>
        <v/>
      </c>
      <c r="M134" s="401" t="str">
        <f t="shared" si="11"/>
        <v/>
      </c>
    </row>
    <row r="135" spans="2:13" x14ac:dyDescent="0.25">
      <c r="B135" s="58"/>
      <c r="C135" s="14"/>
      <c r="D135" s="15"/>
      <c r="E135" s="15"/>
      <c r="F135" s="580"/>
      <c r="G135" s="424"/>
      <c r="H135" s="743" t="str">
        <f t="shared" si="9"/>
        <v/>
      </c>
      <c r="I135" s="18"/>
      <c r="J135" s="62"/>
      <c r="K135" s="399"/>
      <c r="L135" s="420" t="str">
        <f t="shared" si="10"/>
        <v/>
      </c>
      <c r="M135" s="401" t="str">
        <f t="shared" si="11"/>
        <v/>
      </c>
    </row>
    <row r="136" spans="2:13" x14ac:dyDescent="0.25">
      <c r="B136" s="58"/>
      <c r="C136" s="14"/>
      <c r="D136" s="15"/>
      <c r="E136" s="15"/>
      <c r="F136" s="580"/>
      <c r="G136" s="424"/>
      <c r="H136" s="743" t="str">
        <f t="shared" si="9"/>
        <v/>
      </c>
      <c r="I136" s="18"/>
      <c r="J136" s="62"/>
      <c r="K136" s="399"/>
      <c r="L136" s="420" t="str">
        <f t="shared" si="10"/>
        <v/>
      </c>
      <c r="M136" s="401" t="str">
        <f t="shared" si="11"/>
        <v/>
      </c>
    </row>
    <row r="137" spans="2:13" x14ac:dyDescent="0.25">
      <c r="B137" s="58"/>
      <c r="C137" s="14"/>
      <c r="D137" s="15"/>
      <c r="E137" s="15"/>
      <c r="F137" s="580"/>
      <c r="G137" s="424"/>
      <c r="H137" s="743" t="str">
        <f t="shared" si="9"/>
        <v/>
      </c>
      <c r="I137" s="18"/>
      <c r="J137" s="62"/>
      <c r="K137" s="399"/>
      <c r="L137" s="420" t="str">
        <f t="shared" si="10"/>
        <v/>
      </c>
      <c r="M137" s="401" t="str">
        <f t="shared" si="11"/>
        <v/>
      </c>
    </row>
    <row r="138" spans="2:13" x14ac:dyDescent="0.25">
      <c r="B138" s="58"/>
      <c r="C138" s="14"/>
      <c r="D138" s="15"/>
      <c r="E138" s="15"/>
      <c r="F138" s="580"/>
      <c r="G138" s="424"/>
      <c r="H138" s="743" t="str">
        <f t="shared" si="9"/>
        <v/>
      </c>
      <c r="I138" s="18"/>
      <c r="J138" s="61"/>
      <c r="K138" s="696"/>
      <c r="L138" s="420" t="str">
        <f t="shared" si="10"/>
        <v/>
      </c>
      <c r="M138" s="401" t="str">
        <f t="shared" si="11"/>
        <v/>
      </c>
    </row>
    <row r="139" spans="2:13" s="28" customFormat="1" ht="20.149999999999999" customHeight="1" x14ac:dyDescent="0.25">
      <c r="B139" s="80" t="str">
        <f>$B$12</f>
        <v>C1.5</v>
      </c>
      <c r="C139" s="498" t="str">
        <f>"TOTAL CARRIED FORWARD"&amp;IF(H139=H$1," TO SUMMARY","")</f>
        <v>TOTAL CARRIED FORWARD TO SUMMARY</v>
      </c>
      <c r="D139" s="31"/>
      <c r="E139" s="31"/>
      <c r="F139" s="32"/>
      <c r="G139" s="31"/>
      <c r="H139" s="33">
        <f>SUM(H75:H138)</f>
        <v>1337260</v>
      </c>
      <c r="I139" s="34"/>
      <c r="J139" s="408"/>
      <c r="K139" s="406"/>
      <c r="L139" s="418">
        <f>SUM(L75:L138)</f>
        <v>661523.83999999985</v>
      </c>
      <c r="M139" s="407" t="str">
        <f t="shared" ref="M139" si="12">IF(J139="","",IF(SUM(H139)=0,"",L139/H139))</f>
        <v/>
      </c>
    </row>
    <row r="140" spans="2:13" ht="13" x14ac:dyDescent="0.25">
      <c r="B140" s="1108" t="str">
        <f>Client1</f>
        <v>Province of KwaZulu-Natal</v>
      </c>
      <c r="C140" s="1108"/>
      <c r="D140" s="1108"/>
      <c r="E140" s="87"/>
      <c r="F140" s="1109" t="str">
        <f>"Contract No. "&amp;ContractNo</f>
        <v>Contract No. ZNB 00399/00000/HOD/INF/21/T</v>
      </c>
      <c r="G140" s="1109"/>
      <c r="H140" s="1109"/>
    </row>
    <row r="141" spans="2:13" ht="13" x14ac:dyDescent="0.25">
      <c r="B141" s="1108" t="str">
        <f>Client2</f>
        <v>Department of Transport</v>
      </c>
      <c r="C141" s="1108"/>
      <c r="D141" s="1108"/>
      <c r="E141" s="87"/>
      <c r="F141" s="1109"/>
      <c r="G141" s="1109"/>
      <c r="H141" s="1109"/>
    </row>
    <row r="142" spans="2:13" x14ac:dyDescent="0.25">
      <c r="B142" s="1111"/>
      <c r="C142" s="1111"/>
      <c r="D142" s="1111"/>
      <c r="E142" s="78"/>
      <c r="F142" s="1110"/>
      <c r="G142" s="1110"/>
      <c r="H142" s="1110"/>
    </row>
    <row r="143" spans="2:13" ht="13" x14ac:dyDescent="0.25">
      <c r="B143" s="1112" t="s">
        <v>8</v>
      </c>
      <c r="C143" s="1113"/>
      <c r="D143" s="1113"/>
      <c r="E143" s="1113"/>
      <c r="F143" s="1113"/>
      <c r="G143" s="1113"/>
      <c r="H143" s="1114" t="str">
        <f>$H$6</f>
        <v>CHAPTER C1.5</v>
      </c>
      <c r="I143" s="6"/>
    </row>
    <row r="144" spans="2:13" ht="13" x14ac:dyDescent="0.25">
      <c r="B144" s="1117" t="str">
        <f>ContractDescription</f>
        <v>THE CONSTRUCTION OF EARTHWORKS, LAYERWORKS, SURFACING, CULVERTS AND CWAKA RIVER BRIDGE FROM KM 11.600 TO KM 14.000 ON MAIN ROAD P494 IN THE KING CETSHWAYO DISTRICT UNDER EMPANGENI REGION</v>
      </c>
      <c r="C144" s="1118"/>
      <c r="D144" s="1118"/>
      <c r="E144" s="1118"/>
      <c r="F144" s="1118"/>
      <c r="G144" s="1118"/>
      <c r="H144" s="1115"/>
      <c r="I144" s="8"/>
    </row>
    <row r="145" spans="2:13" ht="13" x14ac:dyDescent="0.25">
      <c r="B145" s="1117"/>
      <c r="C145" s="1118"/>
      <c r="D145" s="1118"/>
      <c r="E145" s="1118"/>
      <c r="F145" s="1118"/>
      <c r="G145" s="1118"/>
      <c r="H145" s="1115"/>
      <c r="I145" s="8"/>
    </row>
    <row r="146" spans="2:13" ht="13" x14ac:dyDescent="0.25">
      <c r="B146" s="1119"/>
      <c r="C146" s="1120"/>
      <c r="D146" s="1120"/>
      <c r="E146" s="1120"/>
      <c r="F146" s="1120"/>
      <c r="G146" s="1120"/>
      <c r="H146" s="1116"/>
      <c r="I146" s="8"/>
    </row>
    <row r="147" spans="2:13" s="9" customFormat="1" ht="25" customHeight="1" x14ac:dyDescent="0.25">
      <c r="B147" s="74" t="s">
        <v>0</v>
      </c>
      <c r="C147" s="11" t="s">
        <v>1</v>
      </c>
      <c r="D147" s="11" t="s">
        <v>2</v>
      </c>
      <c r="E147" s="11"/>
      <c r="F147" s="11" t="s">
        <v>3</v>
      </c>
      <c r="G147" s="11" t="s">
        <v>4</v>
      </c>
      <c r="H147" s="11" t="s">
        <v>5</v>
      </c>
      <c r="I147" s="12"/>
      <c r="J147" s="408" t="s">
        <v>996</v>
      </c>
      <c r="K147" s="253" t="s">
        <v>997</v>
      </c>
      <c r="L147" s="253" t="s">
        <v>998</v>
      </c>
      <c r="M147" s="253" t="s">
        <v>999</v>
      </c>
    </row>
    <row r="148" spans="2:13" s="28" customFormat="1" ht="20.149999999999999" customHeight="1" x14ac:dyDescent="0.25">
      <c r="B148" s="80"/>
      <c r="C148" s="30" t="s">
        <v>27</v>
      </c>
      <c r="D148" s="31"/>
      <c r="E148" s="31"/>
      <c r="F148" s="32"/>
      <c r="G148" s="31"/>
      <c r="H148" s="33">
        <f>H139</f>
        <v>1337260</v>
      </c>
      <c r="I148" s="34"/>
      <c r="J148" s="416"/>
      <c r="K148" s="409"/>
      <c r="L148" s="419">
        <f>L139</f>
        <v>661523.83999999985</v>
      </c>
      <c r="M148" s="410" t="str">
        <f>IF(F148="","",IF(SUM(I148)=0,"",L148/I148))</f>
        <v/>
      </c>
    </row>
    <row r="149" spans="2:13" x14ac:dyDescent="0.25">
      <c r="B149" s="46"/>
      <c r="C149" s="14"/>
      <c r="D149" s="15"/>
      <c r="E149" s="15"/>
      <c r="F149" s="580"/>
      <c r="G149" s="422"/>
      <c r="H149" s="17" t="str">
        <f t="shared" ref="H149:H208" si="13">IF(D149="","",F149*G149)</f>
        <v/>
      </c>
      <c r="I149" s="18"/>
      <c r="J149" s="61"/>
      <c r="K149" s="399"/>
      <c r="L149" s="420" t="str">
        <f t="shared" ref="L149:L208" si="14">IF(J149="","",F149*K149)</f>
        <v/>
      </c>
      <c r="M149" s="401" t="str">
        <f t="shared" ref="M149:M208" si="15">IF(J149="","",IF(SUM(H149)=0,"",L149/H149))</f>
        <v/>
      </c>
    </row>
    <row r="150" spans="2:13" x14ac:dyDescent="0.25">
      <c r="B150" s="58"/>
      <c r="C150" s="65"/>
      <c r="D150" s="15"/>
      <c r="E150" s="15"/>
      <c r="F150" s="15"/>
      <c r="G150" s="411"/>
      <c r="H150" s="743" t="str">
        <f t="shared" si="13"/>
        <v/>
      </c>
      <c r="I150" s="18"/>
      <c r="J150" s="61"/>
      <c r="K150" s="399"/>
      <c r="L150" s="420" t="str">
        <f t="shared" si="14"/>
        <v/>
      </c>
      <c r="M150" s="401" t="str">
        <f t="shared" si="15"/>
        <v/>
      </c>
    </row>
    <row r="151" spans="2:13" x14ac:dyDescent="0.25">
      <c r="B151" s="58"/>
      <c r="C151" s="65"/>
      <c r="D151" s="15"/>
      <c r="E151" s="15"/>
      <c r="F151" s="15"/>
      <c r="G151" s="411"/>
      <c r="H151" s="743" t="str">
        <f t="shared" si="13"/>
        <v/>
      </c>
      <c r="I151" s="18"/>
      <c r="J151" s="61"/>
      <c r="K151" s="399"/>
      <c r="L151" s="420" t="str">
        <f t="shared" si="14"/>
        <v/>
      </c>
      <c r="M151" s="401" t="str">
        <f t="shared" si="15"/>
        <v/>
      </c>
    </row>
    <row r="152" spans="2:13" x14ac:dyDescent="0.25">
      <c r="B152" s="58"/>
      <c r="C152" s="65"/>
      <c r="D152" s="15"/>
      <c r="E152" s="15"/>
      <c r="F152" s="15"/>
      <c r="G152" s="411"/>
      <c r="H152" s="743" t="str">
        <f t="shared" si="13"/>
        <v/>
      </c>
      <c r="I152" s="18"/>
      <c r="J152" s="61"/>
      <c r="K152" s="399"/>
      <c r="L152" s="420" t="str">
        <f t="shared" si="14"/>
        <v/>
      </c>
      <c r="M152" s="401" t="str">
        <f t="shared" si="15"/>
        <v/>
      </c>
    </row>
    <row r="153" spans="2:13" x14ac:dyDescent="0.25">
      <c r="B153" s="58"/>
      <c r="C153" s="65"/>
      <c r="D153" s="15"/>
      <c r="E153" s="15"/>
      <c r="F153" s="15"/>
      <c r="G153" s="411"/>
      <c r="H153" s="743" t="str">
        <f t="shared" si="13"/>
        <v/>
      </c>
      <c r="I153" s="18"/>
      <c r="J153" s="61"/>
      <c r="K153" s="402"/>
      <c r="L153" s="420" t="str">
        <f t="shared" si="14"/>
        <v/>
      </c>
      <c r="M153" s="401" t="str">
        <f t="shared" si="15"/>
        <v/>
      </c>
    </row>
    <row r="154" spans="2:13" x14ac:dyDescent="0.25">
      <c r="B154" s="58"/>
      <c r="C154" s="65"/>
      <c r="D154" s="15"/>
      <c r="E154" s="15"/>
      <c r="F154" s="15"/>
      <c r="G154" s="411"/>
      <c r="H154" s="743" t="str">
        <f t="shared" si="13"/>
        <v/>
      </c>
      <c r="I154" s="18"/>
      <c r="J154" s="61"/>
      <c r="K154" s="399"/>
      <c r="L154" s="420" t="str">
        <f t="shared" si="14"/>
        <v/>
      </c>
      <c r="M154" s="401" t="str">
        <f t="shared" si="15"/>
        <v/>
      </c>
    </row>
    <row r="155" spans="2:13" x14ac:dyDescent="0.25">
      <c r="B155" s="58"/>
      <c r="C155" s="65"/>
      <c r="D155" s="15"/>
      <c r="E155" s="15"/>
      <c r="F155" s="15"/>
      <c r="G155" s="411"/>
      <c r="H155" s="743" t="str">
        <f t="shared" si="13"/>
        <v/>
      </c>
      <c r="I155" s="18"/>
      <c r="J155" s="61"/>
      <c r="K155" s="402"/>
      <c r="L155" s="420" t="str">
        <f t="shared" si="14"/>
        <v/>
      </c>
      <c r="M155" s="401" t="str">
        <f t="shared" si="15"/>
        <v/>
      </c>
    </row>
    <row r="156" spans="2:13" x14ac:dyDescent="0.25">
      <c r="B156" s="58"/>
      <c r="C156" s="65"/>
      <c r="D156" s="15"/>
      <c r="E156" s="15"/>
      <c r="F156" s="15"/>
      <c r="G156" s="411"/>
      <c r="H156" s="743" t="str">
        <f t="shared" si="13"/>
        <v/>
      </c>
      <c r="I156" s="18"/>
      <c r="J156" s="61"/>
      <c r="K156" s="399"/>
      <c r="L156" s="420" t="str">
        <f t="shared" si="14"/>
        <v/>
      </c>
      <c r="M156" s="401" t="str">
        <f t="shared" si="15"/>
        <v/>
      </c>
    </row>
    <row r="157" spans="2:13" x14ac:dyDescent="0.25">
      <c r="B157" s="58"/>
      <c r="C157" s="65"/>
      <c r="D157" s="15"/>
      <c r="E157" s="15"/>
      <c r="F157" s="15"/>
      <c r="G157" s="411"/>
      <c r="H157" s="743" t="str">
        <f t="shared" si="13"/>
        <v/>
      </c>
      <c r="I157" s="18"/>
      <c r="J157" s="61"/>
      <c r="K157" s="399"/>
      <c r="L157" s="420" t="str">
        <f t="shared" si="14"/>
        <v/>
      </c>
      <c r="M157" s="401" t="str">
        <f t="shared" si="15"/>
        <v/>
      </c>
    </row>
    <row r="158" spans="2:13" x14ac:dyDescent="0.25">
      <c r="B158" s="58"/>
      <c r="C158" s="65"/>
      <c r="D158" s="15"/>
      <c r="E158" s="15"/>
      <c r="F158" s="15"/>
      <c r="G158" s="411"/>
      <c r="H158" s="743" t="str">
        <f t="shared" si="13"/>
        <v/>
      </c>
      <c r="I158" s="18"/>
      <c r="J158" s="61"/>
      <c r="K158" s="399"/>
      <c r="L158" s="420" t="str">
        <f t="shared" si="14"/>
        <v/>
      </c>
      <c r="M158" s="401" t="str">
        <f t="shared" si="15"/>
        <v/>
      </c>
    </row>
    <row r="159" spans="2:13" x14ac:dyDescent="0.25">
      <c r="B159" s="58"/>
      <c r="C159" s="65"/>
      <c r="D159" s="15"/>
      <c r="E159" s="15"/>
      <c r="F159" s="15"/>
      <c r="G159" s="411"/>
      <c r="H159" s="743" t="str">
        <f t="shared" si="13"/>
        <v/>
      </c>
      <c r="I159" s="18"/>
      <c r="J159" s="61"/>
      <c r="K159" s="399"/>
      <c r="L159" s="420" t="str">
        <f t="shared" si="14"/>
        <v/>
      </c>
      <c r="M159" s="401" t="str">
        <f t="shared" si="15"/>
        <v/>
      </c>
    </row>
    <row r="160" spans="2:13" x14ac:dyDescent="0.25">
      <c r="B160" s="58"/>
      <c r="C160" s="386"/>
      <c r="D160" s="390"/>
      <c r="E160" s="390"/>
      <c r="F160" s="15"/>
      <c r="G160" s="411"/>
      <c r="H160" s="743" t="str">
        <f t="shared" si="13"/>
        <v/>
      </c>
      <c r="I160" s="18"/>
      <c r="J160" s="61"/>
      <c r="K160" s="399"/>
      <c r="L160" s="420" t="str">
        <f t="shared" si="14"/>
        <v/>
      </c>
      <c r="M160" s="401" t="str">
        <f t="shared" si="15"/>
        <v/>
      </c>
    </row>
    <row r="161" spans="2:13" x14ac:dyDescent="0.25">
      <c r="B161" s="58"/>
      <c r="C161" s="386"/>
      <c r="D161" s="390"/>
      <c r="E161" s="390"/>
      <c r="F161" s="15"/>
      <c r="G161" s="411"/>
      <c r="H161" s="17" t="str">
        <f t="shared" si="13"/>
        <v/>
      </c>
      <c r="I161" s="18"/>
      <c r="J161" s="62"/>
      <c r="K161" s="62"/>
      <c r="L161" s="420" t="str">
        <f t="shared" si="14"/>
        <v/>
      </c>
      <c r="M161" s="401" t="str">
        <f t="shared" si="15"/>
        <v/>
      </c>
    </row>
    <row r="162" spans="2:13" x14ac:dyDescent="0.25">
      <c r="B162" s="58"/>
      <c r="C162" s="65"/>
      <c r="D162" s="15"/>
      <c r="E162" s="15"/>
      <c r="F162" s="15"/>
      <c r="G162" s="411"/>
      <c r="H162" s="17" t="str">
        <f t="shared" si="13"/>
        <v/>
      </c>
      <c r="I162" s="18"/>
      <c r="J162" s="61"/>
      <c r="K162" s="399"/>
      <c r="L162" s="420" t="str">
        <f t="shared" si="14"/>
        <v/>
      </c>
      <c r="M162" s="401" t="str">
        <f t="shared" si="15"/>
        <v/>
      </c>
    </row>
    <row r="163" spans="2:13" x14ac:dyDescent="0.25">
      <c r="B163" s="58"/>
      <c r="C163" s="65"/>
      <c r="D163" s="15"/>
      <c r="E163" s="15"/>
      <c r="F163" s="15"/>
      <c r="G163" s="411"/>
      <c r="H163" s="389" t="str">
        <f t="shared" si="13"/>
        <v/>
      </c>
      <c r="I163" s="18"/>
      <c r="J163" s="61"/>
      <c r="K163" s="62"/>
      <c r="L163" s="420" t="str">
        <f t="shared" si="14"/>
        <v/>
      </c>
      <c r="M163" s="401" t="str">
        <f t="shared" si="15"/>
        <v/>
      </c>
    </row>
    <row r="164" spans="2:13" x14ac:dyDescent="0.25">
      <c r="B164" s="58"/>
      <c r="C164" s="65"/>
      <c r="D164" s="15"/>
      <c r="E164" s="15"/>
      <c r="F164" s="15"/>
      <c r="G164" s="411"/>
      <c r="H164" s="17" t="str">
        <f t="shared" si="13"/>
        <v/>
      </c>
      <c r="I164" s="18"/>
      <c r="J164" s="61"/>
      <c r="K164" s="62"/>
      <c r="L164" s="420" t="str">
        <f t="shared" si="14"/>
        <v/>
      </c>
      <c r="M164" s="401" t="str">
        <f t="shared" si="15"/>
        <v/>
      </c>
    </row>
    <row r="165" spans="2:13" x14ac:dyDescent="0.25">
      <c r="B165" s="58"/>
      <c r="C165" s="65"/>
      <c r="D165" s="15"/>
      <c r="E165" s="15"/>
      <c r="F165" s="15"/>
      <c r="G165" s="411"/>
      <c r="H165" s="17" t="str">
        <f t="shared" si="13"/>
        <v/>
      </c>
      <c r="I165" s="18"/>
      <c r="J165" s="62"/>
      <c r="K165" s="62"/>
      <c r="L165" s="420" t="str">
        <f t="shared" si="14"/>
        <v/>
      </c>
      <c r="M165" s="401" t="str">
        <f t="shared" si="15"/>
        <v/>
      </c>
    </row>
    <row r="166" spans="2:13" x14ac:dyDescent="0.25">
      <c r="B166" s="58"/>
      <c r="C166" s="751"/>
      <c r="D166" s="15"/>
      <c r="E166" s="15"/>
      <c r="F166" s="15"/>
      <c r="G166" s="411"/>
      <c r="H166" s="17" t="str">
        <f t="shared" si="13"/>
        <v/>
      </c>
      <c r="I166" s="18"/>
      <c r="J166" s="61"/>
      <c r="K166" s="399"/>
      <c r="L166" s="420" t="str">
        <f t="shared" si="14"/>
        <v/>
      </c>
      <c r="M166" s="401" t="str">
        <f t="shared" si="15"/>
        <v/>
      </c>
    </row>
    <row r="167" spans="2:13" x14ac:dyDescent="0.25">
      <c r="B167" s="58"/>
      <c r="C167" s="65"/>
      <c r="D167" s="15"/>
      <c r="E167" s="15"/>
      <c r="F167" s="15"/>
      <c r="G167" s="411"/>
      <c r="H167" s="17" t="str">
        <f t="shared" si="13"/>
        <v/>
      </c>
      <c r="I167" s="18"/>
      <c r="J167" s="62"/>
      <c r="K167" s="62"/>
      <c r="L167" s="420" t="str">
        <f t="shared" si="14"/>
        <v/>
      </c>
      <c r="M167" s="401" t="str">
        <f t="shared" si="15"/>
        <v/>
      </c>
    </row>
    <row r="168" spans="2:13" x14ac:dyDescent="0.25">
      <c r="B168" s="58"/>
      <c r="C168" s="65"/>
      <c r="D168" s="15"/>
      <c r="E168" s="15"/>
      <c r="F168" s="15"/>
      <c r="G168" s="411"/>
      <c r="H168" s="17" t="str">
        <f t="shared" si="13"/>
        <v/>
      </c>
      <c r="I168" s="18"/>
      <c r="J168" s="61"/>
      <c r="K168" s="399"/>
      <c r="L168" s="420" t="str">
        <f t="shared" si="14"/>
        <v/>
      </c>
      <c r="M168" s="401" t="str">
        <f t="shared" si="15"/>
        <v/>
      </c>
    </row>
    <row r="169" spans="2:13" x14ac:dyDescent="0.25">
      <c r="B169" s="58"/>
      <c r="C169" s="65"/>
      <c r="D169" s="15"/>
      <c r="E169" s="15"/>
      <c r="F169" s="15"/>
      <c r="G169" s="411"/>
      <c r="H169" s="743" t="str">
        <f t="shared" si="13"/>
        <v/>
      </c>
      <c r="I169" s="18"/>
      <c r="J169" s="61"/>
      <c r="K169" s="402"/>
      <c r="L169" s="420" t="str">
        <f t="shared" si="14"/>
        <v/>
      </c>
      <c r="M169" s="401" t="str">
        <f t="shared" si="15"/>
        <v/>
      </c>
    </row>
    <row r="170" spans="2:13" x14ac:dyDescent="0.25">
      <c r="B170" s="58"/>
      <c r="C170" s="65"/>
      <c r="D170" s="15"/>
      <c r="E170" s="15"/>
      <c r="F170" s="15"/>
      <c r="G170" s="411"/>
      <c r="H170" s="743" t="str">
        <f t="shared" si="13"/>
        <v/>
      </c>
      <c r="I170" s="18"/>
      <c r="J170" s="61"/>
      <c r="K170" s="399"/>
      <c r="L170" s="420" t="str">
        <f t="shared" si="14"/>
        <v/>
      </c>
      <c r="M170" s="401" t="str">
        <f t="shared" si="15"/>
        <v/>
      </c>
    </row>
    <row r="171" spans="2:13" x14ac:dyDescent="0.25">
      <c r="B171" s="58"/>
      <c r="C171" s="65"/>
      <c r="D171" s="15"/>
      <c r="E171" s="15"/>
      <c r="F171" s="15"/>
      <c r="G171" s="411"/>
      <c r="H171" s="743" t="str">
        <f t="shared" si="13"/>
        <v/>
      </c>
      <c r="I171" s="18"/>
      <c r="J171" s="61"/>
      <c r="K171" s="402"/>
      <c r="L171" s="420" t="str">
        <f t="shared" si="14"/>
        <v/>
      </c>
      <c r="M171" s="401" t="str">
        <f t="shared" si="15"/>
        <v/>
      </c>
    </row>
    <row r="172" spans="2:13" x14ac:dyDescent="0.25">
      <c r="B172" s="58"/>
      <c r="C172" s="65"/>
      <c r="D172" s="15"/>
      <c r="E172" s="15"/>
      <c r="F172" s="15"/>
      <c r="G172" s="411"/>
      <c r="H172" s="743" t="str">
        <f t="shared" si="13"/>
        <v/>
      </c>
      <c r="I172" s="18"/>
      <c r="J172" s="61"/>
      <c r="K172" s="399"/>
      <c r="L172" s="420" t="str">
        <f t="shared" si="14"/>
        <v/>
      </c>
      <c r="M172" s="401" t="str">
        <f t="shared" si="15"/>
        <v/>
      </c>
    </row>
    <row r="173" spans="2:13" x14ac:dyDescent="0.25">
      <c r="B173" s="58"/>
      <c r="C173" s="65"/>
      <c r="D173" s="15"/>
      <c r="E173" s="15"/>
      <c r="F173" s="15"/>
      <c r="G173" s="411"/>
      <c r="H173" s="743" t="str">
        <f t="shared" si="13"/>
        <v/>
      </c>
      <c r="I173" s="18"/>
      <c r="J173" s="61"/>
      <c r="K173" s="399"/>
      <c r="L173" s="420" t="str">
        <f t="shared" si="14"/>
        <v/>
      </c>
      <c r="M173" s="401" t="str">
        <f t="shared" si="15"/>
        <v/>
      </c>
    </row>
    <row r="174" spans="2:13" x14ac:dyDescent="0.25">
      <c r="B174" s="58"/>
      <c r="C174" s="65"/>
      <c r="D174" s="15"/>
      <c r="E174" s="15"/>
      <c r="F174" s="15"/>
      <c r="G174" s="411"/>
      <c r="H174" s="743" t="str">
        <f t="shared" si="13"/>
        <v/>
      </c>
      <c r="I174" s="18"/>
      <c r="J174" s="61"/>
      <c r="K174" s="399"/>
      <c r="L174" s="420" t="str">
        <f t="shared" si="14"/>
        <v/>
      </c>
      <c r="M174" s="401" t="str">
        <f t="shared" si="15"/>
        <v/>
      </c>
    </row>
    <row r="175" spans="2:13" x14ac:dyDescent="0.25">
      <c r="B175" s="58"/>
      <c r="C175" s="65"/>
      <c r="D175" s="15"/>
      <c r="E175" s="15"/>
      <c r="F175" s="15"/>
      <c r="G175" s="411"/>
      <c r="H175" s="743" t="str">
        <f t="shared" si="13"/>
        <v/>
      </c>
      <c r="I175" s="18"/>
      <c r="J175" s="61"/>
      <c r="K175" s="399"/>
      <c r="L175" s="420" t="str">
        <f t="shared" si="14"/>
        <v/>
      </c>
      <c r="M175" s="401" t="str">
        <f t="shared" si="15"/>
        <v/>
      </c>
    </row>
    <row r="176" spans="2:13" x14ac:dyDescent="0.25">
      <c r="B176" s="58"/>
      <c r="C176" s="65"/>
      <c r="D176" s="15"/>
      <c r="E176" s="15"/>
      <c r="F176" s="15"/>
      <c r="G176" s="411"/>
      <c r="H176" s="743" t="str">
        <f t="shared" si="13"/>
        <v/>
      </c>
      <c r="I176" s="18"/>
      <c r="J176" s="61"/>
      <c r="K176" s="399"/>
      <c r="L176" s="420" t="str">
        <f t="shared" si="14"/>
        <v/>
      </c>
      <c r="M176" s="401" t="str">
        <f t="shared" si="15"/>
        <v/>
      </c>
    </row>
    <row r="177" spans="2:13" x14ac:dyDescent="0.25">
      <c r="B177" s="58"/>
      <c r="C177" s="65"/>
      <c r="D177" s="15"/>
      <c r="E177" s="15"/>
      <c r="F177" s="15"/>
      <c r="G177" s="411"/>
      <c r="H177" s="743" t="str">
        <f t="shared" si="13"/>
        <v/>
      </c>
      <c r="I177" s="18"/>
      <c r="J177" s="61"/>
      <c r="K177" s="399"/>
      <c r="L177" s="420" t="str">
        <f t="shared" si="14"/>
        <v/>
      </c>
      <c r="M177" s="401" t="str">
        <f t="shared" si="15"/>
        <v/>
      </c>
    </row>
    <row r="178" spans="2:13" x14ac:dyDescent="0.25">
      <c r="B178" s="58"/>
      <c r="C178" s="65"/>
      <c r="D178" s="15"/>
      <c r="E178" s="15"/>
      <c r="F178" s="15"/>
      <c r="G178" s="411"/>
      <c r="H178" s="743" t="str">
        <f t="shared" si="13"/>
        <v/>
      </c>
      <c r="I178" s="18"/>
      <c r="J178" s="61"/>
      <c r="K178" s="399"/>
      <c r="L178" s="420" t="str">
        <f t="shared" si="14"/>
        <v/>
      </c>
      <c r="M178" s="401" t="str">
        <f t="shared" si="15"/>
        <v/>
      </c>
    </row>
    <row r="179" spans="2:13" x14ac:dyDescent="0.25">
      <c r="B179" s="58"/>
      <c r="C179" s="65"/>
      <c r="D179" s="15"/>
      <c r="E179" s="15"/>
      <c r="F179" s="15"/>
      <c r="G179" s="411"/>
      <c r="H179" s="743" t="str">
        <f t="shared" si="13"/>
        <v/>
      </c>
      <c r="I179" s="18"/>
      <c r="J179" s="61"/>
      <c r="K179" s="399"/>
      <c r="L179" s="420" t="str">
        <f t="shared" si="14"/>
        <v/>
      </c>
      <c r="M179" s="401" t="str">
        <f t="shared" si="15"/>
        <v/>
      </c>
    </row>
    <row r="180" spans="2:13" x14ac:dyDescent="0.25">
      <c r="B180" s="58"/>
      <c r="C180" s="65"/>
      <c r="D180" s="15"/>
      <c r="E180" s="15"/>
      <c r="F180" s="15"/>
      <c r="G180" s="411"/>
      <c r="H180" s="743" t="str">
        <f t="shared" si="13"/>
        <v/>
      </c>
      <c r="I180" s="18"/>
      <c r="J180" s="61"/>
      <c r="K180" s="399"/>
      <c r="L180" s="420" t="str">
        <f t="shared" si="14"/>
        <v/>
      </c>
      <c r="M180" s="401" t="str">
        <f t="shared" si="15"/>
        <v/>
      </c>
    </row>
    <row r="181" spans="2:13" x14ac:dyDescent="0.25">
      <c r="B181" s="58"/>
      <c r="C181" s="65"/>
      <c r="D181" s="15"/>
      <c r="E181" s="15"/>
      <c r="F181" s="15"/>
      <c r="G181" s="411"/>
      <c r="H181" s="743" t="str">
        <f t="shared" si="13"/>
        <v/>
      </c>
      <c r="I181" s="18"/>
      <c r="J181" s="61"/>
      <c r="K181" s="399"/>
      <c r="L181" s="420" t="str">
        <f t="shared" si="14"/>
        <v/>
      </c>
      <c r="M181" s="401" t="str">
        <f t="shared" si="15"/>
        <v/>
      </c>
    </row>
    <row r="182" spans="2:13" x14ac:dyDescent="0.25">
      <c r="B182" s="58"/>
      <c r="C182" s="65"/>
      <c r="D182" s="15"/>
      <c r="E182" s="15"/>
      <c r="F182" s="15"/>
      <c r="G182" s="411"/>
      <c r="H182" s="743" t="str">
        <f t="shared" si="13"/>
        <v/>
      </c>
      <c r="I182" s="18"/>
      <c r="J182" s="61"/>
      <c r="K182" s="399"/>
      <c r="L182" s="420" t="str">
        <f t="shared" si="14"/>
        <v/>
      </c>
      <c r="M182" s="401" t="str">
        <f t="shared" si="15"/>
        <v/>
      </c>
    </row>
    <row r="183" spans="2:13" x14ac:dyDescent="0.25">
      <c r="B183" s="58"/>
      <c r="C183" s="65"/>
      <c r="D183" s="15"/>
      <c r="E183" s="15"/>
      <c r="F183" s="15"/>
      <c r="G183" s="411"/>
      <c r="H183" s="743" t="str">
        <f t="shared" si="13"/>
        <v/>
      </c>
      <c r="I183" s="18"/>
      <c r="J183" s="61"/>
      <c r="K183" s="399"/>
      <c r="L183" s="420" t="str">
        <f t="shared" si="14"/>
        <v/>
      </c>
      <c r="M183" s="401" t="str">
        <f t="shared" si="15"/>
        <v/>
      </c>
    </row>
    <row r="184" spans="2:13" x14ac:dyDescent="0.25">
      <c r="B184" s="58"/>
      <c r="C184" s="65"/>
      <c r="D184" s="15"/>
      <c r="E184" s="15"/>
      <c r="F184" s="15"/>
      <c r="G184" s="411"/>
      <c r="H184" s="743" t="str">
        <f t="shared" si="13"/>
        <v/>
      </c>
      <c r="I184" s="18"/>
      <c r="J184" s="61"/>
      <c r="K184" s="399"/>
      <c r="L184" s="420" t="str">
        <f t="shared" si="14"/>
        <v/>
      </c>
      <c r="M184" s="401" t="str">
        <f t="shared" si="15"/>
        <v/>
      </c>
    </row>
    <row r="185" spans="2:13" x14ac:dyDescent="0.25">
      <c r="B185" s="58"/>
      <c r="C185" s="65"/>
      <c r="D185" s="15"/>
      <c r="E185" s="15"/>
      <c r="F185" s="15"/>
      <c r="G185" s="411"/>
      <c r="H185" s="743" t="str">
        <f t="shared" si="13"/>
        <v/>
      </c>
      <c r="I185" s="18"/>
      <c r="J185" s="61"/>
      <c r="K185" s="399"/>
      <c r="L185" s="420" t="str">
        <f t="shared" si="14"/>
        <v/>
      </c>
      <c r="M185" s="401" t="str">
        <f t="shared" si="15"/>
        <v/>
      </c>
    </row>
    <row r="186" spans="2:13" x14ac:dyDescent="0.25">
      <c r="B186" s="58"/>
      <c r="C186" s="65"/>
      <c r="D186" s="15"/>
      <c r="E186" s="15"/>
      <c r="F186" s="15"/>
      <c r="G186" s="411"/>
      <c r="H186" s="743" t="str">
        <f t="shared" si="13"/>
        <v/>
      </c>
      <c r="I186" s="18"/>
      <c r="J186" s="61"/>
      <c r="K186" s="399"/>
      <c r="L186" s="420" t="str">
        <f t="shared" si="14"/>
        <v/>
      </c>
      <c r="M186" s="401" t="str">
        <f t="shared" si="15"/>
        <v/>
      </c>
    </row>
    <row r="187" spans="2:13" x14ac:dyDescent="0.25">
      <c r="B187" s="58"/>
      <c r="C187" s="386"/>
      <c r="D187" s="390"/>
      <c r="E187" s="390"/>
      <c r="F187" s="15"/>
      <c r="G187" s="411"/>
      <c r="H187" s="743" t="str">
        <f t="shared" si="13"/>
        <v/>
      </c>
      <c r="I187" s="18"/>
      <c r="J187" s="61"/>
      <c r="K187" s="399"/>
      <c r="L187" s="420" t="str">
        <f t="shared" si="14"/>
        <v/>
      </c>
      <c r="M187" s="401" t="str">
        <f t="shared" si="15"/>
        <v/>
      </c>
    </row>
    <row r="188" spans="2:13" x14ac:dyDescent="0.25">
      <c r="B188" s="58"/>
      <c r="C188" s="386"/>
      <c r="D188" s="390"/>
      <c r="E188" s="390"/>
      <c r="F188" s="15"/>
      <c r="G188" s="411"/>
      <c r="H188" s="17" t="str">
        <f t="shared" si="13"/>
        <v/>
      </c>
      <c r="I188" s="18"/>
      <c r="J188" s="62"/>
      <c r="K188" s="62"/>
      <c r="L188" s="420" t="str">
        <f t="shared" si="14"/>
        <v/>
      </c>
      <c r="M188" s="401" t="str">
        <f t="shared" si="15"/>
        <v/>
      </c>
    </row>
    <row r="189" spans="2:13" x14ac:dyDescent="0.25">
      <c r="B189" s="58"/>
      <c r="C189" s="65"/>
      <c r="D189" s="15"/>
      <c r="E189" s="15"/>
      <c r="F189" s="15"/>
      <c r="G189" s="411"/>
      <c r="H189" s="17" t="str">
        <f t="shared" si="13"/>
        <v/>
      </c>
      <c r="I189" s="18"/>
      <c r="J189" s="61"/>
      <c r="K189" s="399"/>
      <c r="L189" s="420" t="str">
        <f t="shared" si="14"/>
        <v/>
      </c>
      <c r="M189" s="401" t="str">
        <f t="shared" si="15"/>
        <v/>
      </c>
    </row>
    <row r="190" spans="2:13" x14ac:dyDescent="0.25">
      <c r="B190" s="58"/>
      <c r="C190" s="65"/>
      <c r="D190" s="15"/>
      <c r="E190" s="15"/>
      <c r="F190" s="15"/>
      <c r="G190" s="411"/>
      <c r="H190" s="389" t="str">
        <f t="shared" si="13"/>
        <v/>
      </c>
      <c r="I190" s="18"/>
      <c r="J190" s="61"/>
      <c r="K190" s="62"/>
      <c r="L190" s="420" t="str">
        <f t="shared" si="14"/>
        <v/>
      </c>
      <c r="M190" s="401" t="str">
        <f t="shared" si="15"/>
        <v/>
      </c>
    </row>
    <row r="191" spans="2:13" x14ac:dyDescent="0.25">
      <c r="B191" s="58"/>
      <c r="C191" s="65"/>
      <c r="D191" s="15"/>
      <c r="E191" s="15"/>
      <c r="F191" s="15"/>
      <c r="G191" s="411"/>
      <c r="H191" s="17" t="str">
        <f t="shared" si="13"/>
        <v/>
      </c>
      <c r="I191" s="18"/>
      <c r="J191" s="61"/>
      <c r="K191" s="62"/>
      <c r="L191" s="420" t="str">
        <f t="shared" si="14"/>
        <v/>
      </c>
      <c r="M191" s="401" t="str">
        <f t="shared" si="15"/>
        <v/>
      </c>
    </row>
    <row r="192" spans="2:13" x14ac:dyDescent="0.25">
      <c r="B192" s="58"/>
      <c r="C192" s="65"/>
      <c r="D192" s="15"/>
      <c r="E192" s="15"/>
      <c r="F192" s="15"/>
      <c r="G192" s="411"/>
      <c r="H192" s="17" t="str">
        <f t="shared" si="13"/>
        <v/>
      </c>
      <c r="I192" s="18"/>
      <c r="J192" s="62"/>
      <c r="K192" s="62"/>
      <c r="L192" s="420" t="str">
        <f t="shared" si="14"/>
        <v/>
      </c>
      <c r="M192" s="401" t="str">
        <f t="shared" si="15"/>
        <v/>
      </c>
    </row>
    <row r="193" spans="2:13" x14ac:dyDescent="0.25">
      <c r="B193" s="58"/>
      <c r="C193" s="751"/>
      <c r="D193" s="15"/>
      <c r="E193" s="15"/>
      <c r="F193" s="15"/>
      <c r="G193" s="411"/>
      <c r="H193" s="17" t="str">
        <f t="shared" si="13"/>
        <v/>
      </c>
      <c r="I193" s="18"/>
      <c r="J193" s="61"/>
      <c r="K193" s="399"/>
      <c r="L193" s="420" t="str">
        <f t="shared" si="14"/>
        <v/>
      </c>
      <c r="M193" s="401" t="str">
        <f t="shared" si="15"/>
        <v/>
      </c>
    </row>
    <row r="194" spans="2:13" x14ac:dyDescent="0.25">
      <c r="B194" s="58"/>
      <c r="C194" s="65"/>
      <c r="D194" s="15"/>
      <c r="E194" s="15"/>
      <c r="F194" s="15"/>
      <c r="G194" s="411"/>
      <c r="H194" s="17" t="str">
        <f t="shared" si="13"/>
        <v/>
      </c>
      <c r="I194" s="18"/>
      <c r="J194" s="62"/>
      <c r="K194" s="62"/>
      <c r="L194" s="420" t="str">
        <f t="shared" si="14"/>
        <v/>
      </c>
      <c r="M194" s="401" t="str">
        <f t="shared" si="15"/>
        <v/>
      </c>
    </row>
    <row r="195" spans="2:13" x14ac:dyDescent="0.25">
      <c r="B195" s="58"/>
      <c r="C195" s="65"/>
      <c r="D195" s="15"/>
      <c r="E195" s="15"/>
      <c r="F195" s="15"/>
      <c r="G195" s="411"/>
      <c r="H195" s="17" t="str">
        <f t="shared" si="13"/>
        <v/>
      </c>
      <c r="I195" s="18"/>
      <c r="J195" s="61"/>
      <c r="K195" s="399"/>
      <c r="L195" s="420" t="str">
        <f t="shared" si="14"/>
        <v/>
      </c>
      <c r="M195" s="401" t="str">
        <f t="shared" si="15"/>
        <v/>
      </c>
    </row>
    <row r="196" spans="2:13" x14ac:dyDescent="0.25">
      <c r="B196" s="58"/>
      <c r="C196" s="65"/>
      <c r="D196" s="15"/>
      <c r="E196" s="15"/>
      <c r="F196" s="15"/>
      <c r="G196" s="411"/>
      <c r="H196" s="743" t="str">
        <f t="shared" si="13"/>
        <v/>
      </c>
      <c r="I196" s="18"/>
      <c r="J196" s="61"/>
      <c r="K196" s="399"/>
      <c r="L196" s="420" t="str">
        <f t="shared" si="14"/>
        <v/>
      </c>
      <c r="M196" s="401" t="str">
        <f t="shared" si="15"/>
        <v/>
      </c>
    </row>
    <row r="197" spans="2:13" x14ac:dyDescent="0.25">
      <c r="B197" s="58"/>
      <c r="C197" s="65"/>
      <c r="D197" s="15"/>
      <c r="E197" s="15"/>
      <c r="F197" s="15"/>
      <c r="G197" s="411"/>
      <c r="H197" s="743" t="str">
        <f t="shared" si="13"/>
        <v/>
      </c>
      <c r="I197" s="18"/>
      <c r="J197" s="61"/>
      <c r="K197" s="399"/>
      <c r="L197" s="420" t="str">
        <f t="shared" si="14"/>
        <v/>
      </c>
      <c r="M197" s="401" t="str">
        <f t="shared" si="15"/>
        <v/>
      </c>
    </row>
    <row r="198" spans="2:13" x14ac:dyDescent="0.25">
      <c r="B198" s="58"/>
      <c r="C198" s="65"/>
      <c r="D198" s="15"/>
      <c r="E198" s="15"/>
      <c r="F198" s="15"/>
      <c r="G198" s="411"/>
      <c r="H198" s="743" t="str">
        <f t="shared" si="13"/>
        <v/>
      </c>
      <c r="I198" s="18"/>
      <c r="J198" s="61"/>
      <c r="K198" s="399"/>
      <c r="L198" s="420" t="str">
        <f t="shared" si="14"/>
        <v/>
      </c>
      <c r="M198" s="401" t="str">
        <f t="shared" si="15"/>
        <v/>
      </c>
    </row>
    <row r="199" spans="2:13" x14ac:dyDescent="0.25">
      <c r="B199" s="58"/>
      <c r="C199" s="65"/>
      <c r="D199" s="15"/>
      <c r="E199" s="15"/>
      <c r="F199" s="15"/>
      <c r="G199" s="411"/>
      <c r="H199" s="743" t="str">
        <f t="shared" si="13"/>
        <v/>
      </c>
      <c r="I199" s="18"/>
      <c r="J199" s="61"/>
      <c r="K199" s="402"/>
      <c r="L199" s="420" t="str">
        <f t="shared" si="14"/>
        <v/>
      </c>
      <c r="M199" s="401" t="str">
        <f t="shared" si="15"/>
        <v/>
      </c>
    </row>
    <row r="200" spans="2:13" x14ac:dyDescent="0.25">
      <c r="B200" s="58"/>
      <c r="C200" s="65"/>
      <c r="D200" s="15"/>
      <c r="E200" s="15"/>
      <c r="F200" s="15"/>
      <c r="G200" s="411"/>
      <c r="H200" s="743" t="str">
        <f t="shared" si="13"/>
        <v/>
      </c>
      <c r="I200" s="18"/>
      <c r="J200" s="61"/>
      <c r="K200" s="399"/>
      <c r="L200" s="420" t="str">
        <f t="shared" si="14"/>
        <v/>
      </c>
      <c r="M200" s="401" t="str">
        <f t="shared" si="15"/>
        <v/>
      </c>
    </row>
    <row r="201" spans="2:13" x14ac:dyDescent="0.25">
      <c r="B201" s="58"/>
      <c r="C201" s="65"/>
      <c r="D201" s="15"/>
      <c r="E201" s="15"/>
      <c r="F201" s="15"/>
      <c r="G201" s="411"/>
      <c r="H201" s="743" t="str">
        <f t="shared" si="13"/>
        <v/>
      </c>
      <c r="I201" s="18"/>
      <c r="J201" s="61"/>
      <c r="K201" s="399"/>
      <c r="L201" s="420" t="str">
        <f t="shared" si="14"/>
        <v/>
      </c>
      <c r="M201" s="401" t="str">
        <f t="shared" si="15"/>
        <v/>
      </c>
    </row>
    <row r="202" spans="2:13" x14ac:dyDescent="0.25">
      <c r="B202" s="46"/>
      <c r="C202" s="14"/>
      <c r="D202" s="15"/>
      <c r="E202" s="15"/>
      <c r="F202" s="580"/>
      <c r="G202" s="422"/>
      <c r="H202" s="17" t="str">
        <f t="shared" si="13"/>
        <v/>
      </c>
      <c r="I202" s="18"/>
      <c r="J202" s="62"/>
      <c r="K202" s="62"/>
      <c r="L202" s="420" t="str">
        <f t="shared" si="14"/>
        <v/>
      </c>
      <c r="M202" s="401" t="str">
        <f t="shared" si="15"/>
        <v/>
      </c>
    </row>
    <row r="203" spans="2:13" x14ac:dyDescent="0.25">
      <c r="B203" s="46"/>
      <c r="C203" s="14"/>
      <c r="D203" s="15"/>
      <c r="E203" s="15"/>
      <c r="F203" s="580"/>
      <c r="G203" s="422"/>
      <c r="H203" s="17" t="str">
        <f t="shared" si="13"/>
        <v/>
      </c>
      <c r="I203" s="18"/>
      <c r="J203" s="62"/>
      <c r="K203" s="62"/>
      <c r="L203" s="420" t="str">
        <f t="shared" si="14"/>
        <v/>
      </c>
      <c r="M203" s="401" t="str">
        <f t="shared" si="15"/>
        <v/>
      </c>
    </row>
    <row r="204" spans="2:13" x14ac:dyDescent="0.25">
      <c r="B204" s="46"/>
      <c r="C204" s="14"/>
      <c r="D204" s="15"/>
      <c r="E204" s="15"/>
      <c r="F204" s="580"/>
      <c r="G204" s="422"/>
      <c r="H204" s="17" t="str">
        <f t="shared" si="13"/>
        <v/>
      </c>
      <c r="I204" s="18"/>
      <c r="J204" s="62"/>
      <c r="K204" s="62"/>
      <c r="L204" s="420" t="str">
        <f t="shared" si="14"/>
        <v/>
      </c>
      <c r="M204" s="401" t="str">
        <f t="shared" si="15"/>
        <v/>
      </c>
    </row>
    <row r="205" spans="2:13" x14ac:dyDescent="0.25">
      <c r="B205" s="46"/>
      <c r="C205" s="14"/>
      <c r="D205" s="15"/>
      <c r="E205" s="15"/>
      <c r="F205" s="580"/>
      <c r="G205" s="422"/>
      <c r="H205" s="17" t="str">
        <f t="shared" si="13"/>
        <v/>
      </c>
      <c r="I205" s="18"/>
      <c r="J205" s="62"/>
      <c r="K205" s="62"/>
      <c r="L205" s="420" t="str">
        <f t="shared" si="14"/>
        <v/>
      </c>
      <c r="M205" s="401" t="str">
        <f t="shared" si="15"/>
        <v/>
      </c>
    </row>
    <row r="206" spans="2:13" x14ac:dyDescent="0.25">
      <c r="B206" s="46"/>
      <c r="C206" s="14"/>
      <c r="D206" s="15"/>
      <c r="E206" s="15"/>
      <c r="F206" s="580"/>
      <c r="G206" s="422"/>
      <c r="H206" s="17" t="str">
        <f t="shared" si="13"/>
        <v/>
      </c>
      <c r="I206" s="18"/>
      <c r="J206" s="62"/>
      <c r="K206" s="62"/>
      <c r="L206" s="420" t="str">
        <f t="shared" si="14"/>
        <v/>
      </c>
      <c r="M206" s="401" t="str">
        <f t="shared" si="15"/>
        <v/>
      </c>
    </row>
    <row r="207" spans="2:13" x14ac:dyDescent="0.25">
      <c r="B207" s="46"/>
      <c r="C207" s="14"/>
      <c r="D207" s="15"/>
      <c r="E207" s="15"/>
      <c r="F207" s="580"/>
      <c r="G207" s="422"/>
      <c r="H207" s="17" t="str">
        <f t="shared" si="13"/>
        <v/>
      </c>
      <c r="I207" s="18"/>
      <c r="J207" s="61"/>
      <c r="K207" s="695"/>
      <c r="L207" s="420" t="str">
        <f t="shared" si="14"/>
        <v/>
      </c>
      <c r="M207" s="401" t="str">
        <f t="shared" si="15"/>
        <v/>
      </c>
    </row>
    <row r="208" spans="2:13" x14ac:dyDescent="0.25">
      <c r="B208" s="46"/>
      <c r="C208" s="14"/>
      <c r="D208" s="15"/>
      <c r="E208" s="15"/>
      <c r="F208" s="580"/>
      <c r="G208" s="422"/>
      <c r="H208" s="17" t="str">
        <f t="shared" si="13"/>
        <v/>
      </c>
      <c r="I208" s="18"/>
      <c r="J208" s="61"/>
      <c r="K208" s="696"/>
      <c r="L208" s="420" t="str">
        <f t="shared" si="14"/>
        <v/>
      </c>
      <c r="M208" s="401" t="str">
        <f t="shared" si="15"/>
        <v/>
      </c>
    </row>
    <row r="209" spans="2:13" s="28" customFormat="1" ht="25" customHeight="1" x14ac:dyDescent="0.25">
      <c r="B209" s="84" t="str">
        <f>B12</f>
        <v>C1.5</v>
      </c>
      <c r="C209" s="498" t="str">
        <f>"TOTAL CARRIED FORWARD"&amp;IF(H209=H$1," TO SUMMARY","")</f>
        <v>TOTAL CARRIED FORWARD TO SUMMARY</v>
      </c>
      <c r="D209" s="31"/>
      <c r="E209" s="31"/>
      <c r="F209" s="32"/>
      <c r="G209" s="31"/>
      <c r="H209" s="33">
        <f>SUM(H148:H208)</f>
        <v>1337260</v>
      </c>
      <c r="I209" s="34"/>
      <c r="J209" s="408"/>
      <c r="K209" s="406"/>
      <c r="L209" s="418">
        <f>SUM(L148:L208)</f>
        <v>661523.83999999985</v>
      </c>
      <c r="M209" s="407" t="str">
        <f t="shared" ref="M209" si="16">IF(J209="","",IF(SUM(H209)=0,"",L209/H209))</f>
        <v/>
      </c>
    </row>
  </sheetData>
  <mergeCells count="18">
    <mergeCell ref="F3:H3"/>
    <mergeCell ref="B6:G6"/>
    <mergeCell ref="H6:H9"/>
    <mergeCell ref="B7:G9"/>
    <mergeCell ref="B67:D67"/>
    <mergeCell ref="F67:H69"/>
    <mergeCell ref="B68:D68"/>
    <mergeCell ref="B69:D69"/>
    <mergeCell ref="B143:G143"/>
    <mergeCell ref="H143:H146"/>
    <mergeCell ref="B144:G146"/>
    <mergeCell ref="B70:G70"/>
    <mergeCell ref="H70:H73"/>
    <mergeCell ref="B71:G73"/>
    <mergeCell ref="B140:D140"/>
    <mergeCell ref="F140:H142"/>
    <mergeCell ref="B141:D141"/>
    <mergeCell ref="B142:D142"/>
  </mergeCells>
  <conditionalFormatting sqref="G11:H66 G75:H139 G148:H209">
    <cfRule type="expression" dxfId="31"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66" max="7"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EC6D9-65C7-441D-8BFA-4091D02FD7A3}">
  <sheetPr>
    <tabColor rgb="FFFF0000"/>
  </sheetPr>
  <dimension ref="B2:J63"/>
  <sheetViews>
    <sheetView showGridLines="0" zoomScaleNormal="100" zoomScaleSheetLayoutView="80" workbookViewId="0">
      <selection activeCell="I1" sqref="I1"/>
    </sheetView>
  </sheetViews>
  <sheetFormatPr defaultColWidth="9.1796875" defaultRowHeight="14.5" x14ac:dyDescent="0.25"/>
  <cols>
    <col min="1" max="1" width="1.81640625" style="989" customWidth="1"/>
    <col min="2" max="2" width="10.26953125" style="990" customWidth="1"/>
    <col min="3" max="3" width="26.81640625" style="989" customWidth="1"/>
    <col min="4" max="4" width="13.7265625" style="989" customWidth="1"/>
    <col min="5" max="5" width="13.453125" style="989" customWidth="1"/>
    <col min="6" max="6" width="18.453125" style="989" customWidth="1"/>
    <col min="7" max="8" width="16.7265625" style="989" customWidth="1"/>
    <col min="9" max="9" width="3.1796875" style="989" customWidth="1"/>
    <col min="10" max="12" width="9.1796875" style="989"/>
    <col min="13" max="13" width="11.7265625" style="989" customWidth="1"/>
    <col min="14" max="14" width="58.26953125" style="989" customWidth="1"/>
    <col min="15" max="15" width="12.453125" style="989" customWidth="1"/>
    <col min="16" max="16" width="5" style="989" customWidth="1"/>
    <col min="17" max="19" width="15.7265625" style="989" customWidth="1"/>
    <col min="20" max="16384" width="9.1796875" style="989"/>
  </cols>
  <sheetData>
    <row r="2" spans="2:9" ht="15" customHeight="1" x14ac:dyDescent="0.25">
      <c r="C2" s="1093" t="str">
        <f>Info!C6</f>
        <v>THE CONSTRUCTION OF EARTHWORKS, LAYERWORKS, SURFACING, CULVERTS AND CWAKA RIVER BRIDGE FROM KM 11.600 TO KM 14.000 ON MAIN ROAD P494 IN THE KING CETSHWAYO DISTRICT UNDER EMPANGENI REGION</v>
      </c>
      <c r="D2" s="1093"/>
      <c r="E2" s="1093"/>
      <c r="F2" s="1093"/>
      <c r="G2" s="1093"/>
      <c r="H2" s="1093"/>
      <c r="I2" s="988"/>
    </row>
    <row r="3" spans="2:9" x14ac:dyDescent="0.25">
      <c r="B3" s="988"/>
      <c r="C3" s="1093"/>
      <c r="D3" s="1093"/>
      <c r="E3" s="1093"/>
      <c r="F3" s="1093"/>
      <c r="G3" s="1093"/>
      <c r="H3" s="1093"/>
      <c r="I3" s="988"/>
    </row>
    <row r="5" spans="2:9" x14ac:dyDescent="0.25">
      <c r="C5" s="991" t="s">
        <v>2329</v>
      </c>
      <c r="F5" s="1071" t="s">
        <v>2337</v>
      </c>
      <c r="H5" s="1039">
        <f ca="1">Summary!G20</f>
        <v>39918753.049999997</v>
      </c>
    </row>
    <row r="6" spans="2:9" x14ac:dyDescent="0.25">
      <c r="F6" s="1071" t="s">
        <v>2336</v>
      </c>
      <c r="H6" s="1040">
        <v>3.7499999999999999E-3</v>
      </c>
    </row>
    <row r="7" spans="2:9" x14ac:dyDescent="0.25">
      <c r="C7" s="989" t="s">
        <v>2348</v>
      </c>
      <c r="F7" s="1071" t="s">
        <v>2328</v>
      </c>
      <c r="H7" s="1041">
        <f ca="1">ROUND(H5*H6,2)</f>
        <v>149695.32</v>
      </c>
    </row>
    <row r="9" spans="2:9" ht="39" x14ac:dyDescent="0.25">
      <c r="C9" s="1015" t="s">
        <v>2311</v>
      </c>
      <c r="D9" s="1015" t="s">
        <v>2314</v>
      </c>
      <c r="E9" s="1015" t="s">
        <v>2312</v>
      </c>
      <c r="F9" s="1015" t="s">
        <v>2316</v>
      </c>
      <c r="G9" s="1015" t="s">
        <v>2321</v>
      </c>
      <c r="H9" s="1015" t="s">
        <v>2313</v>
      </c>
    </row>
    <row r="10" spans="2:9" ht="26.15" customHeight="1" x14ac:dyDescent="0.25">
      <c r="C10" s="1033" t="s">
        <v>2317</v>
      </c>
      <c r="D10" s="1025"/>
      <c r="E10" s="1025"/>
      <c r="F10" s="1028"/>
      <c r="G10" s="1042"/>
      <c r="H10" s="1016">
        <f>(D10*H25*G10)+E10*G25*G10</f>
        <v>0</v>
      </c>
    </row>
    <row r="11" spans="2:9" ht="26.15" customHeight="1" x14ac:dyDescent="0.25">
      <c r="C11" s="1034" t="s">
        <v>2320</v>
      </c>
      <c r="D11" s="1037" t="s">
        <v>2309</v>
      </c>
      <c r="E11" s="1026"/>
      <c r="F11" s="1029"/>
      <c r="G11" s="1043"/>
      <c r="H11" s="1017">
        <f>E11*G11*G26</f>
        <v>0</v>
      </c>
    </row>
    <row r="12" spans="2:9" ht="26.15" customHeight="1" x14ac:dyDescent="0.25">
      <c r="C12" s="1034" t="s">
        <v>2319</v>
      </c>
      <c r="D12" s="1026"/>
      <c r="E12" s="1026"/>
      <c r="F12" s="1029"/>
      <c r="G12" s="1043"/>
      <c r="H12" s="1017">
        <f>(D12*H27*G12)+E12*G27*G12</f>
        <v>0</v>
      </c>
    </row>
    <row r="13" spans="2:9" ht="25" x14ac:dyDescent="0.25">
      <c r="C13" s="1035" t="s">
        <v>2318</v>
      </c>
      <c r="D13" s="1038" t="s">
        <v>2309</v>
      </c>
      <c r="E13" s="1027">
        <v>2</v>
      </c>
      <c r="F13" s="1031" t="s">
        <v>2350</v>
      </c>
      <c r="G13" s="1044">
        <v>4</v>
      </c>
      <c r="H13" s="1018">
        <f>E13*G13*G28</f>
        <v>388000</v>
      </c>
    </row>
    <row r="14" spans="2:9" ht="26.15" customHeight="1" x14ac:dyDescent="0.25">
      <c r="C14" s="1034" t="s">
        <v>2322</v>
      </c>
      <c r="D14" s="1026"/>
      <c r="E14" s="1026"/>
      <c r="F14" s="1029"/>
      <c r="G14" s="1043"/>
      <c r="H14" s="1017">
        <f>(D14*H29*G14)+E14*G29*G14</f>
        <v>0</v>
      </c>
    </row>
    <row r="15" spans="2:9" ht="26.15" customHeight="1" x14ac:dyDescent="0.25">
      <c r="C15" s="1035" t="s">
        <v>2323</v>
      </c>
      <c r="D15" s="1027"/>
      <c r="E15" s="1027"/>
      <c r="F15" s="1031"/>
      <c r="G15" s="1044"/>
      <c r="H15" s="1018">
        <f>(D15*H30*G15)+E15*G30*G15</f>
        <v>0</v>
      </c>
    </row>
    <row r="16" spans="2:9" x14ac:dyDescent="0.25">
      <c r="C16" s="1036" t="s">
        <v>890</v>
      </c>
      <c r="D16" s="1019">
        <f>SUM(D9:D15)</f>
        <v>0</v>
      </c>
      <c r="E16" s="1019">
        <f>SUM(E9:E15)</f>
        <v>2</v>
      </c>
      <c r="F16" s="1032"/>
      <c r="G16" s="1077" t="s">
        <v>2345</v>
      </c>
      <c r="H16" s="1020">
        <f>SUM(H9:H15)</f>
        <v>388000</v>
      </c>
    </row>
    <row r="17" spans="2:8" x14ac:dyDescent="0.25">
      <c r="G17" s="992" t="s">
        <v>2346</v>
      </c>
      <c r="H17" s="1060">
        <f ca="1">H7</f>
        <v>149695.32</v>
      </c>
    </row>
    <row r="18" spans="2:8" x14ac:dyDescent="0.25">
      <c r="C18" s="990"/>
      <c r="F18" s="992"/>
      <c r="G18" s="992" t="s">
        <v>2347</v>
      </c>
      <c r="H18" s="1078">
        <f ca="1">H16-H17</f>
        <v>238304.68</v>
      </c>
    </row>
    <row r="20" spans="2:8" x14ac:dyDescent="0.25">
      <c r="G20" s="992" t="s">
        <v>2349</v>
      </c>
      <c r="H20" s="1060">
        <f>H56</f>
        <v>410800</v>
      </c>
    </row>
    <row r="22" spans="2:8" x14ac:dyDescent="0.25">
      <c r="B22" s="991" t="s">
        <v>2310</v>
      </c>
      <c r="C22" s="990"/>
      <c r="F22" s="992"/>
    </row>
    <row r="23" spans="2:8" x14ac:dyDescent="0.25">
      <c r="B23" s="989"/>
      <c r="C23" s="990"/>
      <c r="F23" s="992"/>
      <c r="G23" s="1023" t="s">
        <v>2315</v>
      </c>
      <c r="H23" s="1024"/>
    </row>
    <row r="24" spans="2:8" s="993" customFormat="1" ht="29" x14ac:dyDescent="0.25">
      <c r="B24" s="1021" t="s">
        <v>2302</v>
      </c>
      <c r="C24" s="1021" t="s">
        <v>2304</v>
      </c>
      <c r="D24" s="1022" t="s">
        <v>2303</v>
      </c>
      <c r="E24" s="1022" t="s">
        <v>2305</v>
      </c>
      <c r="F24" s="1022" t="s">
        <v>2306</v>
      </c>
      <c r="G24" s="1022" t="s">
        <v>2307</v>
      </c>
      <c r="H24" s="1022" t="s">
        <v>2308</v>
      </c>
    </row>
    <row r="25" spans="2:8" x14ac:dyDescent="0.25">
      <c r="B25" s="995">
        <v>1</v>
      </c>
      <c r="C25" s="996" t="s">
        <v>2296</v>
      </c>
      <c r="D25" s="1045">
        <v>7000</v>
      </c>
      <c r="E25" s="1045">
        <v>0</v>
      </c>
      <c r="F25" s="1045">
        <v>9000</v>
      </c>
      <c r="G25" s="997">
        <f>SUM(D25:F25)</f>
        <v>16000</v>
      </c>
      <c r="H25" s="998">
        <f>G25-D25</f>
        <v>9000</v>
      </c>
    </row>
    <row r="26" spans="2:8" x14ac:dyDescent="0.25">
      <c r="B26" s="1003" t="s">
        <v>2326</v>
      </c>
      <c r="C26" s="1004" t="s">
        <v>2297</v>
      </c>
      <c r="D26" s="1046">
        <v>14000</v>
      </c>
      <c r="E26" s="1046">
        <v>0</v>
      </c>
      <c r="F26" s="1046">
        <v>9000</v>
      </c>
      <c r="G26" s="1005">
        <f t="shared" ref="G26:G30" si="0">SUM(D26:F26)</f>
        <v>23000</v>
      </c>
      <c r="H26" s="1006" t="s">
        <v>2309</v>
      </c>
    </row>
    <row r="27" spans="2:8" x14ac:dyDescent="0.25">
      <c r="B27" s="1007" t="s">
        <v>2327</v>
      </c>
      <c r="C27" s="1008" t="s">
        <v>2298</v>
      </c>
      <c r="D27" s="1047">
        <v>14000</v>
      </c>
      <c r="E27" s="1047">
        <v>0</v>
      </c>
      <c r="F27" s="1047">
        <v>12000</v>
      </c>
      <c r="G27" s="1009">
        <f t="shared" si="0"/>
        <v>26000</v>
      </c>
      <c r="H27" s="1010">
        <f>G27-D27</f>
        <v>12000</v>
      </c>
    </row>
    <row r="28" spans="2:8" ht="29" x14ac:dyDescent="0.25">
      <c r="B28" s="999">
        <v>3</v>
      </c>
      <c r="C28" s="1000" t="s">
        <v>2299</v>
      </c>
      <c r="D28" s="1048">
        <v>24000</v>
      </c>
      <c r="E28" s="1048">
        <v>20000</v>
      </c>
      <c r="F28" s="1048">
        <v>4500</v>
      </c>
      <c r="G28" s="1001">
        <f t="shared" si="0"/>
        <v>48500</v>
      </c>
      <c r="H28" s="1002" t="s">
        <v>2309</v>
      </c>
    </row>
    <row r="29" spans="2:8" ht="29" x14ac:dyDescent="0.25">
      <c r="B29" s="1003" t="s">
        <v>2324</v>
      </c>
      <c r="C29" s="1004" t="s">
        <v>2300</v>
      </c>
      <c r="D29" s="1046">
        <v>37000</v>
      </c>
      <c r="E29" s="1046">
        <v>20000</v>
      </c>
      <c r="F29" s="1046">
        <v>4500</v>
      </c>
      <c r="G29" s="1005">
        <f t="shared" si="0"/>
        <v>61500</v>
      </c>
      <c r="H29" s="1006">
        <f>G29-D29-F29</f>
        <v>20000</v>
      </c>
    </row>
    <row r="30" spans="2:8" ht="29" x14ac:dyDescent="0.25">
      <c r="B30" s="1007" t="s">
        <v>2325</v>
      </c>
      <c r="C30" s="1008" t="s">
        <v>2301</v>
      </c>
      <c r="D30" s="1047">
        <v>47000</v>
      </c>
      <c r="E30" s="1047">
        <f>E29</f>
        <v>20000</v>
      </c>
      <c r="F30" s="1047">
        <v>4500</v>
      </c>
      <c r="G30" s="1009">
        <f t="shared" si="0"/>
        <v>71500</v>
      </c>
      <c r="H30" s="1010">
        <f>G30-D30-F30</f>
        <v>20000</v>
      </c>
    </row>
    <row r="31" spans="2:8" x14ac:dyDescent="0.25">
      <c r="C31" s="994"/>
      <c r="F31" s="992"/>
    </row>
    <row r="33" spans="2:10" x14ac:dyDescent="0.25">
      <c r="B33" s="991" t="s">
        <v>2344</v>
      </c>
    </row>
    <row r="35" spans="2:10" x14ac:dyDescent="0.25">
      <c r="B35" s="1050" t="s">
        <v>2335</v>
      </c>
      <c r="C35" s="1051" t="s">
        <v>1149</v>
      </c>
      <c r="D35" s="1052"/>
      <c r="E35" s="1049" t="s">
        <v>907</v>
      </c>
      <c r="F35" s="1050" t="s">
        <v>1975</v>
      </c>
      <c r="G35" s="1050" t="s">
        <v>908</v>
      </c>
      <c r="H35" s="1050" t="s">
        <v>1976</v>
      </c>
    </row>
    <row r="36" spans="2:10" x14ac:dyDescent="0.25">
      <c r="B36" s="1053"/>
      <c r="C36" s="1054"/>
      <c r="D36" s="1054"/>
      <c r="E36" s="1054"/>
      <c r="F36" s="1053"/>
      <c r="G36" s="1053"/>
      <c r="H36" s="1053"/>
    </row>
    <row r="37" spans="2:10" x14ac:dyDescent="0.25">
      <c r="B37" s="991" t="s">
        <v>2258</v>
      </c>
      <c r="C37" s="1069" t="s">
        <v>2259</v>
      </c>
      <c r="F37" s="990"/>
      <c r="H37" s="1072" t="s">
        <v>2339</v>
      </c>
      <c r="J37" s="1073">
        <v>0.1</v>
      </c>
    </row>
    <row r="38" spans="2:10" x14ac:dyDescent="0.25">
      <c r="C38" s="1057"/>
      <c r="D38" s="1057"/>
      <c r="E38" s="1057"/>
      <c r="F38" s="1058"/>
      <c r="G38" s="1058"/>
      <c r="H38" s="1058"/>
      <c r="J38" s="1074" t="s">
        <v>2338</v>
      </c>
    </row>
    <row r="39" spans="2:10" x14ac:dyDescent="0.25">
      <c r="C39" s="1061" t="s">
        <v>2351</v>
      </c>
      <c r="D39" s="1066"/>
      <c r="E39" s="1062"/>
      <c r="F39" s="1016"/>
      <c r="G39" s="1016"/>
      <c r="H39" s="1016"/>
    </row>
    <row r="40" spans="2:10" x14ac:dyDescent="0.25">
      <c r="C40" s="1079" t="s">
        <v>2330</v>
      </c>
      <c r="D40" s="1067"/>
      <c r="E40" s="1064" t="s">
        <v>557</v>
      </c>
      <c r="F40" s="1017">
        <f>E10*D25*G10*(1+$J$37)</f>
        <v>0</v>
      </c>
      <c r="G40" s="1017">
        <v>1</v>
      </c>
      <c r="H40" s="1017">
        <f>F40*G40</f>
        <v>0</v>
      </c>
    </row>
    <row r="41" spans="2:10" x14ac:dyDescent="0.25">
      <c r="C41" s="1079" t="s">
        <v>2331</v>
      </c>
      <c r="D41" s="1067"/>
      <c r="E41" s="1064" t="s">
        <v>557</v>
      </c>
      <c r="F41" s="1017">
        <f>SUM(D10:E10)*F25*G10*(1+J37)</f>
        <v>0</v>
      </c>
      <c r="G41" s="1017">
        <v>1</v>
      </c>
      <c r="H41" s="1017">
        <f>F41*G41</f>
        <v>0</v>
      </c>
    </row>
    <row r="42" spans="2:10" x14ac:dyDescent="0.25">
      <c r="C42" s="1063"/>
      <c r="D42" s="1067"/>
      <c r="E42" s="1064"/>
      <c r="F42" s="1017"/>
      <c r="G42" s="1017"/>
      <c r="H42" s="1017"/>
    </row>
    <row r="43" spans="2:10" x14ac:dyDescent="0.25">
      <c r="C43" s="1063" t="s">
        <v>2352</v>
      </c>
      <c r="D43" s="1067"/>
      <c r="E43" s="1064"/>
      <c r="F43" s="1017"/>
      <c r="G43" s="1017"/>
      <c r="H43" s="1017"/>
    </row>
    <row r="44" spans="2:10" x14ac:dyDescent="0.25">
      <c r="C44" s="1079" t="s">
        <v>2330</v>
      </c>
      <c r="D44" s="1067"/>
      <c r="E44" s="1064" t="s">
        <v>557</v>
      </c>
      <c r="F44" s="1017">
        <f>(E11*G11*D26+E12*G12*D27)*(1+$J$37)</f>
        <v>0</v>
      </c>
      <c r="G44" s="1017">
        <v>1</v>
      </c>
      <c r="H44" s="1017">
        <f t="shared" ref="H44:H45" si="1">F44*G44</f>
        <v>0</v>
      </c>
    </row>
    <row r="45" spans="2:10" x14ac:dyDescent="0.25">
      <c r="C45" s="1079" t="s">
        <v>2331</v>
      </c>
      <c r="D45" s="1067"/>
      <c r="E45" s="1064" t="s">
        <v>557</v>
      </c>
      <c r="F45" s="1017">
        <f>((E11*G11*F26)+(SUM(D12:E12)*G12*F27))*(1+$J$37)</f>
        <v>0</v>
      </c>
      <c r="G45" s="1017">
        <v>1</v>
      </c>
      <c r="H45" s="1017">
        <f t="shared" si="1"/>
        <v>0</v>
      </c>
    </row>
    <row r="46" spans="2:10" x14ac:dyDescent="0.25">
      <c r="C46" s="1063"/>
      <c r="D46" s="1067"/>
      <c r="E46" s="1064"/>
      <c r="F46" s="1017"/>
      <c r="G46" s="1017"/>
      <c r="H46" s="1017"/>
    </row>
    <row r="47" spans="2:10" x14ac:dyDescent="0.25">
      <c r="C47" s="1063" t="s">
        <v>2353</v>
      </c>
      <c r="D47" s="1067"/>
      <c r="E47" s="1064"/>
      <c r="F47" s="1017"/>
      <c r="G47" s="1017"/>
      <c r="H47" s="1017"/>
    </row>
    <row r="48" spans="2:10" x14ac:dyDescent="0.25">
      <c r="C48" s="1079" t="s">
        <v>2330</v>
      </c>
      <c r="D48" s="1067"/>
      <c r="E48" s="1064" t="s">
        <v>557</v>
      </c>
      <c r="F48" s="1017">
        <f>E13*G13*D28*(1+$J$37)</f>
        <v>211200.00000000003</v>
      </c>
      <c r="G48" s="1017">
        <v>1</v>
      </c>
      <c r="H48" s="1017">
        <f>F48*G48</f>
        <v>211200.00000000003</v>
      </c>
    </row>
    <row r="49" spans="2:8" x14ac:dyDescent="0.25">
      <c r="C49" s="1079" t="s">
        <v>2332</v>
      </c>
      <c r="D49" s="1067"/>
      <c r="E49" s="1064" t="s">
        <v>2334</v>
      </c>
      <c r="F49" s="1017">
        <f>E13*G13</f>
        <v>8</v>
      </c>
      <c r="G49" s="1017">
        <f>E28</f>
        <v>20000</v>
      </c>
      <c r="H49" s="1017">
        <f>F49*G49</f>
        <v>160000</v>
      </c>
    </row>
    <row r="50" spans="2:8" x14ac:dyDescent="0.25">
      <c r="C50" s="1079" t="s">
        <v>2333</v>
      </c>
      <c r="D50" s="1067"/>
      <c r="E50" s="1064" t="s">
        <v>557</v>
      </c>
      <c r="F50" s="1017">
        <f>E13*G13*F28*(1+$J$37)</f>
        <v>39600</v>
      </c>
      <c r="G50" s="1017">
        <v>1</v>
      </c>
      <c r="H50" s="1017">
        <f>F50*G50</f>
        <v>39600</v>
      </c>
    </row>
    <row r="51" spans="2:8" x14ac:dyDescent="0.25">
      <c r="C51" s="1063"/>
      <c r="D51" s="1067"/>
      <c r="E51" s="1064"/>
      <c r="F51" s="1017"/>
      <c r="G51" s="1017"/>
      <c r="H51" s="1017"/>
    </row>
    <row r="52" spans="2:8" x14ac:dyDescent="0.25">
      <c r="B52" s="989"/>
      <c r="C52" s="1063" t="s">
        <v>2354</v>
      </c>
      <c r="D52" s="1067"/>
      <c r="E52" s="1064"/>
      <c r="F52" s="1017"/>
      <c r="G52" s="1017"/>
      <c r="H52" s="1017"/>
    </row>
    <row r="53" spans="2:8" x14ac:dyDescent="0.25">
      <c r="C53" s="1079" t="s">
        <v>2330</v>
      </c>
      <c r="D53" s="1067"/>
      <c r="E53" s="1064" t="s">
        <v>557</v>
      </c>
      <c r="F53" s="1017">
        <f>(E14*G14*D29+E15*G15*D30)*(1+$J$37)</f>
        <v>0</v>
      </c>
      <c r="G53" s="1017">
        <v>1</v>
      </c>
      <c r="H53" s="1017">
        <f>F53*G53</f>
        <v>0</v>
      </c>
    </row>
    <row r="54" spans="2:8" x14ac:dyDescent="0.25">
      <c r="C54" s="1079" t="s">
        <v>2332</v>
      </c>
      <c r="D54" s="1067"/>
      <c r="E54" s="1064" t="s">
        <v>2334</v>
      </c>
      <c r="F54" s="1017">
        <f>SUM(D14:E14)*G14+SUM(D15:E15)*G15</f>
        <v>0</v>
      </c>
      <c r="G54" s="1017">
        <f>E29</f>
        <v>20000</v>
      </c>
      <c r="H54" s="1017">
        <f>F54*G54</f>
        <v>0</v>
      </c>
    </row>
    <row r="55" spans="2:8" x14ac:dyDescent="0.25">
      <c r="C55" s="1080" t="s">
        <v>2333</v>
      </c>
      <c r="D55" s="1068"/>
      <c r="E55" s="1065" t="s">
        <v>557</v>
      </c>
      <c r="F55" s="1018">
        <f>(E14*G14*F29+E15*G15*F30)*(1+$J$37)</f>
        <v>0</v>
      </c>
      <c r="G55" s="1018">
        <v>1</v>
      </c>
      <c r="H55" s="1018">
        <f>F55*G55</f>
        <v>0</v>
      </c>
    </row>
    <row r="56" spans="2:8" x14ac:dyDescent="0.25">
      <c r="C56" s="1055"/>
      <c r="D56" s="1055"/>
      <c r="E56" s="1055"/>
      <c r="F56" s="1056"/>
      <c r="G56" s="1075" t="s">
        <v>2342</v>
      </c>
      <c r="H56" s="1070">
        <f>SUM(H35:H55)</f>
        <v>410800</v>
      </c>
    </row>
    <row r="57" spans="2:8" x14ac:dyDescent="0.25">
      <c r="C57" s="1057"/>
      <c r="D57" s="1057"/>
      <c r="E57" s="1057"/>
      <c r="F57" s="1058"/>
      <c r="G57" s="1058"/>
      <c r="H57" s="1058"/>
    </row>
    <row r="58" spans="2:8" x14ac:dyDescent="0.25">
      <c r="C58" s="1059" t="s">
        <v>2340</v>
      </c>
      <c r="D58" s="1012"/>
      <c r="E58" s="1014"/>
      <c r="F58" s="1016"/>
      <c r="G58" s="1016"/>
      <c r="H58" s="1016"/>
    </row>
    <row r="59" spans="2:8" x14ac:dyDescent="0.25">
      <c r="C59" s="1079" t="s">
        <v>2355</v>
      </c>
      <c r="D59" s="1067"/>
      <c r="E59" s="1064" t="s">
        <v>783</v>
      </c>
      <c r="F59" s="1030">
        <v>40</v>
      </c>
      <c r="G59" s="1017">
        <v>500</v>
      </c>
      <c r="H59" s="1017">
        <f>F59*G59</f>
        <v>20000</v>
      </c>
    </row>
    <row r="60" spans="2:8" x14ac:dyDescent="0.25">
      <c r="C60" s="1063"/>
      <c r="D60" s="1067"/>
      <c r="E60" s="1064"/>
      <c r="F60" s="1017"/>
      <c r="G60" s="1017"/>
      <c r="H60" s="1017"/>
    </row>
    <row r="61" spans="2:8" x14ac:dyDescent="0.25">
      <c r="C61" s="1063" t="s">
        <v>2341</v>
      </c>
      <c r="D61" s="1067"/>
      <c r="E61" s="1064"/>
      <c r="F61" s="1017"/>
      <c r="G61" s="1017"/>
      <c r="H61" s="1017"/>
    </row>
    <row r="62" spans="2:8" x14ac:dyDescent="0.25">
      <c r="C62" s="1081" t="s">
        <v>2356</v>
      </c>
      <c r="D62" s="1011"/>
      <c r="E62" s="1013" t="s">
        <v>26</v>
      </c>
      <c r="F62" s="1018">
        <f>SUM(H39:H48,H50:H53,H55)</f>
        <v>250800.00000000003</v>
      </c>
      <c r="G62" s="1076">
        <v>0.05</v>
      </c>
      <c r="H62" s="1017">
        <f>F62*G62</f>
        <v>12540.000000000002</v>
      </c>
    </row>
    <row r="63" spans="2:8" x14ac:dyDescent="0.25">
      <c r="C63" s="1055"/>
      <c r="D63" s="1055"/>
      <c r="E63" s="1055"/>
      <c r="F63" s="1055"/>
      <c r="G63" s="1075" t="s">
        <v>2343</v>
      </c>
      <c r="H63" s="1070">
        <f>SUM(H56:H62)</f>
        <v>443340</v>
      </c>
    </row>
  </sheetData>
  <mergeCells count="1">
    <mergeCell ref="C2:H3"/>
  </mergeCells>
  <pageMargins left="0.51181102362204722" right="0.51181102362204722" top="0.47244094488188981" bottom="0.74803149606299213" header="0.31496062992125984" footer="0.31496062992125984"/>
  <pageSetup paperSize="9" orientation="landscape" r:id="rId1"/>
  <headerFooter>
    <oddFooter>&amp;L&amp;8&amp;F: &amp;A&amp;C&amp;9Page &amp;P of &amp;N</oddFooter>
  </headerFooter>
  <rowBreaks count="2" manualBreakCount="2">
    <brk id="21" max="8" man="1"/>
    <brk id="32" max="8" man="1"/>
  </rowBreaks>
  <ignoredErrors>
    <ignoredError sqref="H11:H13" formula="1"/>
  </ignoredError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2">
    <tabColor rgb="FFFFFF00"/>
  </sheetPr>
  <dimension ref="A1:S145"/>
  <sheetViews>
    <sheetView view="pageBreakPreview"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4"/>
    <col min="11" max="11" width="12.81640625" style="1" customWidth="1"/>
    <col min="12" max="12" width="14.1796875" style="1" customWidth="1"/>
    <col min="13" max="14" width="14.7265625" style="1" customWidth="1"/>
    <col min="15" max="16384" width="6.81640625" style="1"/>
  </cols>
  <sheetData>
    <row r="1" spans="1:18" s="242" customFormat="1" ht="11.5" x14ac:dyDescent="0.25">
      <c r="B1" s="243"/>
      <c r="C1" s="244" t="s">
        <v>993</v>
      </c>
      <c r="D1" s="245"/>
      <c r="E1" s="245"/>
      <c r="F1" s="246" t="s">
        <v>994</v>
      </c>
      <c r="G1" s="244">
        <v>1</v>
      </c>
      <c r="H1" s="247">
        <f>MAX(H2:H145)</f>
        <v>285000</v>
      </c>
      <c r="I1" s="247">
        <f>MAX(I2:I214)</f>
        <v>0</v>
      </c>
      <c r="J1" s="977"/>
      <c r="K1" s="255"/>
      <c r="L1" s="247">
        <f>MAX(L2:L145)</f>
        <v>214819.20000000001</v>
      </c>
      <c r="M1" s="249"/>
      <c r="N1" s="250"/>
      <c r="O1" s="256"/>
      <c r="P1" s="257" t="s">
        <v>1001</v>
      </c>
      <c r="Q1" s="255">
        <f>K1</f>
        <v>0</v>
      </c>
      <c r="R1" s="256"/>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18" ht="13" x14ac:dyDescent="0.25">
      <c r="B3" s="2" t="str">
        <f>Client1</f>
        <v>Province of KwaZulu-Natal</v>
      </c>
      <c r="F3" s="1124" t="str">
        <f>"Contract No. "&amp;ContractNo</f>
        <v>Contract No. ZNB 00399/00000/HOD/INF/21/T</v>
      </c>
      <c r="G3" s="1124"/>
      <c r="H3" s="1124"/>
    </row>
    <row r="4" spans="1:18" ht="13" x14ac:dyDescent="0.25">
      <c r="B4" s="87" t="str">
        <f>Client2</f>
        <v>Department of Transport</v>
      </c>
    </row>
    <row r="5" spans="1:18" x14ac:dyDescent="0.25">
      <c r="B5" s="77"/>
      <c r="C5" s="77"/>
      <c r="D5" s="78"/>
      <c r="E5" s="78"/>
      <c r="F5" s="78"/>
      <c r="G5" s="79"/>
      <c r="H5" s="89"/>
    </row>
    <row r="6" spans="1:18" ht="13" x14ac:dyDescent="0.25">
      <c r="B6" s="1112" t="s">
        <v>8</v>
      </c>
      <c r="C6" s="1113"/>
      <c r="D6" s="1113"/>
      <c r="E6" s="1113"/>
      <c r="F6" s="1113"/>
      <c r="G6" s="1113"/>
      <c r="H6" s="1121" t="str">
        <f>"CHAPTER "&amp;B12</f>
        <v>CHAPTER C1.6</v>
      </c>
      <c r="I6" s="6"/>
    </row>
    <row r="7" spans="1:18"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8" ht="12.75" customHeight="1" x14ac:dyDescent="0.25">
      <c r="B8" s="1117"/>
      <c r="C8" s="1118"/>
      <c r="D8" s="1118"/>
      <c r="E8" s="1118"/>
      <c r="F8" s="1118"/>
      <c r="G8" s="1118"/>
      <c r="H8" s="1122"/>
      <c r="I8" s="8"/>
    </row>
    <row r="9" spans="1:18" ht="7.5" customHeight="1" x14ac:dyDescent="0.25">
      <c r="B9" s="1119"/>
      <c r="C9" s="1120"/>
      <c r="D9" s="1120"/>
      <c r="E9" s="1120"/>
      <c r="F9" s="1120"/>
      <c r="G9" s="1120"/>
      <c r="H9" s="1123"/>
      <c r="I9" s="8"/>
    </row>
    <row r="10" spans="1:18"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c r="O10" s="453" t="s">
        <v>1085</v>
      </c>
      <c r="P10" s="453" t="s">
        <v>1093</v>
      </c>
    </row>
    <row r="11" spans="1:18" x14ac:dyDescent="0.25">
      <c r="B11" s="58"/>
      <c r="C11" s="14"/>
      <c r="D11" s="15"/>
      <c r="E11" s="15"/>
      <c r="F11" s="15"/>
      <c r="G11" s="411"/>
      <c r="H11" s="17" t="str">
        <f t="shared" ref="H11:H18" si="0">IF(D11="","",F11*G11)</f>
        <v/>
      </c>
      <c r="I11" s="18"/>
      <c r="J11" s="61"/>
      <c r="K11" s="399"/>
      <c r="L11" s="420" t="str">
        <f t="shared" ref="L11:L71" si="1">IF(J11="","",F11*K11)</f>
        <v/>
      </c>
      <c r="M11" s="401" t="str">
        <f t="shared" ref="M11:M42" si="2">IF(J11="","",IF(SUM(H11)=0,"",L11/H11))</f>
        <v/>
      </c>
    </row>
    <row r="12" spans="1:18" ht="13" x14ac:dyDescent="0.25">
      <c r="B12" s="146" t="s">
        <v>163</v>
      </c>
      <c r="C12" s="672" t="s">
        <v>164</v>
      </c>
      <c r="D12" s="66"/>
      <c r="E12" s="66"/>
      <c r="F12" s="66"/>
      <c r="G12" s="837"/>
      <c r="H12" s="838" t="str">
        <f t="shared" si="0"/>
        <v/>
      </c>
      <c r="I12" s="18"/>
      <c r="J12" s="61"/>
      <c r="K12" s="399"/>
      <c r="L12" s="420" t="str">
        <f t="shared" si="1"/>
        <v/>
      </c>
      <c r="M12" s="401" t="str">
        <f t="shared" si="2"/>
        <v/>
      </c>
    </row>
    <row r="13" spans="1:18" x14ac:dyDescent="0.25">
      <c r="B13" s="58"/>
      <c r="C13" s="65"/>
      <c r="D13" s="66"/>
      <c r="E13" s="66"/>
      <c r="F13" s="66"/>
      <c r="G13" s="837"/>
      <c r="H13" s="838" t="str">
        <f t="shared" si="0"/>
        <v/>
      </c>
      <c r="I13" s="18"/>
      <c r="J13" s="61"/>
      <c r="K13" s="399"/>
      <c r="L13" s="420" t="str">
        <f t="shared" si="1"/>
        <v/>
      </c>
      <c r="M13" s="401" t="str">
        <f t="shared" si="2"/>
        <v/>
      </c>
    </row>
    <row r="14" spans="1:18" ht="13" x14ac:dyDescent="0.25">
      <c r="B14" s="146" t="s">
        <v>165</v>
      </c>
      <c r="C14" s="672" t="s">
        <v>166</v>
      </c>
      <c r="D14" s="66"/>
      <c r="E14" s="66"/>
      <c r="F14" s="66"/>
      <c r="G14" s="837"/>
      <c r="H14" s="838" t="str">
        <f t="shared" si="0"/>
        <v/>
      </c>
      <c r="I14" s="18"/>
      <c r="J14" s="61"/>
      <c r="K14" s="399"/>
      <c r="L14" s="420" t="str">
        <f t="shared" si="1"/>
        <v/>
      </c>
      <c r="M14" s="401" t="str">
        <f t="shared" si="2"/>
        <v/>
      </c>
    </row>
    <row r="15" spans="1:18" x14ac:dyDescent="0.25">
      <c r="B15" s="58"/>
      <c r="C15" s="65"/>
      <c r="D15" s="66"/>
      <c r="E15" s="66"/>
      <c r="F15" s="66"/>
      <c r="G15" s="837"/>
      <c r="H15" s="838" t="str">
        <f t="shared" si="0"/>
        <v/>
      </c>
      <c r="I15" s="18"/>
      <c r="J15" s="61"/>
      <c r="K15" s="399"/>
      <c r="L15" s="420" t="str">
        <f t="shared" si="1"/>
        <v/>
      </c>
      <c r="M15" s="401" t="str">
        <f t="shared" si="2"/>
        <v/>
      </c>
    </row>
    <row r="16" spans="1:18" ht="25" x14ac:dyDescent="0.25">
      <c r="B16" s="58" t="s">
        <v>167</v>
      </c>
      <c r="C16" s="65" t="s">
        <v>169</v>
      </c>
      <c r="D16" s="66" t="s">
        <v>21</v>
      </c>
      <c r="E16" s="66"/>
      <c r="F16" s="839">
        <f>Quantities!$S$216/3</f>
        <v>3</v>
      </c>
      <c r="G16" s="840">
        <v>4000</v>
      </c>
      <c r="H16" s="838">
        <f t="shared" si="0"/>
        <v>12000</v>
      </c>
      <c r="I16" s="57"/>
      <c r="J16" s="61" t="s">
        <v>996</v>
      </c>
      <c r="K16" s="399">
        <f>ROUND(3%*G16,0)</f>
        <v>120</v>
      </c>
      <c r="L16" s="420">
        <f t="shared" si="1"/>
        <v>360</v>
      </c>
      <c r="M16" s="401">
        <f t="shared" si="2"/>
        <v>0.03</v>
      </c>
    </row>
    <row r="17" spans="2:19" x14ac:dyDescent="0.25">
      <c r="B17" s="58"/>
      <c r="C17" s="65"/>
      <c r="D17" s="66"/>
      <c r="E17" s="66"/>
      <c r="F17" s="841"/>
      <c r="G17" s="840"/>
      <c r="H17" s="838" t="str">
        <f t="shared" si="0"/>
        <v/>
      </c>
      <c r="I17" s="57"/>
      <c r="J17" s="61"/>
      <c r="K17" s="399"/>
      <c r="L17" s="420" t="str">
        <f t="shared" si="1"/>
        <v/>
      </c>
      <c r="M17" s="401" t="str">
        <f t="shared" si="2"/>
        <v/>
      </c>
    </row>
    <row r="18" spans="2:19" ht="25" x14ac:dyDescent="0.3">
      <c r="B18" s="58" t="s">
        <v>168</v>
      </c>
      <c r="C18" s="65" t="s">
        <v>170</v>
      </c>
      <c r="D18" s="66" t="s">
        <v>21</v>
      </c>
      <c r="E18" s="66" t="s">
        <v>996</v>
      </c>
      <c r="F18" s="839">
        <f>Quantities!$S$216*2/3</f>
        <v>6</v>
      </c>
      <c r="G18" s="840">
        <v>16500</v>
      </c>
      <c r="H18" s="838">
        <f t="shared" si="0"/>
        <v>99000</v>
      </c>
      <c r="I18" s="57"/>
      <c r="J18" s="61" t="s">
        <v>996</v>
      </c>
      <c r="K18" s="399">
        <f>G18*97/100</f>
        <v>16005</v>
      </c>
      <c r="L18" s="420">
        <f t="shared" si="1"/>
        <v>96030</v>
      </c>
      <c r="M18" s="401">
        <f t="shared" si="2"/>
        <v>0.97</v>
      </c>
      <c r="N18" s="455" t="s">
        <v>1710</v>
      </c>
    </row>
    <row r="19" spans="2:19" x14ac:dyDescent="0.25">
      <c r="B19" s="58"/>
      <c r="C19" s="65"/>
      <c r="D19" s="66"/>
      <c r="E19" s="66"/>
      <c r="F19" s="841"/>
      <c r="G19" s="840"/>
      <c r="H19" s="838"/>
      <c r="I19" s="57"/>
      <c r="J19" s="61"/>
      <c r="K19" s="399"/>
      <c r="L19" s="420" t="str">
        <f t="shared" si="1"/>
        <v/>
      </c>
      <c r="M19" s="401" t="str">
        <f t="shared" si="2"/>
        <v/>
      </c>
    </row>
    <row r="20" spans="2:19" ht="13" x14ac:dyDescent="0.25">
      <c r="B20" s="146" t="s">
        <v>171</v>
      </c>
      <c r="C20" s="672" t="s">
        <v>172</v>
      </c>
      <c r="D20" s="66"/>
      <c r="E20" s="66"/>
      <c r="F20" s="841"/>
      <c r="G20" s="842"/>
      <c r="H20" s="838" t="str">
        <f t="shared" ref="H20:H24" si="3">IF(D20="","",F20*G20)</f>
        <v/>
      </c>
      <c r="I20" s="18"/>
      <c r="J20" s="61"/>
      <c r="K20" s="402"/>
      <c r="L20" s="420" t="str">
        <f t="shared" ref="L20:L24" si="4">IF(J20="","",F20*K20)</f>
        <v/>
      </c>
      <c r="M20" s="401" t="str">
        <f t="shared" ref="M20:M24" si="5">IF(J20="","",IF(SUM(H20)=0,"",L20/H20))</f>
        <v/>
      </c>
    </row>
    <row r="21" spans="2:19" x14ac:dyDescent="0.25">
      <c r="B21" s="58"/>
      <c r="C21" s="65"/>
      <c r="D21" s="66"/>
      <c r="E21" s="66"/>
      <c r="F21" s="841"/>
      <c r="G21" s="837"/>
      <c r="H21" s="838" t="str">
        <f t="shared" si="3"/>
        <v/>
      </c>
      <c r="I21" s="60"/>
      <c r="J21" s="61"/>
      <c r="K21" s="402"/>
      <c r="L21" s="420" t="str">
        <f t="shared" si="4"/>
        <v/>
      </c>
      <c r="M21" s="401" t="str">
        <f t="shared" si="5"/>
        <v/>
      </c>
    </row>
    <row r="22" spans="2:19" ht="25" x14ac:dyDescent="0.25">
      <c r="B22" s="58" t="s">
        <v>173</v>
      </c>
      <c r="C22" s="65" t="s">
        <v>2176</v>
      </c>
      <c r="D22" s="66" t="s">
        <v>21</v>
      </c>
      <c r="E22" s="66"/>
      <c r="F22" s="839">
        <f>Quantities!$S$216/3</f>
        <v>3</v>
      </c>
      <c r="G22" s="843">
        <v>4000</v>
      </c>
      <c r="H22" s="838">
        <f t="shared" si="3"/>
        <v>12000</v>
      </c>
      <c r="I22" s="63"/>
      <c r="J22" s="61" t="s">
        <v>996</v>
      </c>
      <c r="K22" s="399">
        <f>ROUND(3%*G22,0)</f>
        <v>120</v>
      </c>
      <c r="L22" s="420">
        <f t="shared" si="4"/>
        <v>360</v>
      </c>
      <c r="M22" s="401">
        <f t="shared" si="5"/>
        <v>0.03</v>
      </c>
    </row>
    <row r="23" spans="2:19" x14ac:dyDescent="0.25">
      <c r="B23" s="58"/>
      <c r="C23" s="65"/>
      <c r="D23" s="66"/>
      <c r="E23" s="66"/>
      <c r="F23" s="841"/>
      <c r="G23" s="843"/>
      <c r="H23" s="838" t="str">
        <f t="shared" si="3"/>
        <v/>
      </c>
      <c r="I23" s="63"/>
      <c r="J23" s="61"/>
      <c r="K23" s="62"/>
      <c r="L23" s="420" t="str">
        <f t="shared" si="4"/>
        <v/>
      </c>
      <c r="M23" s="401" t="str">
        <f t="shared" si="5"/>
        <v/>
      </c>
    </row>
    <row r="24" spans="2:19" ht="25" x14ac:dyDescent="0.3">
      <c r="B24" s="58" t="s">
        <v>175</v>
      </c>
      <c r="C24" s="65" t="s">
        <v>2177</v>
      </c>
      <c r="D24" s="66" t="s">
        <v>21</v>
      </c>
      <c r="E24" s="66" t="s">
        <v>996</v>
      </c>
      <c r="F24" s="839">
        <f>Quantities!$S$216*2/3</f>
        <v>6</v>
      </c>
      <c r="G24" s="843">
        <v>16500</v>
      </c>
      <c r="H24" s="838">
        <f t="shared" si="3"/>
        <v>99000</v>
      </c>
      <c r="I24" s="63"/>
      <c r="J24" s="61" t="s">
        <v>996</v>
      </c>
      <c r="K24" s="399">
        <f>G24*97/100</f>
        <v>16005</v>
      </c>
      <c r="L24" s="420">
        <f t="shared" si="4"/>
        <v>96030</v>
      </c>
      <c r="M24" s="401">
        <f t="shared" si="5"/>
        <v>0.97</v>
      </c>
      <c r="N24" s="455" t="s">
        <v>1710</v>
      </c>
    </row>
    <row r="25" spans="2:19" x14ac:dyDescent="0.25">
      <c r="B25" s="58"/>
      <c r="C25" s="65"/>
      <c r="D25" s="66"/>
      <c r="E25" s="66"/>
      <c r="F25" s="841"/>
      <c r="G25" s="837"/>
      <c r="H25" s="838" t="str">
        <f t="shared" ref="H25:H71" si="6">IF(D25="","",F25*G25)</f>
        <v/>
      </c>
      <c r="I25" s="60"/>
      <c r="J25" s="61"/>
      <c r="K25" s="402"/>
      <c r="L25" s="420" t="str">
        <f t="shared" si="1"/>
        <v/>
      </c>
      <c r="M25" s="401" t="str">
        <f t="shared" si="2"/>
        <v/>
      </c>
    </row>
    <row r="26" spans="2:19" x14ac:dyDescent="0.25">
      <c r="B26" s="58" t="s">
        <v>176</v>
      </c>
      <c r="C26" s="70" t="s">
        <v>177</v>
      </c>
      <c r="D26" s="66"/>
      <c r="E26" s="66"/>
      <c r="F26" s="841"/>
      <c r="G26" s="843"/>
      <c r="H26" s="838" t="str">
        <f t="shared" ref="H26:H30" si="7">IF(D26="","",F26*G26)</f>
        <v/>
      </c>
      <c r="I26" s="63"/>
      <c r="J26" s="61"/>
      <c r="K26" s="62"/>
      <c r="L26" s="420" t="str">
        <f t="shared" ref="L26:L30" si="8">IF(J26="","",F26*K26)</f>
        <v/>
      </c>
      <c r="M26" s="401" t="str">
        <f t="shared" ref="M26:M30" si="9">IF(J26="","",IF(SUM(H26)=0,"",L26/H26))</f>
        <v/>
      </c>
    </row>
    <row r="27" spans="2:19" x14ac:dyDescent="0.25">
      <c r="B27" s="58"/>
      <c r="C27" s="65"/>
      <c r="D27" s="66"/>
      <c r="E27" s="66"/>
      <c r="F27" s="841"/>
      <c r="G27" s="837"/>
      <c r="H27" s="838" t="str">
        <f t="shared" si="7"/>
        <v/>
      </c>
      <c r="I27" s="18"/>
      <c r="J27" s="61"/>
      <c r="K27" s="62"/>
      <c r="L27" s="420" t="str">
        <f t="shared" si="8"/>
        <v/>
      </c>
      <c r="M27" s="401" t="str">
        <f t="shared" si="9"/>
        <v/>
      </c>
    </row>
    <row r="28" spans="2:19" ht="27.75" customHeight="1" x14ac:dyDescent="0.25">
      <c r="B28" s="58" t="s">
        <v>176</v>
      </c>
      <c r="C28" s="65" t="s">
        <v>178</v>
      </c>
      <c r="D28" s="66" t="s">
        <v>34</v>
      </c>
      <c r="E28" s="66"/>
      <c r="F28" s="844">
        <v>30</v>
      </c>
      <c r="G28" s="837">
        <v>1500</v>
      </c>
      <c r="H28" s="845">
        <f t="shared" si="7"/>
        <v>45000</v>
      </c>
      <c r="I28" s="18"/>
      <c r="J28" s="61" t="s">
        <v>996</v>
      </c>
      <c r="K28" s="577">
        <f>ROUND(2*_LabourDaily,2)</f>
        <v>716.64</v>
      </c>
      <c r="L28" s="420">
        <f t="shared" si="8"/>
        <v>21499.200000000001</v>
      </c>
      <c r="M28" s="401">
        <f t="shared" si="9"/>
        <v>0.47776000000000002</v>
      </c>
      <c r="N28" s="455" t="s">
        <v>1094</v>
      </c>
      <c r="O28" s="454"/>
      <c r="P28" s="454"/>
      <c r="Q28" s="454"/>
      <c r="R28" s="454"/>
      <c r="S28" s="454"/>
    </row>
    <row r="29" spans="2:19" x14ac:dyDescent="0.25">
      <c r="B29" s="58"/>
      <c r="C29" s="65"/>
      <c r="D29" s="66"/>
      <c r="E29" s="66"/>
      <c r="F29" s="844"/>
      <c r="G29" s="837"/>
      <c r="H29" s="845" t="str">
        <f t="shared" si="7"/>
        <v/>
      </c>
      <c r="I29" s="18"/>
      <c r="J29" s="61"/>
      <c r="K29" s="399"/>
      <c r="L29" s="420" t="str">
        <f t="shared" si="8"/>
        <v/>
      </c>
      <c r="M29" s="401" t="str">
        <f t="shared" si="9"/>
        <v/>
      </c>
      <c r="O29" s="242"/>
      <c r="P29" s="242"/>
      <c r="Q29" s="242"/>
      <c r="R29" s="242"/>
      <c r="S29" s="242"/>
    </row>
    <row r="30" spans="2:19" x14ac:dyDescent="0.25">
      <c r="B30" s="58" t="s">
        <v>179</v>
      </c>
      <c r="C30" s="65" t="s">
        <v>180</v>
      </c>
      <c r="D30" s="66" t="s">
        <v>34</v>
      </c>
      <c r="E30" s="66"/>
      <c r="F30" s="844">
        <v>15</v>
      </c>
      <c r="G30" s="840">
        <v>1200</v>
      </c>
      <c r="H30" s="845">
        <f t="shared" si="7"/>
        <v>18000</v>
      </c>
      <c r="I30" s="57"/>
      <c r="J30" s="61" t="s">
        <v>996</v>
      </c>
      <c r="K30" s="399">
        <f>ROUND(3%*G30,0)</f>
        <v>36</v>
      </c>
      <c r="L30" s="420">
        <f t="shared" si="8"/>
        <v>540</v>
      </c>
      <c r="M30" s="401">
        <f t="shared" si="9"/>
        <v>0.03</v>
      </c>
    </row>
    <row r="31" spans="2:19" x14ac:dyDescent="0.25">
      <c r="B31" s="58"/>
      <c r="C31" s="65"/>
      <c r="D31" s="66"/>
      <c r="E31" s="66"/>
      <c r="F31" s="844"/>
      <c r="G31" s="840"/>
      <c r="H31" s="845" t="str">
        <f t="shared" si="6"/>
        <v/>
      </c>
      <c r="I31" s="63"/>
      <c r="J31" s="61"/>
      <c r="K31" s="62"/>
      <c r="L31" s="420" t="str">
        <f t="shared" si="1"/>
        <v/>
      </c>
      <c r="M31" s="401" t="str">
        <f t="shared" si="2"/>
        <v/>
      </c>
    </row>
    <row r="32" spans="2:19" x14ac:dyDescent="0.25">
      <c r="B32" s="58"/>
      <c r="C32" s="65"/>
      <c r="D32" s="66"/>
      <c r="E32" s="66"/>
      <c r="F32" s="66"/>
      <c r="G32" s="840"/>
      <c r="H32" s="845" t="str">
        <f t="shared" si="6"/>
        <v/>
      </c>
      <c r="I32" s="63"/>
      <c r="J32" s="61"/>
      <c r="K32" s="62"/>
      <c r="L32" s="420" t="str">
        <f t="shared" si="1"/>
        <v/>
      </c>
      <c r="M32" s="401" t="str">
        <f t="shared" si="2"/>
        <v/>
      </c>
    </row>
    <row r="33" spans="2:14" x14ac:dyDescent="0.25">
      <c r="B33" s="58"/>
      <c r="C33" s="14"/>
      <c r="D33" s="15"/>
      <c r="E33" s="15"/>
      <c r="F33" s="15"/>
      <c r="G33" s="424"/>
      <c r="H33" s="743" t="str">
        <f t="shared" si="6"/>
        <v/>
      </c>
      <c r="I33" s="63"/>
      <c r="J33" s="61"/>
      <c r="K33" s="62"/>
      <c r="L33" s="420" t="str">
        <f t="shared" si="1"/>
        <v/>
      </c>
      <c r="M33" s="401" t="str">
        <f t="shared" si="2"/>
        <v/>
      </c>
    </row>
    <row r="34" spans="2:14" x14ac:dyDescent="0.25">
      <c r="B34" s="58"/>
      <c r="C34" s="14"/>
      <c r="D34" s="15"/>
      <c r="E34" s="15"/>
      <c r="F34" s="647"/>
      <c r="G34" s="424"/>
      <c r="H34" s="743" t="str">
        <f t="shared" si="6"/>
        <v/>
      </c>
      <c r="I34" s="63"/>
      <c r="J34" s="61"/>
      <c r="K34" s="62"/>
      <c r="L34" s="420" t="str">
        <f t="shared" si="1"/>
        <v/>
      </c>
      <c r="M34" s="401" t="str">
        <f t="shared" si="2"/>
        <v/>
      </c>
    </row>
    <row r="35" spans="2:14" x14ac:dyDescent="0.25">
      <c r="B35" s="58"/>
      <c r="C35" s="14"/>
      <c r="D35" s="15"/>
      <c r="E35" s="15"/>
      <c r="F35" s="647"/>
      <c r="G35" s="424"/>
      <c r="H35" s="743" t="str">
        <f t="shared" si="6"/>
        <v/>
      </c>
      <c r="I35" s="18"/>
      <c r="J35" s="61"/>
      <c r="K35" s="62"/>
      <c r="L35" s="420" t="str">
        <f t="shared" si="1"/>
        <v/>
      </c>
      <c r="M35" s="401" t="str">
        <f t="shared" si="2"/>
        <v/>
      </c>
    </row>
    <row r="36" spans="2:14" x14ac:dyDescent="0.25">
      <c r="B36" s="58"/>
      <c r="C36" s="14"/>
      <c r="D36" s="15"/>
      <c r="E36" s="15"/>
      <c r="F36" s="647"/>
      <c r="G36" s="424"/>
      <c r="H36" s="743" t="str">
        <f t="shared" si="6"/>
        <v/>
      </c>
      <c r="I36" s="18"/>
      <c r="J36" s="61"/>
      <c r="K36" s="577"/>
      <c r="L36" s="420" t="str">
        <f t="shared" si="1"/>
        <v/>
      </c>
      <c r="M36" s="401" t="str">
        <f t="shared" si="2"/>
        <v/>
      </c>
      <c r="N36" s="455"/>
    </row>
    <row r="37" spans="2:14" x14ac:dyDescent="0.25">
      <c r="B37" s="58"/>
      <c r="C37" s="14"/>
      <c r="D37" s="15"/>
      <c r="E37" s="15"/>
      <c r="F37" s="647"/>
      <c r="G37" s="424"/>
      <c r="H37" s="743" t="str">
        <f t="shared" si="6"/>
        <v/>
      </c>
      <c r="I37" s="18"/>
      <c r="J37" s="61"/>
      <c r="K37" s="399"/>
      <c r="L37" s="420" t="str">
        <f t="shared" si="1"/>
        <v/>
      </c>
      <c r="M37" s="401" t="str">
        <f t="shared" si="2"/>
        <v/>
      </c>
    </row>
    <row r="38" spans="2:14" x14ac:dyDescent="0.25">
      <c r="B38" s="58"/>
      <c r="C38" s="14"/>
      <c r="D38" s="15"/>
      <c r="E38" s="15"/>
      <c r="F38" s="647"/>
      <c r="G38" s="424"/>
      <c r="H38" s="743" t="str">
        <f t="shared" si="6"/>
        <v/>
      </c>
      <c r="I38" s="57"/>
      <c r="J38" s="61"/>
      <c r="K38" s="399"/>
      <c r="L38" s="420" t="str">
        <f t="shared" si="1"/>
        <v/>
      </c>
      <c r="M38" s="401" t="str">
        <f t="shared" si="2"/>
        <v/>
      </c>
    </row>
    <row r="39" spans="2:14" x14ac:dyDescent="0.25">
      <c r="B39" s="58"/>
      <c r="C39" s="14"/>
      <c r="D39" s="15"/>
      <c r="E39" s="15"/>
      <c r="F39" s="647"/>
      <c r="G39" s="424"/>
      <c r="H39" s="743" t="str">
        <f t="shared" si="6"/>
        <v/>
      </c>
      <c r="I39" s="57"/>
      <c r="J39" s="61"/>
      <c r="K39" s="62"/>
      <c r="L39" s="420" t="str">
        <f t="shared" si="1"/>
        <v/>
      </c>
      <c r="M39" s="401" t="str">
        <f t="shared" si="2"/>
        <v/>
      </c>
    </row>
    <row r="40" spans="2:14" x14ac:dyDescent="0.25">
      <c r="B40" s="58"/>
      <c r="C40" s="14"/>
      <c r="D40" s="15"/>
      <c r="E40" s="15"/>
      <c r="F40" s="647"/>
      <c r="G40" s="411"/>
      <c r="H40" s="743" t="str">
        <f t="shared" si="6"/>
        <v/>
      </c>
      <c r="I40" s="18"/>
      <c r="J40" s="61"/>
      <c r="K40" s="62"/>
      <c r="L40" s="420" t="str">
        <f t="shared" si="1"/>
        <v/>
      </c>
      <c r="M40" s="401" t="str">
        <f t="shared" si="2"/>
        <v/>
      </c>
    </row>
    <row r="41" spans="2:14" x14ac:dyDescent="0.25">
      <c r="B41" s="58"/>
      <c r="C41" s="14"/>
      <c r="D41" s="15"/>
      <c r="E41" s="15"/>
      <c r="F41" s="647"/>
      <c r="G41" s="411"/>
      <c r="H41" s="743" t="str">
        <f t="shared" si="6"/>
        <v/>
      </c>
      <c r="I41" s="18"/>
      <c r="J41" s="61"/>
      <c r="K41" s="62"/>
      <c r="L41" s="420" t="str">
        <f t="shared" si="1"/>
        <v/>
      </c>
      <c r="M41" s="401" t="str">
        <f t="shared" si="2"/>
        <v/>
      </c>
    </row>
    <row r="42" spans="2:14" s="36" customFormat="1" x14ac:dyDescent="0.25">
      <c r="B42" s="58"/>
      <c r="C42" s="14"/>
      <c r="D42" s="15"/>
      <c r="E42" s="15"/>
      <c r="F42" s="647"/>
      <c r="G42" s="411"/>
      <c r="H42" s="743" t="str">
        <f t="shared" si="6"/>
        <v/>
      </c>
      <c r="I42" s="18"/>
      <c r="J42" s="61"/>
      <c r="K42" s="62"/>
      <c r="L42" s="420" t="str">
        <f t="shared" si="1"/>
        <v/>
      </c>
      <c r="M42" s="401" t="str">
        <f t="shared" si="2"/>
        <v/>
      </c>
    </row>
    <row r="43" spans="2:14" x14ac:dyDescent="0.25">
      <c r="B43" s="58"/>
      <c r="C43" s="14"/>
      <c r="D43" s="15"/>
      <c r="E43" s="15"/>
      <c r="F43" s="647"/>
      <c r="G43" s="424"/>
      <c r="H43" s="743" t="str">
        <f t="shared" si="6"/>
        <v/>
      </c>
      <c r="I43" s="57"/>
      <c r="J43" s="61"/>
      <c r="K43" s="62"/>
      <c r="L43" s="420" t="str">
        <f t="shared" si="1"/>
        <v/>
      </c>
      <c r="M43" s="401" t="str">
        <f t="shared" ref="M43:M72" si="10">IF(J43="","",IF(SUM(H43)=0,"",L43/H43))</f>
        <v/>
      </c>
    </row>
    <row r="44" spans="2:14" x14ac:dyDescent="0.25">
      <c r="B44" s="58"/>
      <c r="C44" s="14"/>
      <c r="D44" s="15"/>
      <c r="E44" s="15"/>
      <c r="F44" s="647"/>
      <c r="G44" s="424"/>
      <c r="H44" s="743" t="str">
        <f t="shared" si="6"/>
        <v/>
      </c>
      <c r="I44" s="57"/>
      <c r="J44" s="61"/>
      <c r="K44" s="62"/>
      <c r="L44" s="420" t="str">
        <f t="shared" si="1"/>
        <v/>
      </c>
      <c r="M44" s="401" t="str">
        <f t="shared" si="10"/>
        <v/>
      </c>
    </row>
    <row r="45" spans="2:14" x14ac:dyDescent="0.25">
      <c r="B45" s="58"/>
      <c r="C45" s="14"/>
      <c r="D45" s="15"/>
      <c r="E45" s="15"/>
      <c r="F45" s="647"/>
      <c r="G45" s="424"/>
      <c r="H45" s="743" t="str">
        <f t="shared" si="6"/>
        <v/>
      </c>
      <c r="I45" s="57"/>
      <c r="J45" s="61"/>
      <c r="K45" s="62"/>
      <c r="L45" s="420" t="str">
        <f t="shared" si="1"/>
        <v/>
      </c>
      <c r="M45" s="401" t="str">
        <f t="shared" si="10"/>
        <v/>
      </c>
    </row>
    <row r="46" spans="2:14" x14ac:dyDescent="0.25">
      <c r="B46" s="58"/>
      <c r="C46" s="14"/>
      <c r="D46" s="15"/>
      <c r="E46" s="15"/>
      <c r="F46" s="24"/>
      <c r="G46" s="411"/>
      <c r="H46" s="17" t="str">
        <f t="shared" si="6"/>
        <v/>
      </c>
      <c r="I46" s="18"/>
      <c r="J46" s="61"/>
      <c r="K46" s="62"/>
      <c r="L46" s="420" t="str">
        <f t="shared" si="1"/>
        <v/>
      </c>
      <c r="M46" s="401" t="str">
        <f t="shared" si="10"/>
        <v/>
      </c>
    </row>
    <row r="47" spans="2:14" x14ac:dyDescent="0.25">
      <c r="B47" s="58"/>
      <c r="C47" s="14"/>
      <c r="D47" s="15"/>
      <c r="E47" s="15"/>
      <c r="F47" s="24"/>
      <c r="G47" s="411"/>
      <c r="H47" s="17" t="str">
        <f t="shared" si="6"/>
        <v/>
      </c>
      <c r="I47" s="18"/>
      <c r="J47" s="61"/>
      <c r="K47" s="62"/>
      <c r="L47" s="420" t="str">
        <f t="shared" si="1"/>
        <v/>
      </c>
      <c r="M47" s="401" t="str">
        <f t="shared" si="10"/>
        <v/>
      </c>
    </row>
    <row r="48" spans="2:14" x14ac:dyDescent="0.25">
      <c r="B48" s="58"/>
      <c r="C48" s="14"/>
      <c r="D48" s="15"/>
      <c r="E48" s="15"/>
      <c r="F48" s="24"/>
      <c r="G48" s="423"/>
      <c r="H48" s="17" t="str">
        <f t="shared" si="6"/>
        <v/>
      </c>
      <c r="I48" s="18"/>
      <c r="J48" s="61"/>
      <c r="K48" s="62"/>
      <c r="L48" s="420" t="str">
        <f t="shared" si="1"/>
        <v/>
      </c>
      <c r="M48" s="401" t="str">
        <f t="shared" si="10"/>
        <v/>
      </c>
    </row>
    <row r="49" spans="2:13" x14ac:dyDescent="0.25">
      <c r="B49" s="58"/>
      <c r="C49" s="14"/>
      <c r="D49" s="15"/>
      <c r="E49" s="15"/>
      <c r="F49" s="24"/>
      <c r="G49" s="423"/>
      <c r="H49" s="17" t="str">
        <f t="shared" si="6"/>
        <v/>
      </c>
      <c r="I49" s="18"/>
      <c r="J49" s="61"/>
      <c r="K49" s="62"/>
      <c r="L49" s="420" t="str">
        <f t="shared" si="1"/>
        <v/>
      </c>
      <c r="M49" s="401" t="str">
        <f t="shared" si="10"/>
        <v/>
      </c>
    </row>
    <row r="50" spans="2:13" x14ac:dyDescent="0.25">
      <c r="B50" s="58"/>
      <c r="C50" s="14"/>
      <c r="D50" s="15"/>
      <c r="E50" s="15"/>
      <c r="F50" s="15"/>
      <c r="G50" s="411"/>
      <c r="H50" s="17" t="str">
        <f t="shared" si="6"/>
        <v/>
      </c>
      <c r="I50" s="18"/>
      <c r="J50" s="61"/>
      <c r="K50" s="62"/>
      <c r="L50" s="420" t="str">
        <f t="shared" si="1"/>
        <v/>
      </c>
      <c r="M50" s="401" t="str">
        <f t="shared" si="10"/>
        <v/>
      </c>
    </row>
    <row r="51" spans="2:13" x14ac:dyDescent="0.25">
      <c r="B51" s="58"/>
      <c r="C51" s="14"/>
      <c r="D51" s="15"/>
      <c r="E51" s="15"/>
      <c r="F51" s="15"/>
      <c r="G51" s="411"/>
      <c r="H51" s="17" t="str">
        <f t="shared" si="6"/>
        <v/>
      </c>
      <c r="I51" s="18"/>
      <c r="J51" s="61"/>
      <c r="K51" s="62"/>
      <c r="L51" s="420" t="str">
        <f t="shared" si="1"/>
        <v/>
      </c>
      <c r="M51" s="401" t="str">
        <f t="shared" si="10"/>
        <v/>
      </c>
    </row>
    <row r="52" spans="2:13" x14ac:dyDescent="0.25">
      <c r="B52" s="58"/>
      <c r="C52" s="14"/>
      <c r="D52" s="15"/>
      <c r="E52" s="15"/>
      <c r="F52" s="15"/>
      <c r="G52" s="422"/>
      <c r="H52" s="17" t="str">
        <f t="shared" si="6"/>
        <v/>
      </c>
      <c r="I52" s="18"/>
      <c r="J52" s="61"/>
      <c r="K52" s="62"/>
      <c r="L52" s="420" t="str">
        <f t="shared" si="1"/>
        <v/>
      </c>
      <c r="M52" s="401" t="str">
        <f t="shared" si="10"/>
        <v/>
      </c>
    </row>
    <row r="53" spans="2:13" x14ac:dyDescent="0.25">
      <c r="B53" s="58"/>
      <c r="C53" s="14"/>
      <c r="D53" s="15"/>
      <c r="E53" s="15"/>
      <c r="F53" s="15"/>
      <c r="G53" s="422"/>
      <c r="H53" s="17" t="str">
        <f t="shared" ref="H53:H70" si="11">IF(D53="","",F53*G53)</f>
        <v/>
      </c>
      <c r="I53" s="18"/>
      <c r="J53" s="61"/>
      <c r="K53" s="62"/>
      <c r="L53" s="420" t="str">
        <f t="shared" ref="L53:L70" si="12">IF(J53="","",F53*K53)</f>
        <v/>
      </c>
      <c r="M53" s="401" t="str">
        <f t="shared" ref="M53:M70" si="13">IF(J53="","",IF(SUM(H53)=0,"",L53/H53))</f>
        <v/>
      </c>
    </row>
    <row r="54" spans="2:13" ht="13" x14ac:dyDescent="0.3">
      <c r="B54" s="58"/>
      <c r="C54" s="14"/>
      <c r="D54" s="72"/>
      <c r="E54" s="72"/>
      <c r="F54" s="72"/>
      <c r="G54" s="710"/>
      <c r="H54" s="17" t="str">
        <f t="shared" si="11"/>
        <v/>
      </c>
      <c r="I54" s="18"/>
      <c r="J54" s="61"/>
      <c r="K54" s="62"/>
      <c r="L54" s="420" t="str">
        <f t="shared" si="12"/>
        <v/>
      </c>
      <c r="M54" s="401" t="str">
        <f t="shared" si="13"/>
        <v/>
      </c>
    </row>
    <row r="55" spans="2:13" x14ac:dyDescent="0.25">
      <c r="B55" s="58"/>
      <c r="C55" s="14"/>
      <c r="D55" s="15"/>
      <c r="E55" s="15"/>
      <c r="F55" s="15"/>
      <c r="G55" s="422"/>
      <c r="H55" s="17" t="str">
        <f t="shared" si="11"/>
        <v/>
      </c>
      <c r="I55" s="18"/>
      <c r="J55" s="61"/>
      <c r="K55" s="62"/>
      <c r="L55" s="420" t="str">
        <f t="shared" si="12"/>
        <v/>
      </c>
      <c r="M55" s="401" t="str">
        <f t="shared" si="13"/>
        <v/>
      </c>
    </row>
    <row r="56" spans="2:13" x14ac:dyDescent="0.25">
      <c r="B56" s="58"/>
      <c r="C56" s="14"/>
      <c r="D56" s="15"/>
      <c r="E56" s="15"/>
      <c r="F56" s="15"/>
      <c r="G56" s="422"/>
      <c r="H56" s="17" t="str">
        <f t="shared" si="11"/>
        <v/>
      </c>
      <c r="I56" s="18"/>
      <c r="J56" s="61"/>
      <c r="K56" s="62"/>
      <c r="L56" s="420" t="str">
        <f t="shared" si="12"/>
        <v/>
      </c>
      <c r="M56" s="401" t="str">
        <f t="shared" si="13"/>
        <v/>
      </c>
    </row>
    <row r="57" spans="2:13" x14ac:dyDescent="0.25">
      <c r="B57" s="58"/>
      <c r="C57" s="14"/>
      <c r="D57" s="15"/>
      <c r="E57" s="15"/>
      <c r="F57" s="15"/>
      <c r="G57" s="422"/>
      <c r="H57" s="17" t="str">
        <f t="shared" si="11"/>
        <v/>
      </c>
      <c r="I57" s="18"/>
      <c r="J57" s="61"/>
      <c r="K57" s="62"/>
      <c r="L57" s="420" t="str">
        <f t="shared" si="12"/>
        <v/>
      </c>
      <c r="M57" s="401" t="str">
        <f t="shared" si="13"/>
        <v/>
      </c>
    </row>
    <row r="58" spans="2:13" x14ac:dyDescent="0.25">
      <c r="B58" s="58"/>
      <c r="C58" s="14"/>
      <c r="D58" s="15"/>
      <c r="E58" s="15"/>
      <c r="F58" s="15"/>
      <c r="G58" s="422"/>
      <c r="H58" s="17" t="str">
        <f t="shared" si="11"/>
        <v/>
      </c>
      <c r="I58" s="18"/>
      <c r="J58" s="61"/>
      <c r="K58" s="62"/>
      <c r="L58" s="420" t="str">
        <f t="shared" si="12"/>
        <v/>
      </c>
      <c r="M58" s="401" t="str">
        <f t="shared" si="13"/>
        <v/>
      </c>
    </row>
    <row r="59" spans="2:13" x14ac:dyDescent="0.25">
      <c r="B59" s="58"/>
      <c r="C59" s="14"/>
      <c r="D59" s="15"/>
      <c r="E59" s="15"/>
      <c r="F59" s="15"/>
      <c r="G59" s="422"/>
      <c r="H59" s="17" t="str">
        <f t="shared" si="11"/>
        <v/>
      </c>
      <c r="I59" s="18"/>
      <c r="J59" s="61"/>
      <c r="K59" s="62"/>
      <c r="L59" s="420" t="str">
        <f t="shared" si="12"/>
        <v/>
      </c>
      <c r="M59" s="401" t="str">
        <f t="shared" si="13"/>
        <v/>
      </c>
    </row>
    <row r="60" spans="2:13" x14ac:dyDescent="0.25">
      <c r="B60" s="58"/>
      <c r="C60" s="14"/>
      <c r="D60" s="15"/>
      <c r="E60" s="15"/>
      <c r="F60" s="15"/>
      <c r="G60" s="422"/>
      <c r="H60" s="17" t="str">
        <f t="shared" si="11"/>
        <v/>
      </c>
      <c r="I60" s="18"/>
      <c r="J60" s="61"/>
      <c r="K60" s="62"/>
      <c r="L60" s="420" t="str">
        <f t="shared" si="12"/>
        <v/>
      </c>
      <c r="M60" s="401" t="str">
        <f t="shared" si="13"/>
        <v/>
      </c>
    </row>
    <row r="61" spans="2:13" x14ac:dyDescent="0.25">
      <c r="B61" s="58"/>
      <c r="C61" s="14"/>
      <c r="D61" s="15"/>
      <c r="E61" s="15"/>
      <c r="F61" s="15"/>
      <c r="G61" s="422"/>
      <c r="H61" s="17" t="str">
        <f t="shared" si="11"/>
        <v/>
      </c>
      <c r="I61" s="18"/>
      <c r="J61" s="61"/>
      <c r="K61" s="62"/>
      <c r="L61" s="420" t="str">
        <f t="shared" si="12"/>
        <v/>
      </c>
      <c r="M61" s="401" t="str">
        <f t="shared" si="13"/>
        <v/>
      </c>
    </row>
    <row r="62" spans="2:13" x14ac:dyDescent="0.25">
      <c r="B62" s="58"/>
      <c r="C62" s="14"/>
      <c r="D62" s="15"/>
      <c r="E62" s="15"/>
      <c r="F62" s="15"/>
      <c r="G62" s="422"/>
      <c r="H62" s="17" t="str">
        <f t="shared" si="11"/>
        <v/>
      </c>
      <c r="I62" s="18"/>
      <c r="J62" s="61"/>
      <c r="K62" s="62"/>
      <c r="L62" s="420" t="str">
        <f t="shared" si="12"/>
        <v/>
      </c>
      <c r="M62" s="401" t="str">
        <f t="shared" si="13"/>
        <v/>
      </c>
    </row>
    <row r="63" spans="2:13" x14ac:dyDescent="0.25">
      <c r="B63" s="58"/>
      <c r="C63" s="14"/>
      <c r="D63" s="15"/>
      <c r="E63" s="15"/>
      <c r="F63" s="15"/>
      <c r="G63" s="422"/>
      <c r="H63" s="17" t="str">
        <f t="shared" si="11"/>
        <v/>
      </c>
      <c r="I63" s="18"/>
      <c r="J63" s="61"/>
      <c r="K63" s="62"/>
      <c r="L63" s="420" t="str">
        <f t="shared" si="12"/>
        <v/>
      </c>
      <c r="M63" s="401" t="str">
        <f t="shared" si="13"/>
        <v/>
      </c>
    </row>
    <row r="64" spans="2:13" x14ac:dyDescent="0.25">
      <c r="B64" s="58"/>
      <c r="C64" s="14"/>
      <c r="D64" s="15"/>
      <c r="E64" s="15"/>
      <c r="F64" s="15"/>
      <c r="G64" s="422"/>
      <c r="H64" s="17" t="str">
        <f t="shared" si="11"/>
        <v/>
      </c>
      <c r="I64" s="18"/>
      <c r="J64" s="61"/>
      <c r="K64" s="62"/>
      <c r="L64" s="420" t="str">
        <f t="shared" si="12"/>
        <v/>
      </c>
      <c r="M64" s="401" t="str">
        <f t="shared" si="13"/>
        <v/>
      </c>
    </row>
    <row r="65" spans="2:13" x14ac:dyDescent="0.25">
      <c r="B65" s="58"/>
      <c r="C65" s="14"/>
      <c r="D65" s="15"/>
      <c r="E65" s="15"/>
      <c r="F65" s="15"/>
      <c r="G65" s="422"/>
      <c r="H65" s="17" t="str">
        <f t="shared" si="11"/>
        <v/>
      </c>
      <c r="I65" s="18"/>
      <c r="J65" s="61"/>
      <c r="K65" s="62"/>
      <c r="L65" s="420" t="str">
        <f t="shared" si="12"/>
        <v/>
      </c>
      <c r="M65" s="401" t="str">
        <f t="shared" si="13"/>
        <v/>
      </c>
    </row>
    <row r="66" spans="2:13" x14ac:dyDescent="0.25">
      <c r="B66" s="58"/>
      <c r="C66" s="14"/>
      <c r="D66" s="15"/>
      <c r="E66" s="15"/>
      <c r="F66" s="15"/>
      <c r="G66" s="422"/>
      <c r="H66" s="17" t="str">
        <f t="shared" si="11"/>
        <v/>
      </c>
      <c r="I66" s="18"/>
      <c r="J66" s="61"/>
      <c r="K66" s="62"/>
      <c r="L66" s="420" t="str">
        <f t="shared" si="12"/>
        <v/>
      </c>
      <c r="M66" s="401" t="str">
        <f t="shared" si="13"/>
        <v/>
      </c>
    </row>
    <row r="67" spans="2:13" x14ac:dyDescent="0.25">
      <c r="B67" s="58"/>
      <c r="C67" s="14"/>
      <c r="D67" s="15"/>
      <c r="E67" s="15"/>
      <c r="F67" s="15"/>
      <c r="G67" s="422"/>
      <c r="H67" s="17" t="str">
        <f t="shared" si="11"/>
        <v/>
      </c>
      <c r="I67" s="18"/>
      <c r="J67" s="61"/>
      <c r="K67" s="62"/>
      <c r="L67" s="420" t="str">
        <f t="shared" si="12"/>
        <v/>
      </c>
      <c r="M67" s="401" t="str">
        <f t="shared" si="13"/>
        <v/>
      </c>
    </row>
    <row r="68" spans="2:13" x14ac:dyDescent="0.25">
      <c r="B68" s="58"/>
      <c r="C68" s="14"/>
      <c r="D68" s="15"/>
      <c r="E68" s="15"/>
      <c r="F68" s="15"/>
      <c r="G68" s="422"/>
      <c r="H68" s="17" t="str">
        <f t="shared" si="11"/>
        <v/>
      </c>
      <c r="I68" s="18"/>
      <c r="J68" s="61"/>
      <c r="K68" s="62"/>
      <c r="L68" s="420" t="str">
        <f t="shared" si="12"/>
        <v/>
      </c>
      <c r="M68" s="401" t="str">
        <f t="shared" si="13"/>
        <v/>
      </c>
    </row>
    <row r="69" spans="2:13" x14ac:dyDescent="0.25">
      <c r="B69" s="58"/>
      <c r="C69" s="14"/>
      <c r="D69" s="15"/>
      <c r="E69" s="15"/>
      <c r="F69" s="15"/>
      <c r="G69" s="422"/>
      <c r="H69" s="17" t="str">
        <f t="shared" si="11"/>
        <v/>
      </c>
      <c r="I69" s="18"/>
      <c r="J69" s="61"/>
      <c r="K69" s="62"/>
      <c r="L69" s="420" t="str">
        <f t="shared" si="12"/>
        <v/>
      </c>
      <c r="M69" s="401" t="str">
        <f t="shared" si="13"/>
        <v/>
      </c>
    </row>
    <row r="70" spans="2:13" x14ac:dyDescent="0.25">
      <c r="B70" s="58"/>
      <c r="C70" s="14"/>
      <c r="D70" s="15"/>
      <c r="E70" s="15"/>
      <c r="F70" s="15"/>
      <c r="G70" s="424"/>
      <c r="H70" s="17" t="str">
        <f t="shared" si="11"/>
        <v/>
      </c>
      <c r="I70" s="18"/>
      <c r="J70" s="61"/>
      <c r="K70" s="62"/>
      <c r="L70" s="420" t="str">
        <f t="shared" si="12"/>
        <v/>
      </c>
      <c r="M70" s="401" t="str">
        <f t="shared" si="13"/>
        <v/>
      </c>
    </row>
    <row r="71" spans="2:13" x14ac:dyDescent="0.25">
      <c r="B71" s="58"/>
      <c r="C71" s="14"/>
      <c r="D71" s="15"/>
      <c r="E71" s="15"/>
      <c r="F71" s="15"/>
      <c r="G71" s="424"/>
      <c r="H71" s="17" t="str">
        <f t="shared" si="6"/>
        <v/>
      </c>
      <c r="I71" s="18"/>
      <c r="J71" s="61"/>
      <c r="K71" s="696"/>
      <c r="L71" s="420" t="str">
        <f t="shared" si="1"/>
        <v/>
      </c>
      <c r="M71" s="401" t="str">
        <f t="shared" si="10"/>
        <v/>
      </c>
    </row>
    <row r="72" spans="2:13" s="28" customFormat="1" ht="20.149999999999999" customHeight="1" x14ac:dyDescent="0.25">
      <c r="B72" s="80" t="str">
        <f>$B$12</f>
        <v>C1.6</v>
      </c>
      <c r="C72" s="30" t="str">
        <f>"TOTAL CARRIED FORWARD"&amp;IF(H72=H$1," TO SUMMARY","")</f>
        <v>TOTAL CARRIED FORWARD TO SUMMARY</v>
      </c>
      <c r="D72" s="31"/>
      <c r="E72" s="31"/>
      <c r="F72" s="32"/>
      <c r="G72" s="31"/>
      <c r="H72" s="33">
        <f>SUM(H11:H71)</f>
        <v>285000</v>
      </c>
      <c r="I72" s="34"/>
      <c r="J72" s="408"/>
      <c r="K72" s="406"/>
      <c r="L72" s="418">
        <f>SUM(L11:L71)</f>
        <v>214819.20000000001</v>
      </c>
      <c r="M72" s="407" t="str">
        <f t="shared" si="10"/>
        <v/>
      </c>
    </row>
    <row r="73" spans="2:13" ht="13" x14ac:dyDescent="0.25">
      <c r="B73" s="1108" t="str">
        <f>Client1</f>
        <v>Province of KwaZulu-Natal</v>
      </c>
      <c r="C73" s="1108"/>
      <c r="D73" s="1108"/>
      <c r="E73" s="87"/>
      <c r="F73" s="1109" t="str">
        <f>"Contract No. "&amp;ContractNo</f>
        <v>Contract No. ZNB 00399/00000/HOD/INF/21/T</v>
      </c>
      <c r="G73" s="1109"/>
      <c r="H73" s="1109"/>
    </row>
    <row r="74" spans="2:13" ht="13" x14ac:dyDescent="0.25">
      <c r="B74" s="1108" t="str">
        <f>Client2</f>
        <v>Department of Transport</v>
      </c>
      <c r="C74" s="1108"/>
      <c r="D74" s="1108"/>
      <c r="E74" s="87"/>
      <c r="F74" s="1109"/>
      <c r="G74" s="1109"/>
      <c r="H74" s="1109"/>
    </row>
    <row r="75" spans="2:13" x14ac:dyDescent="0.25">
      <c r="B75" s="1111"/>
      <c r="C75" s="1111"/>
      <c r="D75" s="1111"/>
      <c r="E75" s="78"/>
      <c r="F75" s="1110"/>
      <c r="G75" s="1110"/>
      <c r="H75" s="1110"/>
    </row>
    <row r="76" spans="2:13" ht="13" x14ac:dyDescent="0.25">
      <c r="B76" s="1112" t="s">
        <v>8</v>
      </c>
      <c r="C76" s="1113"/>
      <c r="D76" s="1113"/>
      <c r="E76" s="1113"/>
      <c r="F76" s="1113"/>
      <c r="G76" s="1113"/>
      <c r="H76" s="1114" t="str">
        <f>$H$6</f>
        <v>CHAPTER C1.6</v>
      </c>
      <c r="I76" s="6"/>
    </row>
    <row r="77" spans="2:13" ht="13" x14ac:dyDescent="0.25">
      <c r="B77" s="1117" t="str">
        <f>ContractDescription</f>
        <v>THE CONSTRUCTION OF EARTHWORKS, LAYERWORKS, SURFACING, CULVERTS AND CWAKA RIVER BRIDGE FROM KM 11.600 TO KM 14.000 ON MAIN ROAD P494 IN THE KING CETSHWAYO DISTRICT UNDER EMPANGENI REGION</v>
      </c>
      <c r="C77" s="1118"/>
      <c r="D77" s="1118"/>
      <c r="E77" s="1118"/>
      <c r="F77" s="1118"/>
      <c r="G77" s="1118"/>
      <c r="H77" s="1115"/>
      <c r="I77" s="8"/>
    </row>
    <row r="78" spans="2:13" ht="13" x14ac:dyDescent="0.25">
      <c r="B78" s="1117"/>
      <c r="C78" s="1118"/>
      <c r="D78" s="1118"/>
      <c r="E78" s="1118"/>
      <c r="F78" s="1118"/>
      <c r="G78" s="1118"/>
      <c r="H78" s="1115"/>
      <c r="I78" s="8"/>
    </row>
    <row r="79" spans="2:13" ht="13" x14ac:dyDescent="0.25">
      <c r="B79" s="1119"/>
      <c r="C79" s="1120"/>
      <c r="D79" s="1120"/>
      <c r="E79" s="1120"/>
      <c r="F79" s="1120"/>
      <c r="G79" s="1120"/>
      <c r="H79" s="1116"/>
      <c r="I79" s="8"/>
    </row>
    <row r="80" spans="2:13" s="9" customFormat="1" ht="25" customHeight="1" x14ac:dyDescent="0.25">
      <c r="B80" s="74" t="s">
        <v>0</v>
      </c>
      <c r="C80" s="11" t="s">
        <v>1</v>
      </c>
      <c r="D80" s="11" t="s">
        <v>2</v>
      </c>
      <c r="E80" s="11"/>
      <c r="F80" s="11" t="s">
        <v>3</v>
      </c>
      <c r="G80" s="11" t="s">
        <v>4</v>
      </c>
      <c r="H80" s="11" t="s">
        <v>5</v>
      </c>
      <c r="I80" s="12"/>
      <c r="J80" s="408" t="s">
        <v>996</v>
      </c>
      <c r="K80" s="253" t="s">
        <v>997</v>
      </c>
      <c r="L80" s="253" t="s">
        <v>998</v>
      </c>
      <c r="M80" s="253" t="s">
        <v>999</v>
      </c>
    </row>
    <row r="81" spans="2:13" s="28" customFormat="1" ht="20.149999999999999" customHeight="1" x14ac:dyDescent="0.25">
      <c r="B81" s="80"/>
      <c r="C81" s="30" t="s">
        <v>27</v>
      </c>
      <c r="D81" s="31"/>
      <c r="E81" s="31"/>
      <c r="F81" s="32"/>
      <c r="G81" s="31"/>
      <c r="H81" s="33">
        <f>H72</f>
        <v>285000</v>
      </c>
      <c r="I81" s="34"/>
      <c r="J81" s="416"/>
      <c r="K81" s="409"/>
      <c r="L81" s="419">
        <f>L72</f>
        <v>214819.20000000001</v>
      </c>
      <c r="M81" s="410" t="str">
        <f>IF(F81="","",IF(SUM(I81)=0,"",L81/I81))</f>
        <v/>
      </c>
    </row>
    <row r="82" spans="2:13" x14ac:dyDescent="0.25">
      <c r="B82" s="13"/>
      <c r="C82" s="14"/>
      <c r="D82" s="21"/>
      <c r="E82" s="21"/>
      <c r="F82" s="21"/>
      <c r="G82" s="415"/>
      <c r="H82" s="23" t="str">
        <f t="shared" ref="H82:H91" si="14">IF(D82="","",F82*G82)</f>
        <v/>
      </c>
      <c r="I82" s="40"/>
      <c r="J82" s="37"/>
      <c r="K82" s="399"/>
      <c r="L82" s="420" t="str">
        <f t="shared" ref="L82:L142" si="15">IF(J82="","",F82*K82)</f>
        <v/>
      </c>
      <c r="M82" s="401" t="str">
        <f t="shared" ref="M82:M112" si="16">IF(J82="","",IF(SUM(H82)=0,"",L82/H82))</f>
        <v/>
      </c>
    </row>
    <row r="83" spans="2:13" x14ac:dyDescent="0.25">
      <c r="B83" s="13"/>
      <c r="C83" s="14"/>
      <c r="D83" s="21"/>
      <c r="E83" s="21"/>
      <c r="F83" s="21"/>
      <c r="G83" s="414"/>
      <c r="H83" s="23" t="str">
        <f t="shared" si="14"/>
        <v/>
      </c>
      <c r="I83" s="40"/>
      <c r="J83" s="37"/>
      <c r="K83" s="399"/>
      <c r="L83" s="420" t="str">
        <f t="shared" si="15"/>
        <v/>
      </c>
      <c r="M83" s="401" t="str">
        <f t="shared" si="16"/>
        <v/>
      </c>
    </row>
    <row r="84" spans="2:13" x14ac:dyDescent="0.25">
      <c r="B84" s="13"/>
      <c r="C84" s="14"/>
      <c r="D84" s="21"/>
      <c r="E84" s="21"/>
      <c r="F84" s="21"/>
      <c r="G84" s="414"/>
      <c r="H84" s="23" t="str">
        <f t="shared" si="14"/>
        <v/>
      </c>
      <c r="I84" s="40"/>
      <c r="J84" s="37"/>
      <c r="K84" s="399"/>
      <c r="L84" s="420" t="str">
        <f t="shared" si="15"/>
        <v/>
      </c>
      <c r="M84" s="401" t="str">
        <f t="shared" si="16"/>
        <v/>
      </c>
    </row>
    <row r="85" spans="2:13" x14ac:dyDescent="0.25">
      <c r="B85" s="13"/>
      <c r="C85" s="14"/>
      <c r="D85" s="21"/>
      <c r="E85" s="21"/>
      <c r="F85" s="21"/>
      <c r="G85" s="414"/>
      <c r="H85" s="23" t="str">
        <f t="shared" si="14"/>
        <v/>
      </c>
      <c r="I85" s="40"/>
      <c r="J85" s="37"/>
      <c r="K85" s="399"/>
      <c r="L85" s="420" t="str">
        <f t="shared" si="15"/>
        <v/>
      </c>
      <c r="M85" s="401" t="str">
        <f t="shared" si="16"/>
        <v/>
      </c>
    </row>
    <row r="86" spans="2:13" x14ac:dyDescent="0.25">
      <c r="B86" s="13"/>
      <c r="C86" s="14"/>
      <c r="D86" s="21"/>
      <c r="E86" s="21"/>
      <c r="F86" s="21"/>
      <c r="G86" s="414"/>
      <c r="H86" s="23" t="str">
        <f t="shared" si="14"/>
        <v/>
      </c>
      <c r="I86" s="40"/>
      <c r="J86" s="37"/>
      <c r="K86" s="400"/>
      <c r="L86" s="420" t="str">
        <f t="shared" si="15"/>
        <v/>
      </c>
      <c r="M86" s="401" t="str">
        <f t="shared" si="16"/>
        <v/>
      </c>
    </row>
    <row r="87" spans="2:13" x14ac:dyDescent="0.25">
      <c r="B87" s="13"/>
      <c r="C87" s="26"/>
      <c r="D87" s="21"/>
      <c r="E87" s="21"/>
      <c r="F87" s="21"/>
      <c r="G87" s="414"/>
      <c r="H87" s="23" t="str">
        <f t="shared" si="14"/>
        <v/>
      </c>
      <c r="I87" s="40"/>
      <c r="J87" s="37"/>
      <c r="K87" s="399"/>
      <c r="L87" s="420" t="str">
        <f t="shared" si="15"/>
        <v/>
      </c>
      <c r="M87" s="401" t="str">
        <f t="shared" si="16"/>
        <v/>
      </c>
    </row>
    <row r="88" spans="2:13" x14ac:dyDescent="0.25">
      <c r="B88" s="13"/>
      <c r="C88" s="26"/>
      <c r="D88" s="37"/>
      <c r="E88" s="37"/>
      <c r="F88" s="37"/>
      <c r="G88" s="414"/>
      <c r="H88" s="23" t="str">
        <f t="shared" si="14"/>
        <v/>
      </c>
      <c r="J88" s="37"/>
      <c r="K88" s="399"/>
      <c r="L88" s="420" t="str">
        <f t="shared" si="15"/>
        <v/>
      </c>
      <c r="M88" s="401" t="str">
        <f t="shared" si="16"/>
        <v/>
      </c>
    </row>
    <row r="89" spans="2:13" x14ac:dyDescent="0.25">
      <c r="B89" s="13"/>
      <c r="C89" s="14"/>
      <c r="D89" s="21"/>
      <c r="E89" s="21"/>
      <c r="F89" s="21"/>
      <c r="G89" s="414"/>
      <c r="H89" s="23" t="str">
        <f t="shared" si="14"/>
        <v/>
      </c>
      <c r="I89" s="40"/>
      <c r="J89" s="37"/>
      <c r="K89" s="399"/>
      <c r="L89" s="420" t="str">
        <f t="shared" si="15"/>
        <v/>
      </c>
      <c r="M89" s="401" t="str">
        <f t="shared" si="16"/>
        <v/>
      </c>
    </row>
    <row r="90" spans="2:13" x14ac:dyDescent="0.25">
      <c r="B90" s="13"/>
      <c r="C90" s="26"/>
      <c r="D90" s="37"/>
      <c r="E90" s="37"/>
      <c r="F90" s="37"/>
      <c r="G90" s="414"/>
      <c r="H90" s="23" t="str">
        <f t="shared" si="14"/>
        <v/>
      </c>
      <c r="I90" s="45"/>
      <c r="J90" s="37"/>
      <c r="K90" s="402"/>
      <c r="L90" s="420" t="str">
        <f t="shared" si="15"/>
        <v/>
      </c>
      <c r="M90" s="401" t="str">
        <f t="shared" si="16"/>
        <v/>
      </c>
    </row>
    <row r="91" spans="2:13" x14ac:dyDescent="0.25">
      <c r="B91" s="13"/>
      <c r="C91" s="25"/>
      <c r="D91" s="21"/>
      <c r="E91" s="21"/>
      <c r="F91" s="37"/>
      <c r="G91" s="414"/>
      <c r="H91" s="23" t="str">
        <f t="shared" si="14"/>
        <v/>
      </c>
      <c r="J91" s="37"/>
      <c r="K91" s="402"/>
      <c r="L91" s="420" t="str">
        <f t="shared" si="15"/>
        <v/>
      </c>
      <c r="M91" s="401" t="str">
        <f t="shared" si="16"/>
        <v/>
      </c>
    </row>
    <row r="92" spans="2:13" x14ac:dyDescent="0.25">
      <c r="B92" s="13"/>
      <c r="C92" s="133"/>
      <c r="D92" s="21"/>
      <c r="E92" s="21"/>
      <c r="F92" s="37"/>
      <c r="G92" s="414"/>
      <c r="H92" s="23"/>
      <c r="J92" s="37"/>
      <c r="K92" s="402"/>
      <c r="L92" s="420" t="str">
        <f t="shared" si="15"/>
        <v/>
      </c>
      <c r="M92" s="401" t="str">
        <f t="shared" si="16"/>
        <v/>
      </c>
    </row>
    <row r="93" spans="2:13" x14ac:dyDescent="0.25">
      <c r="B93" s="13"/>
      <c r="C93" s="14"/>
      <c r="D93" s="21"/>
      <c r="E93" s="21"/>
      <c r="F93" s="21"/>
      <c r="G93" s="414"/>
      <c r="H93" s="23" t="str">
        <f t="shared" ref="H93:H144" si="17">IF(D93="","",F93*G93)</f>
        <v/>
      </c>
      <c r="I93" s="40"/>
      <c r="J93" s="37"/>
      <c r="K93" s="402"/>
      <c r="L93" s="420" t="str">
        <f t="shared" si="15"/>
        <v/>
      </c>
      <c r="M93" s="401" t="str">
        <f t="shared" si="16"/>
        <v/>
      </c>
    </row>
    <row r="94" spans="2:13" x14ac:dyDescent="0.25">
      <c r="B94" s="13"/>
      <c r="C94" s="14"/>
      <c r="D94" s="21"/>
      <c r="E94" s="21"/>
      <c r="F94" s="21"/>
      <c r="G94" s="414"/>
      <c r="H94" s="23" t="str">
        <f t="shared" si="17"/>
        <v/>
      </c>
      <c r="I94" s="40"/>
      <c r="J94" s="37"/>
      <c r="K94" s="402"/>
      <c r="L94" s="420" t="str">
        <f t="shared" si="15"/>
        <v/>
      </c>
      <c r="M94" s="401" t="str">
        <f t="shared" si="16"/>
        <v/>
      </c>
    </row>
    <row r="95" spans="2:13" x14ac:dyDescent="0.25">
      <c r="B95" s="13"/>
      <c r="C95" s="14"/>
      <c r="D95" s="21"/>
      <c r="E95" s="21"/>
      <c r="F95" s="21"/>
      <c r="G95" s="414"/>
      <c r="H95" s="392" t="str">
        <f t="shared" si="17"/>
        <v/>
      </c>
      <c r="I95" s="40"/>
      <c r="J95" s="37"/>
      <c r="K95" s="402"/>
      <c r="L95" s="420" t="str">
        <f t="shared" si="15"/>
        <v/>
      </c>
      <c r="M95" s="401" t="str">
        <f t="shared" si="16"/>
        <v/>
      </c>
    </row>
    <row r="96" spans="2:13" x14ac:dyDescent="0.25">
      <c r="B96" s="13"/>
      <c r="C96" s="14"/>
      <c r="D96" s="21"/>
      <c r="E96" s="21"/>
      <c r="F96" s="21"/>
      <c r="G96" s="414"/>
      <c r="H96" s="23" t="str">
        <f t="shared" si="17"/>
        <v/>
      </c>
      <c r="I96" s="40"/>
      <c r="J96" s="37"/>
      <c r="K96" s="402"/>
      <c r="L96" s="420" t="str">
        <f t="shared" si="15"/>
        <v/>
      </c>
      <c r="M96" s="401" t="str">
        <f t="shared" si="16"/>
        <v/>
      </c>
    </row>
    <row r="97" spans="2:13" x14ac:dyDescent="0.25">
      <c r="B97" s="13"/>
      <c r="C97" s="14"/>
      <c r="D97" s="21"/>
      <c r="E97" s="21"/>
      <c r="F97" s="21"/>
      <c r="G97" s="414"/>
      <c r="H97" s="23" t="str">
        <f t="shared" si="17"/>
        <v/>
      </c>
      <c r="I97" s="40"/>
      <c r="J97" s="37"/>
      <c r="K97" s="402"/>
      <c r="L97" s="420" t="str">
        <f t="shared" si="15"/>
        <v/>
      </c>
      <c r="M97" s="401" t="str">
        <f t="shared" si="16"/>
        <v/>
      </c>
    </row>
    <row r="98" spans="2:13" x14ac:dyDescent="0.25">
      <c r="B98" s="13"/>
      <c r="C98" s="14"/>
      <c r="D98" s="21"/>
      <c r="E98" s="21"/>
      <c r="F98" s="21"/>
      <c r="G98" s="414"/>
      <c r="H98" s="23" t="str">
        <f t="shared" si="17"/>
        <v/>
      </c>
      <c r="I98" s="40"/>
      <c r="J98" s="37"/>
      <c r="K98" s="402"/>
      <c r="L98" s="420" t="str">
        <f t="shared" si="15"/>
        <v/>
      </c>
      <c r="M98" s="401" t="str">
        <f t="shared" si="16"/>
        <v/>
      </c>
    </row>
    <row r="99" spans="2:13" x14ac:dyDescent="0.25">
      <c r="B99" s="46"/>
      <c r="C99" s="134"/>
      <c r="D99" s="21"/>
      <c r="E99" s="21"/>
      <c r="F99" s="21"/>
      <c r="G99" s="414"/>
      <c r="H99" s="392" t="str">
        <f t="shared" si="17"/>
        <v/>
      </c>
      <c r="I99" s="40"/>
      <c r="J99" s="37"/>
      <c r="K99" s="402"/>
      <c r="L99" s="420" t="str">
        <f t="shared" si="15"/>
        <v/>
      </c>
      <c r="M99" s="401" t="str">
        <f t="shared" si="16"/>
        <v/>
      </c>
    </row>
    <row r="100" spans="2:13" x14ac:dyDescent="0.25">
      <c r="B100" s="13"/>
      <c r="C100" s="14"/>
      <c r="D100" s="21"/>
      <c r="E100" s="21"/>
      <c r="F100" s="21"/>
      <c r="G100" s="414"/>
      <c r="H100" s="23" t="str">
        <f t="shared" si="17"/>
        <v/>
      </c>
      <c r="I100" s="40"/>
      <c r="J100" s="37"/>
      <c r="K100" s="42"/>
      <c r="L100" s="420" t="str">
        <f t="shared" si="15"/>
        <v/>
      </c>
      <c r="M100" s="401" t="str">
        <f t="shared" si="16"/>
        <v/>
      </c>
    </row>
    <row r="101" spans="2:13" x14ac:dyDescent="0.25">
      <c r="B101" s="237"/>
      <c r="C101" s="238"/>
      <c r="D101" s="239"/>
      <c r="E101" s="239"/>
      <c r="F101" s="239"/>
      <c r="G101" s="388"/>
      <c r="H101" s="389" t="str">
        <f t="shared" si="17"/>
        <v/>
      </c>
      <c r="I101" s="40"/>
      <c r="J101" s="37"/>
      <c r="K101" s="42"/>
      <c r="L101" s="420" t="str">
        <f t="shared" si="15"/>
        <v/>
      </c>
      <c r="M101" s="401" t="str">
        <f t="shared" si="16"/>
        <v/>
      </c>
    </row>
    <row r="102" spans="2:13" x14ac:dyDescent="0.25">
      <c r="B102" s="237"/>
      <c r="C102" s="238"/>
      <c r="D102" s="239"/>
      <c r="E102" s="239"/>
      <c r="F102" s="239"/>
      <c r="G102" s="388"/>
      <c r="H102" s="389" t="str">
        <f t="shared" si="17"/>
        <v/>
      </c>
      <c r="I102" s="40"/>
      <c r="J102" s="37"/>
      <c r="K102" s="42"/>
      <c r="L102" s="420" t="str">
        <f t="shared" si="15"/>
        <v/>
      </c>
      <c r="M102" s="401" t="str">
        <f t="shared" si="16"/>
        <v/>
      </c>
    </row>
    <row r="103" spans="2:13" x14ac:dyDescent="0.25">
      <c r="B103" s="237"/>
      <c r="C103" s="238"/>
      <c r="D103" s="239"/>
      <c r="E103" s="239"/>
      <c r="F103" s="565"/>
      <c r="G103" s="388"/>
      <c r="H103" s="389" t="str">
        <f t="shared" si="17"/>
        <v/>
      </c>
      <c r="I103" s="40"/>
      <c r="J103" s="37"/>
      <c r="K103" s="42"/>
      <c r="L103" s="420" t="str">
        <f t="shared" si="15"/>
        <v/>
      </c>
      <c r="M103" s="401" t="str">
        <f t="shared" si="16"/>
        <v/>
      </c>
    </row>
    <row r="104" spans="2:13" x14ac:dyDescent="0.25">
      <c r="B104" s="237"/>
      <c r="C104" s="238"/>
      <c r="D104" s="239"/>
      <c r="E104" s="239"/>
      <c r="F104" s="565"/>
      <c r="G104" s="388"/>
      <c r="H104" s="389" t="str">
        <f t="shared" si="17"/>
        <v/>
      </c>
      <c r="I104" s="40"/>
      <c r="J104" s="37"/>
      <c r="K104" s="42"/>
      <c r="L104" s="420" t="str">
        <f t="shared" si="15"/>
        <v/>
      </c>
      <c r="M104" s="401" t="str">
        <f t="shared" si="16"/>
        <v/>
      </c>
    </row>
    <row r="105" spans="2:13" x14ac:dyDescent="0.25">
      <c r="B105" s="237"/>
      <c r="C105" s="238"/>
      <c r="D105" s="239"/>
      <c r="E105" s="239"/>
      <c r="F105" s="565"/>
      <c r="G105" s="388"/>
      <c r="H105" s="389" t="str">
        <f t="shared" si="17"/>
        <v/>
      </c>
      <c r="I105" s="40"/>
      <c r="J105" s="37"/>
      <c r="K105" s="42"/>
      <c r="L105" s="420" t="str">
        <f t="shared" si="15"/>
        <v/>
      </c>
      <c r="M105" s="401" t="str">
        <f t="shared" si="16"/>
        <v/>
      </c>
    </row>
    <row r="106" spans="2:13" x14ac:dyDescent="0.25">
      <c r="B106" s="237"/>
      <c r="C106" s="238"/>
      <c r="D106" s="239"/>
      <c r="E106" s="239"/>
      <c r="F106" s="565"/>
      <c r="G106" s="388"/>
      <c r="H106" s="389" t="str">
        <f t="shared" si="17"/>
        <v/>
      </c>
      <c r="I106" s="40"/>
      <c r="J106" s="37"/>
      <c r="K106" s="42"/>
      <c r="L106" s="420" t="str">
        <f t="shared" si="15"/>
        <v/>
      </c>
      <c r="M106" s="401" t="str">
        <f t="shared" si="16"/>
        <v/>
      </c>
    </row>
    <row r="107" spans="2:13" x14ac:dyDescent="0.25">
      <c r="B107" s="237"/>
      <c r="C107" s="238"/>
      <c r="D107" s="239"/>
      <c r="E107" s="239"/>
      <c r="F107" s="565"/>
      <c r="G107" s="388"/>
      <c r="H107" s="389" t="str">
        <f t="shared" si="17"/>
        <v/>
      </c>
      <c r="I107" s="40"/>
      <c r="J107" s="37"/>
      <c r="K107" s="42"/>
      <c r="L107" s="420" t="str">
        <f t="shared" si="15"/>
        <v/>
      </c>
      <c r="M107" s="401" t="str">
        <f t="shared" si="16"/>
        <v/>
      </c>
    </row>
    <row r="108" spans="2:13" x14ac:dyDescent="0.25">
      <c r="B108" s="13"/>
      <c r="C108" s="14"/>
      <c r="D108" s="21"/>
      <c r="E108" s="21"/>
      <c r="F108" s="21"/>
      <c r="G108" s="414"/>
      <c r="H108" s="23" t="str">
        <f t="shared" si="17"/>
        <v/>
      </c>
      <c r="I108" s="40"/>
      <c r="J108" s="37"/>
      <c r="K108" s="42"/>
      <c r="L108" s="420" t="str">
        <f t="shared" si="15"/>
        <v/>
      </c>
      <c r="M108" s="401" t="str">
        <f t="shared" si="16"/>
        <v/>
      </c>
    </row>
    <row r="109" spans="2:13" x14ac:dyDescent="0.25">
      <c r="B109" s="13"/>
      <c r="C109" s="14"/>
      <c r="D109" s="21"/>
      <c r="E109" s="21"/>
      <c r="F109" s="21"/>
      <c r="G109" s="414"/>
      <c r="H109" s="23" t="str">
        <f t="shared" si="17"/>
        <v/>
      </c>
      <c r="I109" s="40"/>
      <c r="J109" s="37"/>
      <c r="K109" s="42"/>
      <c r="L109" s="420" t="str">
        <f t="shared" si="15"/>
        <v/>
      </c>
      <c r="M109" s="401" t="str">
        <f t="shared" si="16"/>
        <v/>
      </c>
    </row>
    <row r="110" spans="2:13" x14ac:dyDescent="0.25">
      <c r="B110" s="13"/>
      <c r="C110" s="14"/>
      <c r="D110" s="21"/>
      <c r="E110" s="21"/>
      <c r="F110" s="21"/>
      <c r="G110" s="414"/>
      <c r="H110" s="23" t="str">
        <f t="shared" si="17"/>
        <v/>
      </c>
      <c r="I110" s="40"/>
      <c r="J110" s="37"/>
      <c r="K110" s="42"/>
      <c r="L110" s="420" t="str">
        <f t="shared" si="15"/>
        <v/>
      </c>
      <c r="M110" s="401" t="str">
        <f t="shared" si="16"/>
        <v/>
      </c>
    </row>
    <row r="111" spans="2:13" x14ac:dyDescent="0.25">
      <c r="B111" s="13"/>
      <c r="C111" s="14"/>
      <c r="D111" s="21"/>
      <c r="E111" s="21"/>
      <c r="F111" s="21"/>
      <c r="G111" s="414"/>
      <c r="H111" s="23" t="str">
        <f t="shared" si="17"/>
        <v/>
      </c>
      <c r="I111" s="40"/>
      <c r="J111" s="37"/>
      <c r="K111" s="42"/>
      <c r="L111" s="420" t="str">
        <f t="shared" si="15"/>
        <v/>
      </c>
      <c r="M111" s="401" t="str">
        <f t="shared" si="16"/>
        <v/>
      </c>
    </row>
    <row r="112" spans="2:13" x14ac:dyDescent="0.25">
      <c r="B112" s="13"/>
      <c r="C112" s="14"/>
      <c r="D112" s="21"/>
      <c r="E112" s="21"/>
      <c r="F112" s="21"/>
      <c r="G112" s="414"/>
      <c r="H112" s="23" t="str">
        <f t="shared" si="17"/>
        <v/>
      </c>
      <c r="I112" s="40"/>
      <c r="J112" s="37"/>
      <c r="K112" s="42"/>
      <c r="L112" s="420" t="str">
        <f t="shared" si="15"/>
        <v/>
      </c>
      <c r="M112" s="401" t="str">
        <f t="shared" si="16"/>
        <v/>
      </c>
    </row>
    <row r="113" spans="2:13" x14ac:dyDescent="0.25">
      <c r="B113" s="13"/>
      <c r="C113" s="14"/>
      <c r="D113" s="21"/>
      <c r="E113" s="21"/>
      <c r="F113" s="21"/>
      <c r="G113" s="414"/>
      <c r="H113" s="23" t="str">
        <f t="shared" si="17"/>
        <v/>
      </c>
      <c r="I113" s="40"/>
      <c r="J113" s="37"/>
      <c r="K113" s="42"/>
      <c r="L113" s="420" t="str">
        <f t="shared" si="15"/>
        <v/>
      </c>
      <c r="M113" s="401" t="str">
        <f t="shared" ref="M113:M144" si="18">IF(J113="","",IF(SUM(H113)=0,"",L113/H113))</f>
        <v/>
      </c>
    </row>
    <row r="114" spans="2:13" x14ac:dyDescent="0.25">
      <c r="B114" s="13"/>
      <c r="C114" s="14"/>
      <c r="D114" s="21"/>
      <c r="E114" s="21"/>
      <c r="F114" s="21"/>
      <c r="G114" s="414"/>
      <c r="H114" s="23" t="str">
        <f t="shared" si="17"/>
        <v/>
      </c>
      <c r="I114" s="40"/>
      <c r="J114" s="37"/>
      <c r="K114" s="42"/>
      <c r="L114" s="420" t="str">
        <f t="shared" si="15"/>
        <v/>
      </c>
      <c r="M114" s="401" t="str">
        <f t="shared" si="18"/>
        <v/>
      </c>
    </row>
    <row r="115" spans="2:13" x14ac:dyDescent="0.25">
      <c r="B115" s="13"/>
      <c r="C115" s="14"/>
      <c r="D115" s="21"/>
      <c r="E115" s="21"/>
      <c r="F115" s="21"/>
      <c r="G115" s="414"/>
      <c r="H115" s="23" t="str">
        <f t="shared" si="17"/>
        <v/>
      </c>
      <c r="I115" s="40"/>
      <c r="J115" s="37"/>
      <c r="K115" s="42"/>
      <c r="L115" s="420" t="str">
        <f t="shared" si="15"/>
        <v/>
      </c>
      <c r="M115" s="401" t="str">
        <f t="shared" si="18"/>
        <v/>
      </c>
    </row>
    <row r="116" spans="2:13" x14ac:dyDescent="0.25">
      <c r="B116" s="13"/>
      <c r="C116" s="14"/>
      <c r="D116" s="21"/>
      <c r="E116" s="21"/>
      <c r="F116" s="21"/>
      <c r="G116" s="414"/>
      <c r="H116" s="23" t="str">
        <f t="shared" si="17"/>
        <v/>
      </c>
      <c r="I116" s="40"/>
      <c r="J116" s="37"/>
      <c r="K116" s="42"/>
      <c r="L116" s="420" t="str">
        <f t="shared" si="15"/>
        <v/>
      </c>
      <c r="M116" s="401" t="str">
        <f t="shared" si="18"/>
        <v/>
      </c>
    </row>
    <row r="117" spans="2:13" x14ac:dyDescent="0.25">
      <c r="B117" s="13"/>
      <c r="C117" s="14"/>
      <c r="D117" s="21"/>
      <c r="E117" s="21"/>
      <c r="F117" s="21"/>
      <c r="G117" s="414"/>
      <c r="H117" s="23" t="str">
        <f t="shared" si="17"/>
        <v/>
      </c>
      <c r="I117" s="40"/>
      <c r="J117" s="37"/>
      <c r="K117" s="42"/>
      <c r="L117" s="420" t="str">
        <f t="shared" si="15"/>
        <v/>
      </c>
      <c r="M117" s="401" t="str">
        <f t="shared" si="18"/>
        <v/>
      </c>
    </row>
    <row r="118" spans="2:13" x14ac:dyDescent="0.25">
      <c r="B118" s="13"/>
      <c r="C118" s="14"/>
      <c r="D118" s="21"/>
      <c r="E118" s="21"/>
      <c r="F118" s="21"/>
      <c r="G118" s="414"/>
      <c r="H118" s="23" t="str">
        <f t="shared" si="17"/>
        <v/>
      </c>
      <c r="I118" s="40"/>
      <c r="J118" s="37"/>
      <c r="K118" s="42"/>
      <c r="L118" s="420" t="str">
        <f t="shared" si="15"/>
        <v/>
      </c>
      <c r="M118" s="401" t="str">
        <f t="shared" si="18"/>
        <v/>
      </c>
    </row>
    <row r="119" spans="2:13" x14ac:dyDescent="0.25">
      <c r="B119" s="13"/>
      <c r="C119" s="14"/>
      <c r="D119" s="21"/>
      <c r="E119" s="21"/>
      <c r="F119" s="21"/>
      <c r="G119" s="414"/>
      <c r="H119" s="23" t="str">
        <f t="shared" si="17"/>
        <v/>
      </c>
      <c r="I119" s="40"/>
      <c r="J119" s="37"/>
      <c r="K119" s="42"/>
      <c r="L119" s="420" t="str">
        <f t="shared" si="15"/>
        <v/>
      </c>
      <c r="M119" s="401" t="str">
        <f t="shared" si="18"/>
        <v/>
      </c>
    </row>
    <row r="120" spans="2:13" x14ac:dyDescent="0.25">
      <c r="B120" s="13"/>
      <c r="C120" s="14"/>
      <c r="D120" s="21"/>
      <c r="E120" s="21"/>
      <c r="F120" s="21"/>
      <c r="G120" s="414"/>
      <c r="H120" s="23" t="str">
        <f t="shared" si="17"/>
        <v/>
      </c>
      <c r="I120" s="40"/>
      <c r="J120" s="37"/>
      <c r="K120" s="42"/>
      <c r="L120" s="420" t="str">
        <f t="shared" si="15"/>
        <v/>
      </c>
      <c r="M120" s="401" t="str">
        <f t="shared" si="18"/>
        <v/>
      </c>
    </row>
    <row r="121" spans="2:13" x14ac:dyDescent="0.25">
      <c r="B121" s="13"/>
      <c r="C121" s="14"/>
      <c r="D121" s="21"/>
      <c r="E121" s="21"/>
      <c r="F121" s="21"/>
      <c r="G121" s="414"/>
      <c r="H121" s="23" t="str">
        <f t="shared" si="17"/>
        <v/>
      </c>
      <c r="I121" s="40"/>
      <c r="J121" s="37"/>
      <c r="K121" s="42"/>
      <c r="L121" s="420" t="str">
        <f t="shared" si="15"/>
        <v/>
      </c>
      <c r="M121" s="401" t="str">
        <f t="shared" si="18"/>
        <v/>
      </c>
    </row>
    <row r="122" spans="2:13" x14ac:dyDescent="0.25">
      <c r="B122" s="13"/>
      <c r="C122" s="14"/>
      <c r="D122" s="21"/>
      <c r="E122" s="21"/>
      <c r="F122" s="21"/>
      <c r="G122" s="414"/>
      <c r="H122" s="23" t="str">
        <f t="shared" si="17"/>
        <v/>
      </c>
      <c r="I122" s="40"/>
      <c r="J122" s="37"/>
      <c r="K122" s="42"/>
      <c r="L122" s="420" t="str">
        <f t="shared" si="15"/>
        <v/>
      </c>
      <c r="M122" s="401" t="str">
        <f t="shared" si="18"/>
        <v/>
      </c>
    </row>
    <row r="123" spans="2:13" x14ac:dyDescent="0.25">
      <c r="B123" s="13"/>
      <c r="C123" s="14"/>
      <c r="D123" s="21"/>
      <c r="E123" s="21"/>
      <c r="F123" s="21"/>
      <c r="G123" s="414"/>
      <c r="H123" s="23" t="str">
        <f t="shared" si="17"/>
        <v/>
      </c>
      <c r="I123" s="40"/>
      <c r="J123" s="37"/>
      <c r="K123" s="42"/>
      <c r="L123" s="420" t="str">
        <f t="shared" si="15"/>
        <v/>
      </c>
      <c r="M123" s="401" t="str">
        <f t="shared" si="18"/>
        <v/>
      </c>
    </row>
    <row r="124" spans="2:13" x14ac:dyDescent="0.25">
      <c r="B124" s="13"/>
      <c r="C124" s="14"/>
      <c r="D124" s="21"/>
      <c r="E124" s="21"/>
      <c r="F124" s="21"/>
      <c r="G124" s="414"/>
      <c r="H124" s="23" t="str">
        <f t="shared" si="17"/>
        <v/>
      </c>
      <c r="I124" s="40"/>
      <c r="J124" s="37"/>
      <c r="K124" s="42"/>
      <c r="L124" s="420" t="str">
        <f t="shared" si="15"/>
        <v/>
      </c>
      <c r="M124" s="401" t="str">
        <f t="shared" si="18"/>
        <v/>
      </c>
    </row>
    <row r="125" spans="2:13" x14ac:dyDescent="0.25">
      <c r="B125" s="13"/>
      <c r="C125" s="14"/>
      <c r="D125" s="21"/>
      <c r="E125" s="21"/>
      <c r="F125" s="21"/>
      <c r="G125" s="414"/>
      <c r="H125" s="23" t="str">
        <f t="shared" si="17"/>
        <v/>
      </c>
      <c r="I125" s="40"/>
      <c r="J125" s="37"/>
      <c r="K125" s="42"/>
      <c r="L125" s="420" t="str">
        <f t="shared" si="15"/>
        <v/>
      </c>
      <c r="M125" s="401" t="str">
        <f t="shared" si="18"/>
        <v/>
      </c>
    </row>
    <row r="126" spans="2:13" x14ac:dyDescent="0.25">
      <c r="B126" s="13"/>
      <c r="C126" s="14"/>
      <c r="D126" s="21"/>
      <c r="E126" s="21"/>
      <c r="F126" s="21"/>
      <c r="G126" s="414"/>
      <c r="H126" s="23" t="str">
        <f t="shared" si="17"/>
        <v/>
      </c>
      <c r="I126" s="40"/>
      <c r="J126" s="37"/>
      <c r="K126" s="42"/>
      <c r="L126" s="420" t="str">
        <f t="shared" si="15"/>
        <v/>
      </c>
      <c r="M126" s="401" t="str">
        <f t="shared" si="18"/>
        <v/>
      </c>
    </row>
    <row r="127" spans="2:13" x14ac:dyDescent="0.25">
      <c r="B127" s="13"/>
      <c r="C127" s="14"/>
      <c r="D127" s="21"/>
      <c r="E127" s="21"/>
      <c r="F127" s="21"/>
      <c r="G127" s="414"/>
      <c r="H127" s="23" t="str">
        <f t="shared" si="17"/>
        <v/>
      </c>
      <c r="I127" s="40"/>
      <c r="J127" s="37"/>
      <c r="K127" s="42"/>
      <c r="L127" s="420" t="str">
        <f t="shared" si="15"/>
        <v/>
      </c>
      <c r="M127" s="401" t="str">
        <f t="shared" si="18"/>
        <v/>
      </c>
    </row>
    <row r="128" spans="2:13" x14ac:dyDescent="0.25">
      <c r="B128" s="13"/>
      <c r="C128" s="14"/>
      <c r="D128" s="21"/>
      <c r="E128" s="21"/>
      <c r="F128" s="21"/>
      <c r="G128" s="414"/>
      <c r="H128" s="23" t="str">
        <f t="shared" si="17"/>
        <v/>
      </c>
      <c r="I128" s="40"/>
      <c r="J128" s="37"/>
      <c r="K128" s="42"/>
      <c r="L128" s="420" t="str">
        <f t="shared" si="15"/>
        <v/>
      </c>
      <c r="M128" s="401" t="str">
        <f t="shared" si="18"/>
        <v/>
      </c>
    </row>
    <row r="129" spans="2:13" x14ac:dyDescent="0.25">
      <c r="B129" s="13"/>
      <c r="C129" s="14"/>
      <c r="D129" s="21"/>
      <c r="E129" s="21"/>
      <c r="F129" s="21"/>
      <c r="G129" s="414"/>
      <c r="H129" s="23" t="str">
        <f t="shared" si="17"/>
        <v/>
      </c>
      <c r="I129" s="40"/>
      <c r="J129" s="37"/>
      <c r="K129" s="42"/>
      <c r="L129" s="420" t="str">
        <f t="shared" si="15"/>
        <v/>
      </c>
      <c r="M129" s="401" t="str">
        <f t="shared" si="18"/>
        <v/>
      </c>
    </row>
    <row r="130" spans="2:13" x14ac:dyDescent="0.25">
      <c r="B130" s="13"/>
      <c r="C130" s="14"/>
      <c r="D130" s="21"/>
      <c r="E130" s="21"/>
      <c r="F130" s="21"/>
      <c r="G130" s="414"/>
      <c r="H130" s="23" t="str">
        <f t="shared" si="17"/>
        <v/>
      </c>
      <c r="I130" s="40"/>
      <c r="J130" s="37"/>
      <c r="K130" s="42"/>
      <c r="L130" s="420" t="str">
        <f t="shared" si="15"/>
        <v/>
      </c>
      <c r="M130" s="401" t="str">
        <f t="shared" si="18"/>
        <v/>
      </c>
    </row>
    <row r="131" spans="2:13" x14ac:dyDescent="0.25">
      <c r="B131" s="13"/>
      <c r="C131" s="14"/>
      <c r="D131" s="21"/>
      <c r="E131" s="21"/>
      <c r="F131" s="21"/>
      <c r="G131" s="414"/>
      <c r="H131" s="23" t="str">
        <f t="shared" si="17"/>
        <v/>
      </c>
      <c r="I131" s="40"/>
      <c r="J131" s="37"/>
      <c r="K131" s="42"/>
      <c r="L131" s="420" t="str">
        <f t="shared" si="15"/>
        <v/>
      </c>
      <c r="M131" s="401" t="str">
        <f t="shared" si="18"/>
        <v/>
      </c>
    </row>
    <row r="132" spans="2:13" x14ac:dyDescent="0.25">
      <c r="B132" s="13"/>
      <c r="C132" s="14"/>
      <c r="D132" s="21"/>
      <c r="E132" s="21"/>
      <c r="F132" s="21"/>
      <c r="G132" s="414"/>
      <c r="H132" s="23" t="str">
        <f t="shared" si="17"/>
        <v/>
      </c>
      <c r="I132" s="40"/>
      <c r="J132" s="37"/>
      <c r="K132" s="42"/>
      <c r="L132" s="420" t="str">
        <f t="shared" si="15"/>
        <v/>
      </c>
      <c r="M132" s="401" t="str">
        <f t="shared" si="18"/>
        <v/>
      </c>
    </row>
    <row r="133" spans="2:13" x14ac:dyDescent="0.25">
      <c r="B133" s="13"/>
      <c r="C133" s="14"/>
      <c r="D133" s="21"/>
      <c r="E133" s="21"/>
      <c r="F133" s="21"/>
      <c r="G133" s="414"/>
      <c r="H133" s="23" t="str">
        <f t="shared" si="17"/>
        <v/>
      </c>
      <c r="I133" s="40"/>
      <c r="J133" s="37"/>
      <c r="K133" s="42"/>
      <c r="L133" s="420" t="str">
        <f t="shared" si="15"/>
        <v/>
      </c>
      <c r="M133" s="401" t="str">
        <f t="shared" si="18"/>
        <v/>
      </c>
    </row>
    <row r="134" spans="2:13" x14ac:dyDescent="0.25">
      <c r="B134" s="13"/>
      <c r="C134" s="14"/>
      <c r="D134" s="21"/>
      <c r="E134" s="21"/>
      <c r="F134" s="21"/>
      <c r="G134" s="414"/>
      <c r="H134" s="23" t="str">
        <f t="shared" si="17"/>
        <v/>
      </c>
      <c r="I134" s="40"/>
      <c r="J134" s="37"/>
      <c r="K134" s="42"/>
      <c r="L134" s="420" t="str">
        <f t="shared" si="15"/>
        <v/>
      </c>
      <c r="M134" s="401" t="str">
        <f t="shared" si="18"/>
        <v/>
      </c>
    </row>
    <row r="135" spans="2:13" x14ac:dyDescent="0.25">
      <c r="B135" s="13"/>
      <c r="C135" s="14"/>
      <c r="D135" s="21"/>
      <c r="E135" s="21"/>
      <c r="F135" s="21"/>
      <c r="G135" s="414"/>
      <c r="H135" s="23" t="str">
        <f t="shared" si="17"/>
        <v/>
      </c>
      <c r="I135" s="40"/>
      <c r="J135" s="37"/>
      <c r="K135" s="42"/>
      <c r="L135" s="420" t="str">
        <f t="shared" si="15"/>
        <v/>
      </c>
      <c r="M135" s="401" t="str">
        <f t="shared" si="18"/>
        <v/>
      </c>
    </row>
    <row r="136" spans="2:13" x14ac:dyDescent="0.25">
      <c r="B136" s="13"/>
      <c r="C136" s="14"/>
      <c r="D136" s="21"/>
      <c r="E136" s="21"/>
      <c r="F136" s="21"/>
      <c r="G136" s="414"/>
      <c r="H136" s="23" t="str">
        <f t="shared" si="17"/>
        <v/>
      </c>
      <c r="I136" s="40"/>
      <c r="J136" s="37"/>
      <c r="K136" s="42"/>
      <c r="L136" s="420" t="str">
        <f t="shared" si="15"/>
        <v/>
      </c>
      <c r="M136" s="401" t="str">
        <f t="shared" si="18"/>
        <v/>
      </c>
    </row>
    <row r="137" spans="2:13" x14ac:dyDescent="0.25">
      <c r="B137" s="13"/>
      <c r="C137" s="14"/>
      <c r="D137" s="21"/>
      <c r="E137" s="21"/>
      <c r="F137" s="21"/>
      <c r="G137" s="414"/>
      <c r="H137" s="23" t="str">
        <f t="shared" si="17"/>
        <v/>
      </c>
      <c r="I137" s="40"/>
      <c r="J137" s="37"/>
      <c r="K137" s="42"/>
      <c r="L137" s="420" t="str">
        <f t="shared" si="15"/>
        <v/>
      </c>
      <c r="M137" s="401" t="str">
        <f t="shared" si="18"/>
        <v/>
      </c>
    </row>
    <row r="138" spans="2:13" x14ac:dyDescent="0.25">
      <c r="B138" s="13"/>
      <c r="C138" s="14"/>
      <c r="D138" s="21"/>
      <c r="E138" s="21"/>
      <c r="F138" s="21"/>
      <c r="G138" s="414"/>
      <c r="H138" s="23" t="str">
        <f t="shared" si="17"/>
        <v/>
      </c>
      <c r="I138" s="40"/>
      <c r="J138" s="37"/>
      <c r="K138" s="42"/>
      <c r="L138" s="420" t="str">
        <f t="shared" si="15"/>
        <v/>
      </c>
      <c r="M138" s="401" t="str">
        <f t="shared" si="18"/>
        <v/>
      </c>
    </row>
    <row r="139" spans="2:13" x14ac:dyDescent="0.25">
      <c r="B139" s="13"/>
      <c r="C139" s="14"/>
      <c r="D139" s="21"/>
      <c r="E139" s="21"/>
      <c r="F139" s="21"/>
      <c r="G139" s="414"/>
      <c r="H139" s="23" t="str">
        <f t="shared" si="17"/>
        <v/>
      </c>
      <c r="I139" s="40"/>
      <c r="J139" s="37"/>
      <c r="K139" s="42"/>
      <c r="L139" s="420" t="str">
        <f t="shared" si="15"/>
        <v/>
      </c>
      <c r="M139" s="401" t="str">
        <f t="shared" si="18"/>
        <v/>
      </c>
    </row>
    <row r="140" spans="2:13" x14ac:dyDescent="0.25">
      <c r="B140" s="13"/>
      <c r="C140" s="14"/>
      <c r="D140" s="21"/>
      <c r="E140" s="21"/>
      <c r="F140" s="21"/>
      <c r="G140" s="414"/>
      <c r="H140" s="23" t="str">
        <f t="shared" si="17"/>
        <v/>
      </c>
      <c r="I140" s="40"/>
      <c r="J140" s="37"/>
      <c r="K140" s="42"/>
      <c r="L140" s="420" t="str">
        <f t="shared" si="15"/>
        <v/>
      </c>
      <c r="M140" s="401" t="str">
        <f t="shared" si="18"/>
        <v/>
      </c>
    </row>
    <row r="141" spans="2:13" x14ac:dyDescent="0.25">
      <c r="B141" s="13"/>
      <c r="C141" s="14"/>
      <c r="D141" s="21"/>
      <c r="E141" s="21"/>
      <c r="F141" s="21"/>
      <c r="G141" s="414"/>
      <c r="H141" s="23" t="str">
        <f t="shared" si="17"/>
        <v/>
      </c>
      <c r="I141" s="40"/>
      <c r="J141" s="37"/>
      <c r="K141" s="42"/>
      <c r="L141" s="420" t="str">
        <f t="shared" si="15"/>
        <v/>
      </c>
      <c r="M141" s="401" t="str">
        <f t="shared" si="18"/>
        <v/>
      </c>
    </row>
    <row r="142" spans="2:13" x14ac:dyDescent="0.25">
      <c r="B142" s="13"/>
      <c r="C142" s="14"/>
      <c r="D142" s="21"/>
      <c r="E142" s="21"/>
      <c r="F142" s="21"/>
      <c r="G142" s="414"/>
      <c r="H142" s="23" t="str">
        <f t="shared" si="17"/>
        <v/>
      </c>
      <c r="I142" s="40"/>
      <c r="J142" s="37"/>
      <c r="K142" s="42"/>
      <c r="L142" s="420" t="str">
        <f t="shared" si="15"/>
        <v/>
      </c>
      <c r="M142" s="401" t="str">
        <f t="shared" si="18"/>
        <v/>
      </c>
    </row>
    <row r="143" spans="2:13" x14ac:dyDescent="0.25">
      <c r="B143" s="13"/>
      <c r="C143" s="14"/>
      <c r="D143" s="21"/>
      <c r="E143" s="21"/>
      <c r="F143" s="21"/>
      <c r="G143" s="414"/>
      <c r="H143" s="23" t="str">
        <f t="shared" si="17"/>
        <v/>
      </c>
      <c r="I143" s="40"/>
      <c r="J143" s="37"/>
      <c r="K143" s="403"/>
      <c r="L143" s="420" t="str">
        <f t="shared" ref="L143:L144" si="19">IF(J143="","",F143*K143)</f>
        <v/>
      </c>
      <c r="M143" s="401" t="str">
        <f t="shared" si="18"/>
        <v/>
      </c>
    </row>
    <row r="144" spans="2:13" x14ac:dyDescent="0.25">
      <c r="B144" s="13"/>
      <c r="C144" s="14"/>
      <c r="D144" s="21"/>
      <c r="E144" s="21"/>
      <c r="F144" s="21"/>
      <c r="G144" s="414"/>
      <c r="H144" s="23" t="str">
        <f t="shared" si="17"/>
        <v/>
      </c>
      <c r="I144" s="40"/>
      <c r="J144" s="37"/>
      <c r="K144" s="404"/>
      <c r="L144" s="420" t="str">
        <f t="shared" si="19"/>
        <v/>
      </c>
      <c r="M144" s="401" t="str">
        <f t="shared" si="18"/>
        <v/>
      </c>
    </row>
    <row r="145" spans="2:13" s="28" customFormat="1" ht="25" customHeight="1" x14ac:dyDescent="0.25">
      <c r="B145" s="84" t="str">
        <f>B72</f>
        <v>C1.6</v>
      </c>
      <c r="C145" s="30" t="str">
        <f>"TOTAL CARRIED FORWARD"&amp;IF(H145=H$1," TO SUMMARY","")</f>
        <v>TOTAL CARRIED FORWARD TO SUMMARY</v>
      </c>
      <c r="D145" s="31"/>
      <c r="E145" s="31"/>
      <c r="F145" s="32"/>
      <c r="G145" s="31"/>
      <c r="H145" s="33">
        <f>SUM(H81:H144)</f>
        <v>285000</v>
      </c>
      <c r="I145" s="34"/>
      <c r="J145" s="408"/>
      <c r="K145" s="406"/>
      <c r="L145" s="418">
        <f>SUM(L81:L144)</f>
        <v>214819.20000000001</v>
      </c>
      <c r="M145" s="407" t="str">
        <f>IF(F134="","",IF(SUM(I134)=0,"",L145/I124))</f>
        <v/>
      </c>
    </row>
  </sheetData>
  <mergeCells count="11">
    <mergeCell ref="B76:G76"/>
    <mergeCell ref="H76:H79"/>
    <mergeCell ref="B77:G79"/>
    <mergeCell ref="F3:H3"/>
    <mergeCell ref="B6:G6"/>
    <mergeCell ref="H6:H9"/>
    <mergeCell ref="B7:G9"/>
    <mergeCell ref="B73:D73"/>
    <mergeCell ref="F73:H75"/>
    <mergeCell ref="B74:D74"/>
    <mergeCell ref="B75:D75"/>
  </mergeCells>
  <conditionalFormatting sqref="G11:H72 G81:H145">
    <cfRule type="expression" dxfId="30"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3">
    <tabColor rgb="FFFFFF00"/>
  </sheetPr>
  <dimension ref="A1:N417"/>
  <sheetViews>
    <sheetView view="pageBreakPreview" zoomScaleNormal="125" zoomScaleSheetLayoutView="100" zoomScalePageLayoutView="125" workbookViewId="0">
      <selection activeCell="B26" sqref="B26:G26"/>
    </sheetView>
  </sheetViews>
  <sheetFormatPr defaultColWidth="8.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8.81640625" style="1"/>
    <col min="11" max="11" width="13.54296875" style="1" customWidth="1"/>
    <col min="12" max="12" width="14.1796875" style="1" customWidth="1"/>
    <col min="13" max="13" width="13.7265625" style="1" customWidth="1"/>
    <col min="14" max="14" width="13.54296875" style="1" customWidth="1"/>
    <col min="15" max="16384" width="8.81640625" style="1"/>
  </cols>
  <sheetData>
    <row r="1" spans="1:14" s="250" customFormat="1" ht="11.5" x14ac:dyDescent="0.25">
      <c r="A1" s="242"/>
      <c r="B1" s="243"/>
      <c r="C1" s="244" t="s">
        <v>993</v>
      </c>
      <c r="D1" s="245"/>
      <c r="E1" s="245"/>
      <c r="F1" s="246" t="s">
        <v>994</v>
      </c>
      <c r="G1" s="244">
        <v>1</v>
      </c>
      <c r="H1" s="247">
        <f>MAX(H2:H417)</f>
        <v>289800.00000000006</v>
      </c>
      <c r="I1" s="247">
        <f>MAX(I2:I208)</f>
        <v>0</v>
      </c>
      <c r="J1" s="248"/>
      <c r="K1" s="249"/>
      <c r="L1" s="417">
        <f>MAX(L2:L417)</f>
        <v>117855.00000000003</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3"/>
    </row>
    <row r="6" spans="1:14" ht="12.75" customHeight="1" x14ac:dyDescent="0.25">
      <c r="B6" s="1112" t="s">
        <v>8</v>
      </c>
      <c r="C6" s="1113"/>
      <c r="D6" s="1113"/>
      <c r="E6" s="1113"/>
      <c r="F6" s="1113"/>
      <c r="G6" s="1113"/>
      <c r="H6" s="1121" t="str">
        <f>"CHAPTER "&amp;B12</f>
        <v>CHAPTER C2.1</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s="9" customFormat="1" ht="7.5" customHeight="1" x14ac:dyDescent="0.25">
      <c r="B9" s="1119"/>
      <c r="C9" s="1120"/>
      <c r="D9" s="1120"/>
      <c r="E9" s="1120"/>
      <c r="F9" s="1120"/>
      <c r="G9" s="1120"/>
      <c r="H9" s="1123"/>
      <c r="I9" s="12"/>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14"/>
      <c r="D11" s="15"/>
      <c r="E11" s="15"/>
      <c r="F11" s="580"/>
      <c r="G11" s="411"/>
      <c r="H11" s="17" t="str">
        <f t="shared" ref="H11:H71" si="0">IF(D11="","",F11*G11)</f>
        <v/>
      </c>
      <c r="I11" s="18"/>
      <c r="J11" s="61"/>
      <c r="K11" s="399"/>
      <c r="L11" s="420" t="str">
        <f t="shared" ref="L11" si="1">IF(J11="","",F11*K11)</f>
        <v/>
      </c>
      <c r="M11" s="401" t="str">
        <f t="shared" ref="M11:M72" si="2">IF(J11="","",IF(SUM(H11)=0,"",L11/H11))</f>
        <v/>
      </c>
    </row>
    <row r="12" spans="1:14" ht="26" x14ac:dyDescent="0.25">
      <c r="B12" s="146" t="s">
        <v>605</v>
      </c>
      <c r="C12" s="19" t="s">
        <v>604</v>
      </c>
      <c r="D12" s="15"/>
      <c r="E12" s="15"/>
      <c r="F12" s="580"/>
      <c r="G12" s="411"/>
      <c r="H12" s="17" t="str">
        <f t="shared" si="0"/>
        <v/>
      </c>
      <c r="I12" s="18"/>
      <c r="J12" s="61"/>
      <c r="K12" s="399"/>
      <c r="L12" s="420" t="str">
        <f t="shared" ref="L12:L71" si="3">IF(J12="","",F12*K12)</f>
        <v/>
      </c>
      <c r="M12" s="401" t="str">
        <f t="shared" ref="M12:M71" si="4">IF(J12="","",IF(SUM(H12)=0,"",L12/H12))</f>
        <v/>
      </c>
    </row>
    <row r="13" spans="1:14" x14ac:dyDescent="0.25">
      <c r="B13" s="58"/>
      <c r="C13" s="14"/>
      <c r="D13" s="15"/>
      <c r="E13" s="15"/>
      <c r="F13" s="580"/>
      <c r="G13" s="411"/>
      <c r="H13" s="17" t="str">
        <f t="shared" si="0"/>
        <v/>
      </c>
      <c r="I13" s="18"/>
      <c r="J13" s="61"/>
      <c r="K13" s="399"/>
      <c r="L13" s="420" t="str">
        <f t="shared" si="3"/>
        <v/>
      </c>
      <c r="M13" s="401" t="str">
        <f t="shared" si="4"/>
        <v/>
      </c>
    </row>
    <row r="14" spans="1:14" ht="13" x14ac:dyDescent="0.25">
      <c r="B14" s="146" t="s">
        <v>597</v>
      </c>
      <c r="C14" s="19" t="s">
        <v>2111</v>
      </c>
      <c r="D14" s="61"/>
      <c r="E14" s="61"/>
      <c r="F14" s="697"/>
      <c r="G14" s="422"/>
      <c r="H14" s="17" t="str">
        <f t="shared" si="0"/>
        <v/>
      </c>
      <c r="I14" s="57"/>
      <c r="J14" s="61"/>
      <c r="K14" s="400"/>
      <c r="L14" s="420" t="str">
        <f t="shared" si="3"/>
        <v/>
      </c>
      <c r="M14" s="401" t="str">
        <f t="shared" si="4"/>
        <v/>
      </c>
    </row>
    <row r="15" spans="1:14" x14ac:dyDescent="0.25">
      <c r="B15" s="58"/>
      <c r="C15" s="14"/>
      <c r="D15" s="15"/>
      <c r="E15" s="15"/>
      <c r="F15" s="580"/>
      <c r="G15" s="422"/>
      <c r="H15" s="17" t="str">
        <f t="shared" si="0"/>
        <v/>
      </c>
      <c r="I15" s="18"/>
      <c r="J15" s="61"/>
      <c r="K15" s="399"/>
      <c r="L15" s="420" t="str">
        <f t="shared" si="3"/>
        <v/>
      </c>
      <c r="M15" s="401" t="str">
        <f t="shared" si="4"/>
        <v/>
      </c>
    </row>
    <row r="16" spans="1:14" x14ac:dyDescent="0.25">
      <c r="B16" s="58" t="s">
        <v>596</v>
      </c>
      <c r="C16" s="25" t="s">
        <v>595</v>
      </c>
      <c r="D16" s="61"/>
      <c r="E16" s="61"/>
      <c r="F16" s="697"/>
      <c r="G16" s="422"/>
      <c r="H16" s="17" t="str">
        <f t="shared" si="0"/>
        <v/>
      </c>
      <c r="I16" s="18"/>
      <c r="J16" s="61"/>
      <c r="K16" s="399"/>
      <c r="L16" s="420" t="str">
        <f t="shared" si="3"/>
        <v/>
      </c>
      <c r="M16" s="401" t="str">
        <f t="shared" si="4"/>
        <v/>
      </c>
    </row>
    <row r="17" spans="2:13" x14ac:dyDescent="0.25">
      <c r="B17" s="58"/>
      <c r="C17" s="25"/>
      <c r="D17" s="61"/>
      <c r="E17" s="61"/>
      <c r="F17" s="697"/>
      <c r="G17" s="422"/>
      <c r="H17" s="17" t="str">
        <f t="shared" si="0"/>
        <v/>
      </c>
      <c r="I17" s="60"/>
      <c r="J17" s="61"/>
      <c r="K17" s="399"/>
      <c r="L17" s="420" t="str">
        <f t="shared" si="3"/>
        <v/>
      </c>
      <c r="M17" s="401" t="str">
        <f t="shared" si="4"/>
        <v/>
      </c>
    </row>
    <row r="18" spans="2:13" ht="13" x14ac:dyDescent="0.3">
      <c r="B18" s="58" t="s">
        <v>39</v>
      </c>
      <c r="C18" s="14" t="s">
        <v>585</v>
      </c>
      <c r="D18" s="15" t="s">
        <v>512</v>
      </c>
      <c r="E18" s="15"/>
      <c r="F18" s="580">
        <f>Quantities!$S$16*0.4</f>
        <v>360.00000000000006</v>
      </c>
      <c r="G18" s="422">
        <v>50</v>
      </c>
      <c r="H18" s="17">
        <f t="shared" si="0"/>
        <v>18000.000000000004</v>
      </c>
      <c r="I18" s="63"/>
      <c r="J18" s="61" t="s">
        <v>1721</v>
      </c>
      <c r="K18" s="399">
        <f>IF(D18="","",ROUND(Labour_perc_roads*G18,1))</f>
        <v>1.5</v>
      </c>
      <c r="L18" s="420">
        <f t="shared" si="3"/>
        <v>540.00000000000011</v>
      </c>
      <c r="M18" s="401">
        <f t="shared" si="4"/>
        <v>0.03</v>
      </c>
    </row>
    <row r="19" spans="2:13" x14ac:dyDescent="0.25">
      <c r="B19" s="58"/>
      <c r="C19" s="25"/>
      <c r="D19" s="61"/>
      <c r="E19" s="61"/>
      <c r="F19" s="24"/>
      <c r="G19" s="421"/>
      <c r="H19" s="17" t="str">
        <f t="shared" si="0"/>
        <v/>
      </c>
      <c r="I19" s="63"/>
      <c r="J19" s="61"/>
      <c r="K19" s="402"/>
      <c r="L19" s="420" t="str">
        <f t="shared" si="3"/>
        <v/>
      </c>
      <c r="M19" s="401" t="str">
        <f t="shared" si="4"/>
        <v/>
      </c>
    </row>
    <row r="20" spans="2:13" ht="13" x14ac:dyDescent="0.25">
      <c r="B20" s="58" t="s">
        <v>41</v>
      </c>
      <c r="C20" s="14" t="s">
        <v>594</v>
      </c>
      <c r="D20" s="21" t="s">
        <v>512</v>
      </c>
      <c r="E20" s="21"/>
      <c r="F20" s="580">
        <f>Quantities!$S$16*0.1</f>
        <v>90.000000000000014</v>
      </c>
      <c r="G20" s="421">
        <v>70</v>
      </c>
      <c r="H20" s="17">
        <f t="shared" ref="H20" si="5">IF(D20="","",F20*G20)</f>
        <v>6300.0000000000009</v>
      </c>
      <c r="I20" s="63"/>
      <c r="J20" s="61" t="s">
        <v>1721</v>
      </c>
      <c r="K20" s="399">
        <f>IF(D20="","",ROUND(Labour_perc_roads*G20,1))</f>
        <v>2</v>
      </c>
      <c r="L20" s="420">
        <f t="shared" ref="L20" si="6">IF(J20="","",F20*K20)</f>
        <v>180.00000000000003</v>
      </c>
      <c r="M20" s="401">
        <f t="shared" ref="M20" si="7">IF(J20="","",IF(SUM(H20)=0,"",L20/H20))</f>
        <v>2.8571428571428571E-2</v>
      </c>
    </row>
    <row r="21" spans="2:13" x14ac:dyDescent="0.25">
      <c r="B21" s="58"/>
      <c r="C21" s="133"/>
      <c r="D21" s="61"/>
      <c r="E21" s="61"/>
      <c r="F21" s="24"/>
      <c r="G21" s="421"/>
      <c r="H21" s="17"/>
      <c r="I21" s="63"/>
      <c r="J21" s="61"/>
      <c r="K21" s="402"/>
      <c r="L21" s="420"/>
      <c r="M21" s="401"/>
    </row>
    <row r="22" spans="2:13" ht="26" x14ac:dyDescent="0.25">
      <c r="B22" s="146" t="s">
        <v>593</v>
      </c>
      <c r="C22" s="19" t="s">
        <v>592</v>
      </c>
      <c r="D22" s="15"/>
      <c r="E22" s="15"/>
      <c r="F22" s="24"/>
      <c r="G22" s="425"/>
      <c r="H22" s="17" t="str">
        <f t="shared" si="0"/>
        <v/>
      </c>
      <c r="I22" s="63"/>
      <c r="J22" s="61"/>
      <c r="K22" s="402"/>
      <c r="L22" s="420" t="str">
        <f t="shared" si="3"/>
        <v/>
      </c>
      <c r="M22" s="401" t="str">
        <f t="shared" si="4"/>
        <v/>
      </c>
    </row>
    <row r="23" spans="2:13" x14ac:dyDescent="0.25">
      <c r="B23" s="58"/>
      <c r="C23" s="14"/>
      <c r="D23" s="15"/>
      <c r="E23" s="15"/>
      <c r="F23" s="24"/>
      <c r="G23" s="422"/>
      <c r="H23" s="17" t="str">
        <f t="shared" si="0"/>
        <v/>
      </c>
      <c r="I23" s="63"/>
      <c r="J23" s="61"/>
      <c r="K23" s="402"/>
      <c r="L23" s="420" t="str">
        <f t="shared" si="3"/>
        <v/>
      </c>
      <c r="M23" s="401" t="str">
        <f t="shared" si="4"/>
        <v/>
      </c>
    </row>
    <row r="24" spans="2:13" ht="13" x14ac:dyDescent="0.3">
      <c r="B24" s="58" t="s">
        <v>591</v>
      </c>
      <c r="C24" s="14" t="s">
        <v>590</v>
      </c>
      <c r="D24" s="15" t="s">
        <v>512</v>
      </c>
      <c r="E24" s="15"/>
      <c r="F24" s="24">
        <f>Quantities!$S$17</f>
        <v>450.00000000000006</v>
      </c>
      <c r="G24" s="423">
        <v>250</v>
      </c>
      <c r="H24" s="17">
        <f t="shared" si="0"/>
        <v>112500.00000000001</v>
      </c>
      <c r="I24" s="63"/>
      <c r="J24" s="61" t="s">
        <v>1721</v>
      </c>
      <c r="K24" s="399">
        <f>IF(D24="","",ROUND(Labour_perc_roads*G24,1))</f>
        <v>7.3</v>
      </c>
      <c r="L24" s="420">
        <f t="shared" si="3"/>
        <v>3285.0000000000005</v>
      </c>
      <c r="M24" s="401">
        <f t="shared" si="4"/>
        <v>2.92E-2</v>
      </c>
    </row>
    <row r="25" spans="2:13" x14ac:dyDescent="0.25">
      <c r="B25" s="58"/>
      <c r="C25" s="25"/>
      <c r="D25" s="61"/>
      <c r="E25" s="61"/>
      <c r="F25" s="24"/>
      <c r="G25" s="421"/>
      <c r="H25" s="17" t="str">
        <f t="shared" si="0"/>
        <v/>
      </c>
      <c r="I25" s="63"/>
      <c r="J25" s="61"/>
      <c r="K25" s="402"/>
      <c r="L25" s="420" t="str">
        <f t="shared" si="3"/>
        <v/>
      </c>
      <c r="M25" s="401" t="str">
        <f t="shared" si="4"/>
        <v/>
      </c>
    </row>
    <row r="26" spans="2:13" ht="26" x14ac:dyDescent="0.25">
      <c r="B26" s="146" t="s">
        <v>589</v>
      </c>
      <c r="C26" s="19" t="s">
        <v>588</v>
      </c>
      <c r="D26" s="15"/>
      <c r="E26" s="15"/>
      <c r="F26" s="647"/>
      <c r="G26" s="753"/>
      <c r="H26" s="743" t="str">
        <f t="shared" si="0"/>
        <v/>
      </c>
      <c r="I26" s="18"/>
      <c r="J26" s="61"/>
      <c r="K26" s="399"/>
      <c r="L26" s="420" t="str">
        <f t="shared" si="3"/>
        <v/>
      </c>
      <c r="M26" s="401" t="str">
        <f t="shared" si="4"/>
        <v/>
      </c>
    </row>
    <row r="27" spans="2:13" x14ac:dyDescent="0.25">
      <c r="B27" s="58"/>
      <c r="C27" s="14"/>
      <c r="D27" s="15"/>
      <c r="E27" s="15"/>
      <c r="F27" s="580"/>
      <c r="G27" s="411"/>
      <c r="H27" s="743" t="str">
        <f t="shared" si="0"/>
        <v/>
      </c>
      <c r="I27" s="18"/>
      <c r="J27" s="61"/>
      <c r="K27" s="399"/>
      <c r="L27" s="420" t="str">
        <f t="shared" si="3"/>
        <v/>
      </c>
      <c r="M27" s="401" t="str">
        <f t="shared" si="4"/>
        <v/>
      </c>
    </row>
    <row r="28" spans="2:13" x14ac:dyDescent="0.25">
      <c r="B28" s="58" t="s">
        <v>587</v>
      </c>
      <c r="C28" s="25" t="s">
        <v>586</v>
      </c>
      <c r="D28" s="61"/>
      <c r="E28" s="61"/>
      <c r="F28" s="580"/>
      <c r="G28" s="424"/>
      <c r="H28" s="743" t="str">
        <f t="shared" si="0"/>
        <v/>
      </c>
      <c r="I28" s="57"/>
      <c r="J28" s="61"/>
      <c r="K28" s="400"/>
      <c r="L28" s="420" t="str">
        <f t="shared" si="3"/>
        <v/>
      </c>
      <c r="M28" s="401" t="str">
        <f t="shared" si="4"/>
        <v/>
      </c>
    </row>
    <row r="29" spans="2:13" x14ac:dyDescent="0.25">
      <c r="B29" s="58"/>
      <c r="C29" s="25"/>
      <c r="D29" s="61"/>
      <c r="E29" s="61"/>
      <c r="F29" s="580"/>
      <c r="G29" s="424"/>
      <c r="H29" s="743" t="str">
        <f t="shared" si="0"/>
        <v/>
      </c>
      <c r="I29" s="18"/>
      <c r="J29" s="61"/>
      <c r="K29" s="399"/>
      <c r="L29" s="420" t="str">
        <f t="shared" si="3"/>
        <v/>
      </c>
      <c r="M29" s="401" t="str">
        <f t="shared" si="4"/>
        <v/>
      </c>
    </row>
    <row r="30" spans="2:13" ht="13" x14ac:dyDescent="0.3">
      <c r="B30" s="58" t="s">
        <v>39</v>
      </c>
      <c r="C30" s="14" t="s">
        <v>585</v>
      </c>
      <c r="D30" s="15" t="s">
        <v>512</v>
      </c>
      <c r="E30" s="15"/>
      <c r="F30" s="580">
        <f>Quantities!$S$16*0.5</f>
        <v>450.00000000000006</v>
      </c>
      <c r="G30" s="424">
        <v>190</v>
      </c>
      <c r="H30" s="743">
        <f t="shared" si="0"/>
        <v>85500.000000000015</v>
      </c>
      <c r="I30" s="18"/>
      <c r="J30" s="61" t="s">
        <v>996</v>
      </c>
      <c r="K30" s="577">
        <f>_Excavation</f>
        <v>151</v>
      </c>
      <c r="L30" s="420">
        <f t="shared" si="3"/>
        <v>67950.000000000015</v>
      </c>
      <c r="M30" s="401">
        <f t="shared" si="4"/>
        <v>0.79473684210526319</v>
      </c>
    </row>
    <row r="31" spans="2:13" x14ac:dyDescent="0.25">
      <c r="B31" s="58"/>
      <c r="C31" s="14"/>
      <c r="D31" s="15"/>
      <c r="E31" s="15"/>
      <c r="F31" s="24"/>
      <c r="G31" s="411"/>
      <c r="H31" s="17" t="str">
        <f t="shared" si="0"/>
        <v/>
      </c>
      <c r="I31" s="18"/>
      <c r="J31" s="61"/>
      <c r="K31" s="399"/>
      <c r="L31" s="420" t="str">
        <f t="shared" si="3"/>
        <v/>
      </c>
      <c r="M31" s="401" t="str">
        <f t="shared" si="4"/>
        <v/>
      </c>
    </row>
    <row r="32" spans="2:13" ht="13" x14ac:dyDescent="0.25">
      <c r="B32" s="146" t="s">
        <v>584</v>
      </c>
      <c r="C32" s="19" t="s">
        <v>583</v>
      </c>
      <c r="D32" s="15"/>
      <c r="E32" s="15"/>
      <c r="F32" s="24"/>
      <c r="G32" s="411"/>
      <c r="H32" s="17" t="str">
        <f t="shared" si="0"/>
        <v/>
      </c>
      <c r="I32" s="18"/>
      <c r="J32" s="61"/>
      <c r="K32" s="399"/>
      <c r="L32" s="420" t="str">
        <f t="shared" si="3"/>
        <v/>
      </c>
      <c r="M32" s="401" t="str">
        <f t="shared" si="4"/>
        <v/>
      </c>
    </row>
    <row r="33" spans="2:13" x14ac:dyDescent="0.25">
      <c r="B33" s="58"/>
      <c r="C33" s="14"/>
      <c r="D33" s="15"/>
      <c r="E33" s="15"/>
      <c r="F33" s="24"/>
      <c r="G33" s="411"/>
      <c r="H33" s="17" t="str">
        <f t="shared" si="0"/>
        <v/>
      </c>
      <c r="I33" s="18"/>
      <c r="J33" s="61"/>
      <c r="K33" s="399"/>
      <c r="L33" s="420" t="str">
        <f t="shared" si="3"/>
        <v/>
      </c>
      <c r="M33" s="401" t="str">
        <f t="shared" si="4"/>
        <v/>
      </c>
    </row>
    <row r="34" spans="2:13" ht="25" x14ac:dyDescent="0.25">
      <c r="B34" s="58" t="s">
        <v>582</v>
      </c>
      <c r="C34" s="14" t="s">
        <v>581</v>
      </c>
      <c r="D34" s="21"/>
      <c r="E34" s="21"/>
      <c r="F34" s="580"/>
      <c r="G34" s="422"/>
      <c r="H34" s="17" t="str">
        <f t="shared" si="0"/>
        <v/>
      </c>
      <c r="I34" s="18"/>
      <c r="J34" s="61"/>
      <c r="K34" s="399"/>
      <c r="L34" s="420" t="str">
        <f t="shared" si="3"/>
        <v/>
      </c>
      <c r="M34" s="401" t="str">
        <f t="shared" si="4"/>
        <v/>
      </c>
    </row>
    <row r="35" spans="2:13" x14ac:dyDescent="0.25">
      <c r="B35" s="58"/>
      <c r="C35" s="14"/>
      <c r="D35" s="15"/>
      <c r="E35" s="15"/>
      <c r="F35" s="580"/>
      <c r="G35" s="422"/>
      <c r="H35" s="17" t="str">
        <f t="shared" si="0"/>
        <v/>
      </c>
      <c r="I35" s="18"/>
      <c r="J35" s="61"/>
      <c r="K35" s="399"/>
      <c r="L35" s="420" t="str">
        <f t="shared" si="3"/>
        <v/>
      </c>
      <c r="M35" s="401" t="str">
        <f t="shared" si="4"/>
        <v/>
      </c>
    </row>
    <row r="36" spans="2:13" ht="13" x14ac:dyDescent="0.25">
      <c r="B36" s="58" t="s">
        <v>39</v>
      </c>
      <c r="C36" s="14" t="s">
        <v>578</v>
      </c>
      <c r="D36" s="21" t="s">
        <v>512</v>
      </c>
      <c r="E36" s="21"/>
      <c r="F36" s="580">
        <f>Quantities!$S$16*0.2</f>
        <v>180.00000000000003</v>
      </c>
      <c r="G36" s="422">
        <v>75</v>
      </c>
      <c r="H36" s="17">
        <f t="shared" si="0"/>
        <v>13500.000000000002</v>
      </c>
      <c r="I36" s="57"/>
      <c r="J36" s="61" t="s">
        <v>996</v>
      </c>
      <c r="K36" s="606">
        <f>_Backfill</f>
        <v>51</v>
      </c>
      <c r="L36" s="420">
        <f t="shared" si="3"/>
        <v>9180.0000000000018</v>
      </c>
      <c r="M36" s="401">
        <f t="shared" si="4"/>
        <v>0.68</v>
      </c>
    </row>
    <row r="37" spans="2:13" x14ac:dyDescent="0.25">
      <c r="B37" s="58"/>
      <c r="C37" s="14"/>
      <c r="D37" s="15"/>
      <c r="E37" s="15"/>
      <c r="F37" s="647"/>
      <c r="G37" s="411"/>
      <c r="H37" s="743" t="str">
        <f t="shared" si="0"/>
        <v/>
      </c>
      <c r="I37" s="18"/>
      <c r="J37" s="61"/>
      <c r="K37" s="399"/>
      <c r="L37" s="420" t="str">
        <f t="shared" si="3"/>
        <v/>
      </c>
      <c r="M37" s="401" t="str">
        <f t="shared" si="4"/>
        <v/>
      </c>
    </row>
    <row r="38" spans="2:13" ht="50" x14ac:dyDescent="0.25">
      <c r="B38" s="58" t="s">
        <v>580</v>
      </c>
      <c r="C38" s="14" t="s">
        <v>579</v>
      </c>
      <c r="D38" s="15"/>
      <c r="E38" s="15"/>
      <c r="F38" s="580"/>
      <c r="G38" s="422"/>
      <c r="H38" s="17" t="str">
        <f t="shared" ref="H38:H40" si="8">IF(D38="","",F38*G38)</f>
        <v/>
      </c>
      <c r="I38" s="18"/>
      <c r="J38" s="61"/>
      <c r="K38" s="399"/>
      <c r="L38" s="420" t="str">
        <f t="shared" ref="L38:L40" si="9">IF(J38="","",F38*K38)</f>
        <v/>
      </c>
      <c r="M38" s="401" t="str">
        <f t="shared" ref="M38:M40" si="10">IF(J38="","",IF(SUM(H38)=0,"",L38/H38))</f>
        <v/>
      </c>
    </row>
    <row r="39" spans="2:13" x14ac:dyDescent="0.25">
      <c r="B39" s="58"/>
      <c r="C39" s="14"/>
      <c r="D39" s="15"/>
      <c r="E39" s="15"/>
      <c r="F39" s="580"/>
      <c r="G39" s="422"/>
      <c r="H39" s="17" t="str">
        <f t="shared" si="8"/>
        <v/>
      </c>
      <c r="I39" s="18"/>
      <c r="J39" s="61"/>
      <c r="K39" s="399"/>
      <c r="L39" s="420" t="str">
        <f t="shared" si="9"/>
        <v/>
      </c>
      <c r="M39" s="401" t="str">
        <f t="shared" si="10"/>
        <v/>
      </c>
    </row>
    <row r="40" spans="2:13" ht="13" x14ac:dyDescent="0.3">
      <c r="B40" s="58" t="s">
        <v>39</v>
      </c>
      <c r="C40" s="14" t="s">
        <v>578</v>
      </c>
      <c r="D40" s="15" t="s">
        <v>512</v>
      </c>
      <c r="E40" s="15"/>
      <c r="F40" s="580">
        <f>Quantities!$S$16*0.8</f>
        <v>720.00000000000011</v>
      </c>
      <c r="G40" s="422">
        <v>75</v>
      </c>
      <c r="H40" s="17">
        <f t="shared" si="8"/>
        <v>54000.000000000007</v>
      </c>
      <c r="I40" s="57"/>
      <c r="J40" s="61" t="s">
        <v>996</v>
      </c>
      <c r="K40" s="606">
        <f>_Backfill</f>
        <v>51</v>
      </c>
      <c r="L40" s="420">
        <f t="shared" si="9"/>
        <v>36720.000000000007</v>
      </c>
      <c r="M40" s="401">
        <f t="shared" si="10"/>
        <v>0.68</v>
      </c>
    </row>
    <row r="41" spans="2:13" x14ac:dyDescent="0.25">
      <c r="B41" s="58"/>
      <c r="C41" s="14"/>
      <c r="D41" s="15"/>
      <c r="E41" s="15"/>
      <c r="F41" s="647"/>
      <c r="G41" s="424"/>
      <c r="H41" s="743" t="str">
        <f t="shared" si="0"/>
        <v/>
      </c>
      <c r="I41" s="18"/>
      <c r="J41" s="61"/>
      <c r="K41" s="399"/>
      <c r="L41" s="420" t="str">
        <f t="shared" si="3"/>
        <v/>
      </c>
      <c r="M41" s="401" t="str">
        <f t="shared" si="4"/>
        <v/>
      </c>
    </row>
    <row r="42" spans="2:13" x14ac:dyDescent="0.25">
      <c r="B42" s="58"/>
      <c r="C42" s="14"/>
      <c r="D42" s="15"/>
      <c r="E42" s="15"/>
      <c r="F42" s="647"/>
      <c r="G42" s="424"/>
      <c r="H42" s="743" t="str">
        <f t="shared" si="0"/>
        <v/>
      </c>
      <c r="I42" s="18"/>
      <c r="J42" s="61"/>
      <c r="K42" s="399"/>
      <c r="L42" s="420" t="str">
        <f t="shared" si="3"/>
        <v/>
      </c>
      <c r="M42" s="401" t="str">
        <f t="shared" si="4"/>
        <v/>
      </c>
    </row>
    <row r="43" spans="2:13" x14ac:dyDescent="0.25">
      <c r="B43" s="58"/>
      <c r="C43" s="14"/>
      <c r="D43" s="15"/>
      <c r="E43" s="15"/>
      <c r="F43" s="580"/>
      <c r="G43" s="424"/>
      <c r="H43" s="743" t="str">
        <f t="shared" si="0"/>
        <v/>
      </c>
      <c r="I43" s="18"/>
      <c r="J43" s="61"/>
      <c r="K43" s="399"/>
      <c r="L43" s="420" t="str">
        <f t="shared" si="3"/>
        <v/>
      </c>
      <c r="M43" s="401" t="str">
        <f t="shared" si="4"/>
        <v/>
      </c>
    </row>
    <row r="44" spans="2:13" x14ac:dyDescent="0.25">
      <c r="B44" s="58"/>
      <c r="C44" s="14"/>
      <c r="D44" s="15"/>
      <c r="E44" s="15"/>
      <c r="F44" s="580"/>
      <c r="G44" s="424"/>
      <c r="H44" s="743" t="str">
        <f t="shared" si="0"/>
        <v/>
      </c>
      <c r="I44" s="18"/>
      <c r="J44" s="61"/>
      <c r="K44" s="399"/>
      <c r="L44" s="420" t="str">
        <f t="shared" si="3"/>
        <v/>
      </c>
      <c r="M44" s="401" t="str">
        <f t="shared" si="4"/>
        <v/>
      </c>
    </row>
    <row r="45" spans="2:13" x14ac:dyDescent="0.25">
      <c r="B45" s="58"/>
      <c r="C45" s="14"/>
      <c r="D45" s="15"/>
      <c r="E45" s="15"/>
      <c r="F45" s="580"/>
      <c r="G45" s="424"/>
      <c r="H45" s="743" t="str">
        <f t="shared" si="0"/>
        <v/>
      </c>
      <c r="I45" s="18"/>
      <c r="J45" s="61"/>
      <c r="K45" s="399"/>
      <c r="L45" s="420" t="str">
        <f t="shared" si="3"/>
        <v/>
      </c>
      <c r="M45" s="401" t="str">
        <f t="shared" si="4"/>
        <v/>
      </c>
    </row>
    <row r="46" spans="2:13" x14ac:dyDescent="0.25">
      <c r="B46" s="58"/>
      <c r="C46" s="14"/>
      <c r="D46" s="15"/>
      <c r="E46" s="15"/>
      <c r="F46" s="580"/>
      <c r="G46" s="424"/>
      <c r="H46" s="743" t="str">
        <f t="shared" si="0"/>
        <v/>
      </c>
      <c r="I46" s="18"/>
      <c r="J46" s="61"/>
      <c r="K46" s="399"/>
      <c r="L46" s="420" t="str">
        <f t="shared" si="3"/>
        <v/>
      </c>
      <c r="M46" s="401" t="str">
        <f t="shared" si="4"/>
        <v/>
      </c>
    </row>
    <row r="47" spans="2:13" x14ac:dyDescent="0.25">
      <c r="B47" s="58"/>
      <c r="C47" s="14"/>
      <c r="D47" s="15"/>
      <c r="E47" s="15"/>
      <c r="F47" s="580"/>
      <c r="G47" s="424"/>
      <c r="H47" s="743" t="str">
        <f t="shared" si="0"/>
        <v/>
      </c>
      <c r="I47" s="18"/>
      <c r="J47" s="61"/>
      <c r="K47" s="399"/>
      <c r="L47" s="420" t="str">
        <f t="shared" si="3"/>
        <v/>
      </c>
      <c r="M47" s="401" t="str">
        <f t="shared" si="4"/>
        <v/>
      </c>
    </row>
    <row r="48" spans="2:13" x14ac:dyDescent="0.25">
      <c r="B48" s="58"/>
      <c r="C48" s="14"/>
      <c r="D48" s="61"/>
      <c r="E48" s="61"/>
      <c r="F48" s="697"/>
      <c r="G48" s="424"/>
      <c r="H48" s="743" t="str">
        <f t="shared" si="0"/>
        <v/>
      </c>
      <c r="I48" s="63"/>
      <c r="J48" s="61"/>
      <c r="K48" s="402"/>
      <c r="L48" s="420" t="str">
        <f t="shared" si="3"/>
        <v/>
      </c>
      <c r="M48" s="401" t="str">
        <f t="shared" si="4"/>
        <v/>
      </c>
    </row>
    <row r="49" spans="2:13" x14ac:dyDescent="0.25">
      <c r="B49" s="58"/>
      <c r="C49" s="14"/>
      <c r="D49" s="15"/>
      <c r="E49" s="15"/>
      <c r="F49" s="580"/>
      <c r="G49" s="424"/>
      <c r="H49" s="743" t="str">
        <f t="shared" si="0"/>
        <v/>
      </c>
      <c r="I49" s="18"/>
      <c r="J49" s="61"/>
      <c r="K49" s="399"/>
      <c r="L49" s="420" t="str">
        <f t="shared" si="3"/>
        <v/>
      </c>
      <c r="M49" s="401" t="str">
        <f t="shared" si="4"/>
        <v/>
      </c>
    </row>
    <row r="50" spans="2:13" x14ac:dyDescent="0.25">
      <c r="B50" s="58"/>
      <c r="C50" s="25"/>
      <c r="D50" s="61"/>
      <c r="E50" s="61"/>
      <c r="F50" s="697"/>
      <c r="G50" s="424"/>
      <c r="H50" s="743" t="str">
        <f t="shared" si="0"/>
        <v/>
      </c>
      <c r="I50" s="69"/>
      <c r="J50" s="61"/>
      <c r="K50" s="402"/>
      <c r="L50" s="420" t="str">
        <f t="shared" si="3"/>
        <v/>
      </c>
      <c r="M50" s="401" t="str">
        <f t="shared" si="4"/>
        <v/>
      </c>
    </row>
    <row r="51" spans="2:13" x14ac:dyDescent="0.25">
      <c r="B51" s="58"/>
      <c r="C51" s="25"/>
      <c r="D51" s="61"/>
      <c r="E51" s="61"/>
      <c r="F51" s="697"/>
      <c r="G51" s="424"/>
      <c r="H51" s="743" t="str">
        <f t="shared" si="0"/>
        <v/>
      </c>
      <c r="I51" s="63"/>
      <c r="J51" s="61"/>
      <c r="K51" s="402"/>
      <c r="L51" s="420" t="str">
        <f t="shared" si="3"/>
        <v/>
      </c>
      <c r="M51" s="401" t="str">
        <f t="shared" si="4"/>
        <v/>
      </c>
    </row>
    <row r="52" spans="2:13" x14ac:dyDescent="0.25">
      <c r="B52" s="58"/>
      <c r="C52" s="14"/>
      <c r="D52" s="15"/>
      <c r="E52" s="15"/>
      <c r="F52" s="580"/>
      <c r="G52" s="424"/>
      <c r="H52" s="743" t="str">
        <f t="shared" si="0"/>
        <v/>
      </c>
      <c r="I52" s="18"/>
      <c r="J52" s="61"/>
      <c r="K52" s="399"/>
      <c r="L52" s="420" t="str">
        <f t="shared" si="3"/>
        <v/>
      </c>
      <c r="M52" s="401" t="str">
        <f t="shared" si="4"/>
        <v/>
      </c>
    </row>
    <row r="53" spans="2:13" x14ac:dyDescent="0.25">
      <c r="B53" s="58"/>
      <c r="C53" s="14"/>
      <c r="D53" s="15"/>
      <c r="E53" s="15"/>
      <c r="F53" s="580"/>
      <c r="G53" s="424"/>
      <c r="H53" s="743" t="str">
        <f t="shared" si="0"/>
        <v/>
      </c>
      <c r="I53" s="18"/>
      <c r="J53" s="61"/>
      <c r="K53" s="399"/>
      <c r="L53" s="420" t="str">
        <f t="shared" si="3"/>
        <v/>
      </c>
      <c r="M53" s="401" t="str">
        <f t="shared" si="4"/>
        <v/>
      </c>
    </row>
    <row r="54" spans="2:13" x14ac:dyDescent="0.25">
      <c r="B54" s="58"/>
      <c r="C54" s="14"/>
      <c r="D54" s="15"/>
      <c r="E54" s="15"/>
      <c r="F54" s="580"/>
      <c r="G54" s="424"/>
      <c r="H54" s="743" t="str">
        <f t="shared" si="0"/>
        <v/>
      </c>
      <c r="I54" s="18"/>
      <c r="J54" s="61"/>
      <c r="K54" s="399"/>
      <c r="L54" s="420" t="str">
        <f t="shared" si="3"/>
        <v/>
      </c>
      <c r="M54" s="401" t="str">
        <f t="shared" si="4"/>
        <v/>
      </c>
    </row>
    <row r="55" spans="2:13" x14ac:dyDescent="0.25">
      <c r="B55" s="58"/>
      <c r="C55" s="14"/>
      <c r="D55" s="15"/>
      <c r="E55" s="15"/>
      <c r="F55" s="580"/>
      <c r="G55" s="424"/>
      <c r="H55" s="743" t="str">
        <f t="shared" si="0"/>
        <v/>
      </c>
      <c r="I55" s="18"/>
      <c r="J55" s="61"/>
      <c r="K55" s="399"/>
      <c r="L55" s="420" t="str">
        <f t="shared" si="3"/>
        <v/>
      </c>
      <c r="M55" s="401" t="str">
        <f t="shared" si="4"/>
        <v/>
      </c>
    </row>
    <row r="56" spans="2:13" x14ac:dyDescent="0.25">
      <c r="B56" s="58"/>
      <c r="C56" s="14"/>
      <c r="D56" s="15"/>
      <c r="E56" s="15"/>
      <c r="F56" s="580"/>
      <c r="G56" s="411"/>
      <c r="H56" s="743" t="str">
        <f t="shared" si="0"/>
        <v/>
      </c>
      <c r="I56" s="18"/>
      <c r="J56" s="62"/>
      <c r="K56" s="62"/>
      <c r="L56" s="420" t="str">
        <f t="shared" si="3"/>
        <v/>
      </c>
      <c r="M56" s="401" t="str">
        <f t="shared" si="4"/>
        <v/>
      </c>
    </row>
    <row r="57" spans="2:13" x14ac:dyDescent="0.25">
      <c r="B57" s="58"/>
      <c r="C57" s="14"/>
      <c r="D57" s="15"/>
      <c r="E57" s="15"/>
      <c r="F57" s="580"/>
      <c r="G57" s="411"/>
      <c r="H57" s="743" t="str">
        <f t="shared" si="0"/>
        <v/>
      </c>
      <c r="I57" s="63"/>
      <c r="J57" s="61"/>
      <c r="K57" s="62"/>
      <c r="L57" s="420" t="str">
        <f t="shared" si="3"/>
        <v/>
      </c>
      <c r="M57" s="401" t="str">
        <f t="shared" si="4"/>
        <v/>
      </c>
    </row>
    <row r="58" spans="2:13" x14ac:dyDescent="0.25">
      <c r="B58" s="58"/>
      <c r="C58" s="134"/>
      <c r="D58" s="15"/>
      <c r="E58" s="15"/>
      <c r="F58" s="580"/>
      <c r="G58" s="411"/>
      <c r="H58" s="743" t="str">
        <f t="shared" si="0"/>
        <v/>
      </c>
      <c r="I58" s="63"/>
      <c r="J58" s="61"/>
      <c r="K58" s="62"/>
      <c r="L58" s="420" t="str">
        <f t="shared" si="3"/>
        <v/>
      </c>
      <c r="M58" s="401" t="str">
        <f t="shared" si="4"/>
        <v/>
      </c>
    </row>
    <row r="59" spans="2:13" x14ac:dyDescent="0.25">
      <c r="B59" s="58"/>
      <c r="C59" s="134"/>
      <c r="D59" s="15"/>
      <c r="E59" s="15"/>
      <c r="F59" s="580"/>
      <c r="G59" s="411"/>
      <c r="H59" s="743" t="str">
        <f t="shared" si="0"/>
        <v/>
      </c>
      <c r="I59" s="63"/>
      <c r="J59" s="61"/>
      <c r="K59" s="62"/>
      <c r="L59" s="420" t="str">
        <f t="shared" si="3"/>
        <v/>
      </c>
      <c r="M59" s="401" t="str">
        <f t="shared" si="4"/>
        <v/>
      </c>
    </row>
    <row r="60" spans="2:13" x14ac:dyDescent="0.25">
      <c r="B60" s="58"/>
      <c r="C60" s="134"/>
      <c r="D60" s="15"/>
      <c r="E60" s="15"/>
      <c r="F60" s="580"/>
      <c r="G60" s="411"/>
      <c r="H60" s="743" t="str">
        <f t="shared" si="0"/>
        <v/>
      </c>
      <c r="I60" s="63"/>
      <c r="J60" s="61"/>
      <c r="K60" s="62"/>
      <c r="L60" s="420" t="str">
        <f t="shared" si="3"/>
        <v/>
      </c>
      <c r="M60" s="401" t="str">
        <f t="shared" si="4"/>
        <v/>
      </c>
    </row>
    <row r="61" spans="2:13" x14ac:dyDescent="0.25">
      <c r="B61" s="58"/>
      <c r="C61" s="134"/>
      <c r="D61" s="15"/>
      <c r="E61" s="15"/>
      <c r="F61" s="580"/>
      <c r="G61" s="411"/>
      <c r="H61" s="743" t="str">
        <f t="shared" si="0"/>
        <v/>
      </c>
      <c r="I61" s="63"/>
      <c r="J61" s="61"/>
      <c r="K61" s="62"/>
      <c r="L61" s="420" t="str">
        <f t="shared" si="3"/>
        <v/>
      </c>
      <c r="M61" s="401" t="str">
        <f t="shared" si="4"/>
        <v/>
      </c>
    </row>
    <row r="62" spans="2:13" x14ac:dyDescent="0.25">
      <c r="B62" s="58"/>
      <c r="C62" s="134"/>
      <c r="D62" s="15"/>
      <c r="E62" s="15"/>
      <c r="F62" s="580"/>
      <c r="G62" s="411"/>
      <c r="H62" s="743" t="str">
        <f t="shared" si="0"/>
        <v/>
      </c>
      <c r="I62" s="63"/>
      <c r="J62" s="61"/>
      <c r="K62" s="62"/>
      <c r="L62" s="420" t="str">
        <f t="shared" si="3"/>
        <v/>
      </c>
      <c r="M62" s="401" t="str">
        <f t="shared" si="4"/>
        <v/>
      </c>
    </row>
    <row r="63" spans="2:13" x14ac:dyDescent="0.25">
      <c r="B63" s="58"/>
      <c r="C63" s="134"/>
      <c r="D63" s="15"/>
      <c r="E63" s="15"/>
      <c r="F63" s="580"/>
      <c r="G63" s="411"/>
      <c r="H63" s="743" t="str">
        <f t="shared" si="0"/>
        <v/>
      </c>
      <c r="I63" s="63"/>
      <c r="J63" s="61"/>
      <c r="K63" s="62"/>
      <c r="L63" s="420" t="str">
        <f t="shared" si="3"/>
        <v/>
      </c>
      <c r="M63" s="401" t="str">
        <f t="shared" si="4"/>
        <v/>
      </c>
    </row>
    <row r="64" spans="2:13" x14ac:dyDescent="0.25">
      <c r="B64" s="58"/>
      <c r="C64" s="134"/>
      <c r="D64" s="15"/>
      <c r="E64" s="15"/>
      <c r="F64" s="580"/>
      <c r="G64" s="411"/>
      <c r="H64" s="743" t="str">
        <f t="shared" si="0"/>
        <v/>
      </c>
      <c r="I64" s="63"/>
      <c r="J64" s="61"/>
      <c r="K64" s="62"/>
      <c r="L64" s="420" t="str">
        <f t="shared" si="3"/>
        <v/>
      </c>
      <c r="M64" s="401" t="str">
        <f t="shared" si="4"/>
        <v/>
      </c>
    </row>
    <row r="65" spans="2:13" x14ac:dyDescent="0.25">
      <c r="B65" s="58"/>
      <c r="C65" s="134"/>
      <c r="D65" s="15"/>
      <c r="E65" s="15"/>
      <c r="F65" s="580"/>
      <c r="G65" s="411"/>
      <c r="H65" s="743" t="str">
        <f t="shared" si="0"/>
        <v/>
      </c>
      <c r="I65" s="63"/>
      <c r="J65" s="61"/>
      <c r="K65" s="62"/>
      <c r="L65" s="420" t="str">
        <f t="shared" si="3"/>
        <v/>
      </c>
      <c r="M65" s="401" t="str">
        <f t="shared" si="4"/>
        <v/>
      </c>
    </row>
    <row r="66" spans="2:13" x14ac:dyDescent="0.25">
      <c r="B66" s="58"/>
      <c r="C66" s="134"/>
      <c r="D66" s="15"/>
      <c r="E66" s="15"/>
      <c r="F66" s="580"/>
      <c r="G66" s="411"/>
      <c r="H66" s="743" t="str">
        <f t="shared" si="0"/>
        <v/>
      </c>
      <c r="I66" s="63"/>
      <c r="J66" s="61"/>
      <c r="K66" s="62"/>
      <c r="L66" s="420" t="str">
        <f t="shared" si="3"/>
        <v/>
      </c>
      <c r="M66" s="401" t="str">
        <f t="shared" si="4"/>
        <v/>
      </c>
    </row>
    <row r="67" spans="2:13" x14ac:dyDescent="0.25">
      <c r="B67" s="58"/>
      <c r="C67" s="134"/>
      <c r="D67" s="15"/>
      <c r="E67" s="15"/>
      <c r="F67" s="580"/>
      <c r="G67" s="411"/>
      <c r="H67" s="743" t="str">
        <f t="shared" si="0"/>
        <v/>
      </c>
      <c r="I67" s="63"/>
      <c r="J67" s="61"/>
      <c r="K67" s="62"/>
      <c r="L67" s="420" t="str">
        <f t="shared" si="3"/>
        <v/>
      </c>
      <c r="M67" s="401" t="str">
        <f t="shared" si="4"/>
        <v/>
      </c>
    </row>
    <row r="68" spans="2:13" x14ac:dyDescent="0.25">
      <c r="B68" s="58"/>
      <c r="C68" s="134"/>
      <c r="D68" s="15"/>
      <c r="E68" s="15"/>
      <c r="F68" s="580"/>
      <c r="G68" s="411"/>
      <c r="H68" s="743" t="str">
        <f t="shared" si="0"/>
        <v/>
      </c>
      <c r="I68" s="63"/>
      <c r="J68" s="61"/>
      <c r="K68" s="62"/>
      <c r="L68" s="420" t="str">
        <f t="shared" si="3"/>
        <v/>
      </c>
      <c r="M68" s="401" t="str">
        <f t="shared" si="4"/>
        <v/>
      </c>
    </row>
    <row r="69" spans="2:13" x14ac:dyDescent="0.25">
      <c r="B69" s="58"/>
      <c r="C69" s="134"/>
      <c r="D69" s="15"/>
      <c r="E69" s="15"/>
      <c r="F69" s="580"/>
      <c r="G69" s="411"/>
      <c r="H69" s="743" t="str">
        <f t="shared" si="0"/>
        <v/>
      </c>
      <c r="I69" s="63"/>
      <c r="J69" s="61"/>
      <c r="K69" s="62"/>
      <c r="L69" s="420" t="str">
        <f t="shared" si="3"/>
        <v/>
      </c>
      <c r="M69" s="401" t="str">
        <f t="shared" si="4"/>
        <v/>
      </c>
    </row>
    <row r="70" spans="2:13" x14ac:dyDescent="0.25">
      <c r="B70" s="58"/>
      <c r="C70" s="25"/>
      <c r="D70" s="15"/>
      <c r="E70" s="15"/>
      <c r="F70" s="580"/>
      <c r="G70" s="411"/>
      <c r="H70" s="17" t="str">
        <f t="shared" si="0"/>
        <v/>
      </c>
      <c r="I70" s="63"/>
      <c r="J70" s="61"/>
      <c r="K70" s="62"/>
      <c r="L70" s="420" t="str">
        <f t="shared" si="3"/>
        <v/>
      </c>
      <c r="M70" s="401" t="str">
        <f t="shared" si="4"/>
        <v/>
      </c>
    </row>
    <row r="71" spans="2:13" x14ac:dyDescent="0.25">
      <c r="B71" s="58"/>
      <c r="C71" s="14"/>
      <c r="D71" s="15"/>
      <c r="E71" s="15"/>
      <c r="F71" s="24"/>
      <c r="G71" s="411"/>
      <c r="H71" s="17" t="str">
        <f t="shared" si="0"/>
        <v/>
      </c>
      <c r="I71" s="63"/>
      <c r="J71" s="61"/>
      <c r="K71" s="696"/>
      <c r="L71" s="420" t="str">
        <f t="shared" si="3"/>
        <v/>
      </c>
      <c r="M71" s="401" t="str">
        <f t="shared" si="4"/>
        <v/>
      </c>
    </row>
    <row r="72" spans="2:13" s="28" customFormat="1" ht="20.149999999999999" customHeight="1" x14ac:dyDescent="0.25">
      <c r="B72" s="135" t="str">
        <f>$B$12</f>
        <v>C2.1</v>
      </c>
      <c r="C72" s="498" t="str">
        <f>"TOTAL CARRIED FORWARD"&amp;IF(H72=H$1," TO SUMMARY","")</f>
        <v>TOTAL CARRIED FORWARD TO SUMMARY</v>
      </c>
      <c r="D72" s="31"/>
      <c r="E72" s="31"/>
      <c r="F72" s="32"/>
      <c r="G72" s="31"/>
      <c r="H72" s="33">
        <f>SUM(H11:H71)</f>
        <v>289800.00000000006</v>
      </c>
      <c r="I72" s="34"/>
      <c r="J72" s="408"/>
      <c r="K72" s="406"/>
      <c r="L72" s="418">
        <f>SUM(L11:L71)</f>
        <v>117855.00000000003</v>
      </c>
      <c r="M72" s="407" t="str">
        <f t="shared" si="2"/>
        <v/>
      </c>
    </row>
    <row r="73" spans="2:13" ht="13" x14ac:dyDescent="0.25">
      <c r="B73" s="1108" t="str">
        <f>Client1</f>
        <v>Province of KwaZulu-Natal</v>
      </c>
      <c r="C73" s="1108"/>
      <c r="D73" s="1108"/>
      <c r="E73" s="87"/>
      <c r="F73" s="1109" t="str">
        <f>"Contract No. "&amp;ContractNo</f>
        <v>Contract No. ZNB 00399/00000/HOD/INF/21/T</v>
      </c>
      <c r="G73" s="1109"/>
      <c r="H73" s="1109"/>
    </row>
    <row r="74" spans="2:13" ht="13" x14ac:dyDescent="0.25">
      <c r="B74" s="1108" t="str">
        <f>Client2</f>
        <v>Department of Transport</v>
      </c>
      <c r="C74" s="1108"/>
      <c r="D74" s="1108"/>
      <c r="E74" s="87"/>
      <c r="F74" s="1109"/>
      <c r="G74" s="1109"/>
      <c r="H74" s="1109"/>
    </row>
    <row r="75" spans="2:13" x14ac:dyDescent="0.25">
      <c r="B75" s="1111"/>
      <c r="C75" s="1111"/>
      <c r="D75" s="1111"/>
      <c r="E75" s="78"/>
      <c r="F75" s="1110"/>
      <c r="G75" s="1110"/>
      <c r="H75" s="1110"/>
    </row>
    <row r="76" spans="2:13" ht="13" x14ac:dyDescent="0.25">
      <c r="B76" s="1112" t="s">
        <v>8</v>
      </c>
      <c r="C76" s="1113"/>
      <c r="D76" s="1113"/>
      <c r="E76" s="1113"/>
      <c r="F76" s="1113"/>
      <c r="G76" s="1113"/>
      <c r="H76" s="1114" t="str">
        <f>$H$6</f>
        <v>CHAPTER C2.1</v>
      </c>
      <c r="I76" s="6"/>
    </row>
    <row r="77" spans="2:13" ht="13" x14ac:dyDescent="0.25">
      <c r="B77" s="1117" t="str">
        <f>ContractDescription</f>
        <v>THE CONSTRUCTION OF EARTHWORKS, LAYERWORKS, SURFACING, CULVERTS AND CWAKA RIVER BRIDGE FROM KM 11.600 TO KM 14.000 ON MAIN ROAD P494 IN THE KING CETSHWAYO DISTRICT UNDER EMPANGENI REGION</v>
      </c>
      <c r="C77" s="1118"/>
      <c r="D77" s="1118"/>
      <c r="E77" s="1118"/>
      <c r="F77" s="1118"/>
      <c r="G77" s="1118"/>
      <c r="H77" s="1115"/>
      <c r="I77" s="8"/>
    </row>
    <row r="78" spans="2:13" ht="13" x14ac:dyDescent="0.25">
      <c r="B78" s="1117"/>
      <c r="C78" s="1118"/>
      <c r="D78" s="1118"/>
      <c r="E78" s="1118"/>
      <c r="F78" s="1118"/>
      <c r="G78" s="1118"/>
      <c r="H78" s="1115"/>
      <c r="I78" s="8"/>
    </row>
    <row r="79" spans="2:13" ht="13" x14ac:dyDescent="0.25">
      <c r="B79" s="1119"/>
      <c r="C79" s="1120"/>
      <c r="D79" s="1120"/>
      <c r="E79" s="1120"/>
      <c r="F79" s="1120"/>
      <c r="G79" s="1120"/>
      <c r="H79" s="1116"/>
      <c r="I79" s="8"/>
    </row>
    <row r="80" spans="2:13" s="9" customFormat="1" ht="25" customHeight="1" x14ac:dyDescent="0.25">
      <c r="B80" s="74" t="s">
        <v>0</v>
      </c>
      <c r="C80" s="11" t="s">
        <v>1</v>
      </c>
      <c r="D80" s="11" t="s">
        <v>2</v>
      </c>
      <c r="E80" s="11"/>
      <c r="F80" s="11" t="s">
        <v>3</v>
      </c>
      <c r="G80" s="11" t="s">
        <v>4</v>
      </c>
      <c r="H80" s="11" t="s">
        <v>5</v>
      </c>
      <c r="I80" s="12"/>
      <c r="J80" s="408" t="s">
        <v>996</v>
      </c>
      <c r="K80" s="253" t="s">
        <v>997</v>
      </c>
      <c r="L80" s="253" t="s">
        <v>998</v>
      </c>
      <c r="M80" s="253" t="s">
        <v>999</v>
      </c>
    </row>
    <row r="81" spans="2:13" s="28" customFormat="1" ht="20.149999999999999" customHeight="1" x14ac:dyDescent="0.25">
      <c r="B81" s="80"/>
      <c r="C81" s="30" t="s">
        <v>27</v>
      </c>
      <c r="D81" s="31"/>
      <c r="E81" s="31"/>
      <c r="F81" s="32"/>
      <c r="G81" s="31"/>
      <c r="H81" s="33">
        <f>H72</f>
        <v>289800.00000000006</v>
      </c>
      <c r="I81" s="34"/>
      <c r="J81" s="416"/>
      <c r="K81" s="409"/>
      <c r="L81" s="419">
        <f>L72</f>
        <v>117855.00000000003</v>
      </c>
      <c r="M81" s="410" t="str">
        <f>IF(F81="","",IF(SUM(I81)=0,"",L81/I81))</f>
        <v/>
      </c>
    </row>
    <row r="82" spans="2:13" x14ac:dyDescent="0.25">
      <c r="B82" s="58"/>
      <c r="C82" s="134"/>
      <c r="D82" s="15"/>
      <c r="E82" s="15"/>
      <c r="F82" s="24"/>
      <c r="G82" s="411"/>
      <c r="H82" s="17" t="str">
        <f t="shared" ref="H82:H129" si="11">IF(D82="","",F82*G82)</f>
        <v/>
      </c>
      <c r="I82" s="63"/>
      <c r="J82" s="61"/>
      <c r="K82" s="399"/>
      <c r="L82" s="420" t="str">
        <f t="shared" ref="L82:L132" si="12">IF(J82="","",F82*K82)</f>
        <v/>
      </c>
      <c r="M82" s="401" t="str">
        <f t="shared" ref="M82:M133" si="13">IF(J82="","",IF(SUM(H82)=0,"",L82/H82))</f>
        <v/>
      </c>
    </row>
    <row r="83" spans="2:13" x14ac:dyDescent="0.25">
      <c r="B83" s="58"/>
      <c r="C83" s="26"/>
      <c r="D83" s="15"/>
      <c r="E83" s="15"/>
      <c r="F83" s="24"/>
      <c r="G83" s="421"/>
      <c r="H83" s="17" t="str">
        <f t="shared" si="11"/>
        <v/>
      </c>
      <c r="I83" s="63"/>
      <c r="J83" s="61"/>
      <c r="K83" s="399"/>
      <c r="L83" s="420" t="str">
        <f t="shared" si="12"/>
        <v/>
      </c>
      <c r="M83" s="401" t="str">
        <f t="shared" si="13"/>
        <v/>
      </c>
    </row>
    <row r="84" spans="2:13" x14ac:dyDescent="0.25">
      <c r="B84" s="58"/>
      <c r="C84" s="14"/>
      <c r="D84" s="15"/>
      <c r="E84" s="15"/>
      <c r="F84" s="24"/>
      <c r="G84" s="421"/>
      <c r="H84" s="17" t="str">
        <f t="shared" si="11"/>
        <v/>
      </c>
      <c r="I84" s="63"/>
      <c r="J84" s="61"/>
      <c r="K84" s="399"/>
      <c r="L84" s="420" t="str">
        <f t="shared" si="12"/>
        <v/>
      </c>
      <c r="M84" s="401" t="str">
        <f t="shared" si="13"/>
        <v/>
      </c>
    </row>
    <row r="85" spans="2:13" x14ac:dyDescent="0.25">
      <c r="B85" s="58"/>
      <c r="C85" s="14"/>
      <c r="D85" s="15"/>
      <c r="E85" s="15"/>
      <c r="F85" s="24"/>
      <c r="G85" s="422"/>
      <c r="H85" s="17" t="str">
        <f t="shared" si="11"/>
        <v/>
      </c>
      <c r="I85" s="63"/>
      <c r="J85" s="61"/>
      <c r="K85" s="399"/>
      <c r="L85" s="420" t="str">
        <f t="shared" si="12"/>
        <v/>
      </c>
      <c r="M85" s="401" t="str">
        <f t="shared" si="13"/>
        <v/>
      </c>
    </row>
    <row r="86" spans="2:13" x14ac:dyDescent="0.25">
      <c r="B86" s="58"/>
      <c r="C86" s="14"/>
      <c r="D86" s="15"/>
      <c r="E86" s="15"/>
      <c r="F86" s="24"/>
      <c r="G86" s="421"/>
      <c r="H86" s="17" t="str">
        <f t="shared" si="11"/>
        <v/>
      </c>
      <c r="I86" s="63"/>
      <c r="J86" s="61"/>
      <c r="K86" s="400"/>
      <c r="L86" s="420" t="str">
        <f t="shared" si="12"/>
        <v/>
      </c>
      <c r="M86" s="401" t="str">
        <f t="shared" si="13"/>
        <v/>
      </c>
    </row>
    <row r="87" spans="2:13" x14ac:dyDescent="0.25">
      <c r="B87" s="58"/>
      <c r="C87" s="14"/>
      <c r="D87" s="15"/>
      <c r="E87" s="15"/>
      <c r="F87" s="24"/>
      <c r="G87" s="423"/>
      <c r="H87" s="17" t="str">
        <f t="shared" si="11"/>
        <v/>
      </c>
      <c r="I87" s="63"/>
      <c r="J87" s="61"/>
      <c r="K87" s="399"/>
      <c r="L87" s="420" t="str">
        <f t="shared" si="12"/>
        <v/>
      </c>
      <c r="M87" s="401" t="str">
        <f t="shared" si="13"/>
        <v/>
      </c>
    </row>
    <row r="88" spans="2:13" x14ac:dyDescent="0.25">
      <c r="B88" s="58"/>
      <c r="C88" s="14"/>
      <c r="D88" s="15"/>
      <c r="E88" s="15"/>
      <c r="F88" s="24"/>
      <c r="G88" s="421"/>
      <c r="H88" s="17" t="str">
        <f t="shared" si="11"/>
        <v/>
      </c>
      <c r="I88" s="63"/>
      <c r="J88" s="61"/>
      <c r="K88" s="399"/>
      <c r="L88" s="420" t="str">
        <f t="shared" si="12"/>
        <v/>
      </c>
      <c r="M88" s="401" t="str">
        <f t="shared" si="13"/>
        <v/>
      </c>
    </row>
    <row r="89" spans="2:13" x14ac:dyDescent="0.25">
      <c r="B89" s="58"/>
      <c r="C89" s="14"/>
      <c r="D89" s="15"/>
      <c r="E89" s="15"/>
      <c r="F89" s="24"/>
      <c r="G89" s="411"/>
      <c r="H89" s="17" t="str">
        <f t="shared" si="11"/>
        <v/>
      </c>
      <c r="I89" s="63"/>
      <c r="J89" s="61"/>
      <c r="K89" s="399"/>
      <c r="L89" s="420" t="str">
        <f t="shared" si="12"/>
        <v/>
      </c>
      <c r="M89" s="401" t="str">
        <f t="shared" si="13"/>
        <v/>
      </c>
    </row>
    <row r="90" spans="2:13" x14ac:dyDescent="0.25">
      <c r="B90" s="58"/>
      <c r="C90" s="14"/>
      <c r="D90" s="15"/>
      <c r="E90" s="15"/>
      <c r="F90" s="24"/>
      <c r="G90" s="411"/>
      <c r="H90" s="17" t="str">
        <f t="shared" si="11"/>
        <v/>
      </c>
      <c r="I90" s="63"/>
      <c r="J90" s="61"/>
      <c r="K90" s="402"/>
      <c r="L90" s="420" t="str">
        <f t="shared" si="12"/>
        <v/>
      </c>
      <c r="M90" s="401" t="str">
        <f t="shared" si="13"/>
        <v/>
      </c>
    </row>
    <row r="91" spans="2:13" x14ac:dyDescent="0.25">
      <c r="B91" s="58"/>
      <c r="C91" s="14"/>
      <c r="D91" s="15"/>
      <c r="E91" s="15"/>
      <c r="F91" s="24"/>
      <c r="G91" s="425"/>
      <c r="H91" s="17" t="str">
        <f t="shared" si="11"/>
        <v/>
      </c>
      <c r="I91" s="63"/>
      <c r="J91" s="61"/>
      <c r="K91" s="402"/>
      <c r="L91" s="420" t="str">
        <f t="shared" si="12"/>
        <v/>
      </c>
      <c r="M91" s="401" t="str">
        <f t="shared" si="13"/>
        <v/>
      </c>
    </row>
    <row r="92" spans="2:13" x14ac:dyDescent="0.25">
      <c r="B92" s="58"/>
      <c r="C92" s="14"/>
      <c r="D92" s="15"/>
      <c r="E92" s="15"/>
      <c r="F92" s="24"/>
      <c r="G92" s="422"/>
      <c r="H92" s="17" t="str">
        <f t="shared" si="11"/>
        <v/>
      </c>
      <c r="I92" s="63"/>
      <c r="J92" s="61"/>
      <c r="K92" s="402"/>
      <c r="L92" s="420" t="str">
        <f t="shared" si="12"/>
        <v/>
      </c>
      <c r="M92" s="401" t="str">
        <f t="shared" si="13"/>
        <v/>
      </c>
    </row>
    <row r="93" spans="2:13" x14ac:dyDescent="0.25">
      <c r="B93" s="58"/>
      <c r="C93" s="14"/>
      <c r="D93" s="15"/>
      <c r="E93" s="15"/>
      <c r="F93" s="24"/>
      <c r="G93" s="423"/>
      <c r="H93" s="17" t="str">
        <f t="shared" si="11"/>
        <v/>
      </c>
      <c r="I93" s="63"/>
      <c r="J93" s="61"/>
      <c r="K93" s="402"/>
      <c r="L93" s="420" t="str">
        <f t="shared" si="12"/>
        <v/>
      </c>
      <c r="M93" s="401" t="str">
        <f t="shared" si="13"/>
        <v/>
      </c>
    </row>
    <row r="94" spans="2:13" x14ac:dyDescent="0.25">
      <c r="B94" s="58"/>
      <c r="C94" s="14"/>
      <c r="D94" s="15"/>
      <c r="E94" s="15"/>
      <c r="F94" s="24"/>
      <c r="G94" s="411"/>
      <c r="H94" s="17" t="str">
        <f t="shared" si="11"/>
        <v/>
      </c>
      <c r="I94" s="63"/>
      <c r="J94" s="61"/>
      <c r="K94" s="402"/>
      <c r="L94" s="420" t="str">
        <f t="shared" si="12"/>
        <v/>
      </c>
      <c r="M94" s="401" t="str">
        <f t="shared" si="13"/>
        <v/>
      </c>
    </row>
    <row r="95" spans="2:13" x14ac:dyDescent="0.25">
      <c r="B95" s="58"/>
      <c r="C95" s="14"/>
      <c r="D95" s="15"/>
      <c r="E95" s="15"/>
      <c r="F95" s="24"/>
      <c r="G95" s="411"/>
      <c r="H95" s="17" t="str">
        <f t="shared" si="11"/>
        <v/>
      </c>
      <c r="I95" s="63"/>
      <c r="J95" s="61"/>
      <c r="K95" s="402"/>
      <c r="L95" s="420" t="str">
        <f t="shared" si="12"/>
        <v/>
      </c>
      <c r="M95" s="401" t="str">
        <f t="shared" si="13"/>
        <v/>
      </c>
    </row>
    <row r="96" spans="2:13" x14ac:dyDescent="0.25">
      <c r="B96" s="58"/>
      <c r="C96" s="14"/>
      <c r="D96" s="15"/>
      <c r="E96" s="15"/>
      <c r="F96" s="24"/>
      <c r="G96" s="411"/>
      <c r="H96" s="17" t="str">
        <f t="shared" si="11"/>
        <v/>
      </c>
      <c r="I96" s="63"/>
      <c r="J96" s="61"/>
      <c r="K96" s="399"/>
      <c r="L96" s="420" t="str">
        <f t="shared" si="12"/>
        <v/>
      </c>
      <c r="M96" s="401" t="str">
        <f t="shared" si="13"/>
        <v/>
      </c>
    </row>
    <row r="97" spans="2:13" x14ac:dyDescent="0.25">
      <c r="B97" s="58"/>
      <c r="C97" s="14"/>
      <c r="D97" s="15"/>
      <c r="E97" s="15"/>
      <c r="F97" s="24"/>
      <c r="G97" s="422"/>
      <c r="H97" s="17" t="str">
        <f t="shared" si="11"/>
        <v/>
      </c>
      <c r="I97" s="63"/>
      <c r="J97" s="61"/>
      <c r="K97" s="399"/>
      <c r="L97" s="420" t="str">
        <f t="shared" si="12"/>
        <v/>
      </c>
      <c r="M97" s="401" t="str">
        <f t="shared" si="13"/>
        <v/>
      </c>
    </row>
    <row r="98" spans="2:13" x14ac:dyDescent="0.25">
      <c r="B98" s="58"/>
      <c r="C98" s="14"/>
      <c r="D98" s="15"/>
      <c r="E98" s="15"/>
      <c r="F98" s="24"/>
      <c r="G98" s="411"/>
      <c r="H98" s="17" t="str">
        <f t="shared" si="11"/>
        <v/>
      </c>
      <c r="I98" s="63"/>
      <c r="J98" s="61"/>
      <c r="K98" s="400"/>
      <c r="L98" s="420" t="str">
        <f t="shared" si="12"/>
        <v/>
      </c>
      <c r="M98" s="401" t="str">
        <f t="shared" si="13"/>
        <v/>
      </c>
    </row>
    <row r="99" spans="2:13" x14ac:dyDescent="0.25">
      <c r="B99" s="58"/>
      <c r="C99" s="14"/>
      <c r="D99" s="15"/>
      <c r="E99" s="15"/>
      <c r="F99" s="24"/>
      <c r="G99" s="423"/>
      <c r="H99" s="17" t="str">
        <f t="shared" si="11"/>
        <v/>
      </c>
      <c r="I99" s="63"/>
      <c r="J99" s="61"/>
      <c r="K99" s="399"/>
      <c r="L99" s="420" t="str">
        <f t="shared" si="12"/>
        <v/>
      </c>
      <c r="M99" s="401" t="str">
        <f t="shared" si="13"/>
        <v/>
      </c>
    </row>
    <row r="100" spans="2:13" x14ac:dyDescent="0.25">
      <c r="B100" s="58"/>
      <c r="C100" s="14"/>
      <c r="D100" s="15"/>
      <c r="E100" s="15"/>
      <c r="F100" s="15"/>
      <c r="G100" s="411"/>
      <c r="H100" s="17" t="str">
        <f t="shared" si="11"/>
        <v/>
      </c>
      <c r="I100" s="63"/>
      <c r="J100" s="61"/>
      <c r="K100" s="399"/>
      <c r="L100" s="420" t="str">
        <f t="shared" si="12"/>
        <v/>
      </c>
      <c r="M100" s="401" t="str">
        <f t="shared" si="13"/>
        <v/>
      </c>
    </row>
    <row r="101" spans="2:13" x14ac:dyDescent="0.25">
      <c r="B101" s="58"/>
      <c r="C101" s="25"/>
      <c r="D101" s="61"/>
      <c r="E101" s="61"/>
      <c r="F101" s="15"/>
      <c r="G101" s="422"/>
      <c r="H101" s="17" t="str">
        <f t="shared" si="11"/>
        <v/>
      </c>
      <c r="I101" s="63"/>
      <c r="J101" s="61"/>
      <c r="K101" s="399"/>
      <c r="L101" s="420" t="str">
        <f t="shared" si="12"/>
        <v/>
      </c>
      <c r="M101" s="401" t="str">
        <f t="shared" si="13"/>
        <v/>
      </c>
    </row>
    <row r="102" spans="2:13" x14ac:dyDescent="0.25">
      <c r="B102" s="58"/>
      <c r="C102" s="25"/>
      <c r="D102" s="61"/>
      <c r="E102" s="61"/>
      <c r="F102" s="15"/>
      <c r="G102" s="422"/>
      <c r="H102" s="17" t="str">
        <f t="shared" si="11"/>
        <v/>
      </c>
      <c r="I102" s="63"/>
      <c r="J102" s="61"/>
      <c r="K102" s="399"/>
      <c r="L102" s="420" t="str">
        <f t="shared" si="12"/>
        <v/>
      </c>
      <c r="M102" s="401" t="str">
        <f t="shared" si="13"/>
        <v/>
      </c>
    </row>
    <row r="103" spans="2:13" x14ac:dyDescent="0.25">
      <c r="B103" s="58"/>
      <c r="C103" s="14"/>
      <c r="D103" s="15"/>
      <c r="E103" s="15"/>
      <c r="F103" s="578"/>
      <c r="G103" s="422"/>
      <c r="H103" s="17" t="str">
        <f t="shared" si="11"/>
        <v/>
      </c>
      <c r="I103" s="63"/>
      <c r="J103" s="61"/>
      <c r="K103" s="399"/>
      <c r="L103" s="420" t="str">
        <f t="shared" si="12"/>
        <v/>
      </c>
      <c r="M103" s="401" t="str">
        <f t="shared" si="13"/>
        <v/>
      </c>
    </row>
    <row r="104" spans="2:13" x14ac:dyDescent="0.25">
      <c r="B104" s="58"/>
      <c r="C104" s="14"/>
      <c r="D104" s="15"/>
      <c r="E104" s="15"/>
      <c r="F104" s="15"/>
      <c r="G104" s="422"/>
      <c r="H104" s="17" t="str">
        <f t="shared" si="11"/>
        <v/>
      </c>
      <c r="I104" s="63"/>
      <c r="J104" s="61"/>
      <c r="K104" s="400"/>
      <c r="L104" s="420" t="str">
        <f t="shared" si="12"/>
        <v/>
      </c>
      <c r="M104" s="401" t="str">
        <f t="shared" si="13"/>
        <v/>
      </c>
    </row>
    <row r="105" spans="2:13" x14ac:dyDescent="0.25">
      <c r="B105" s="58"/>
      <c r="C105" s="14"/>
      <c r="D105" s="15"/>
      <c r="E105" s="15"/>
      <c r="F105" s="15"/>
      <c r="G105" s="424"/>
      <c r="H105" s="17" t="str">
        <f t="shared" si="11"/>
        <v/>
      </c>
      <c r="I105" s="63"/>
      <c r="J105" s="61"/>
      <c r="K105" s="399"/>
      <c r="L105" s="420" t="str">
        <f t="shared" si="12"/>
        <v/>
      </c>
      <c r="M105" s="401" t="str">
        <f t="shared" si="13"/>
        <v/>
      </c>
    </row>
    <row r="106" spans="2:13" x14ac:dyDescent="0.25">
      <c r="B106" s="58"/>
      <c r="C106" s="14"/>
      <c r="D106" s="15"/>
      <c r="E106" s="15"/>
      <c r="F106" s="15"/>
      <c r="G106" s="422"/>
      <c r="H106" s="17" t="str">
        <f t="shared" si="11"/>
        <v/>
      </c>
      <c r="I106" s="63"/>
      <c r="J106" s="61"/>
      <c r="K106" s="399"/>
      <c r="L106" s="420" t="str">
        <f t="shared" si="12"/>
        <v/>
      </c>
      <c r="M106" s="401" t="str">
        <f t="shared" si="13"/>
        <v/>
      </c>
    </row>
    <row r="107" spans="2:13" x14ac:dyDescent="0.25">
      <c r="B107" s="58"/>
      <c r="C107" s="26"/>
      <c r="D107" s="61"/>
      <c r="E107" s="61"/>
      <c r="F107" s="15"/>
      <c r="G107" s="422"/>
      <c r="H107" s="17" t="str">
        <f t="shared" si="11"/>
        <v/>
      </c>
      <c r="I107" s="63"/>
      <c r="J107" s="61"/>
      <c r="K107" s="399"/>
      <c r="L107" s="420" t="str">
        <f t="shared" si="12"/>
        <v/>
      </c>
      <c r="M107" s="401" t="str">
        <f t="shared" si="13"/>
        <v/>
      </c>
    </row>
    <row r="108" spans="2:13" x14ac:dyDescent="0.25">
      <c r="B108" s="58"/>
      <c r="C108" s="25"/>
      <c r="D108" s="61"/>
      <c r="E108" s="61"/>
      <c r="F108" s="15"/>
      <c r="G108" s="422"/>
      <c r="H108" s="17" t="str">
        <f t="shared" si="11"/>
        <v/>
      </c>
      <c r="I108" s="63"/>
      <c r="J108" s="61"/>
      <c r="K108" s="399"/>
      <c r="L108" s="420" t="str">
        <f t="shared" si="12"/>
        <v/>
      </c>
      <c r="M108" s="401" t="str">
        <f t="shared" si="13"/>
        <v/>
      </c>
    </row>
    <row r="109" spans="2:13" x14ac:dyDescent="0.25">
      <c r="B109" s="58"/>
      <c r="C109" s="14"/>
      <c r="D109" s="15"/>
      <c r="E109" s="15"/>
      <c r="F109" s="61"/>
      <c r="G109" s="422"/>
      <c r="H109" s="17" t="str">
        <f t="shared" si="11"/>
        <v/>
      </c>
      <c r="I109" s="63"/>
      <c r="J109" s="61"/>
      <c r="K109" s="399"/>
      <c r="L109" s="420" t="str">
        <f t="shared" si="12"/>
        <v/>
      </c>
      <c r="M109" s="401" t="str">
        <f t="shared" si="13"/>
        <v/>
      </c>
    </row>
    <row r="110" spans="2:13" x14ac:dyDescent="0.25">
      <c r="B110" s="58"/>
      <c r="C110" s="14"/>
      <c r="D110" s="15"/>
      <c r="E110" s="15"/>
      <c r="F110" s="15"/>
      <c r="G110" s="422"/>
      <c r="H110" s="17" t="str">
        <f t="shared" si="11"/>
        <v/>
      </c>
      <c r="I110" s="63"/>
      <c r="J110" s="61"/>
      <c r="K110" s="399"/>
      <c r="L110" s="420" t="str">
        <f t="shared" si="12"/>
        <v/>
      </c>
      <c r="M110" s="401" t="str">
        <f t="shared" si="13"/>
        <v/>
      </c>
    </row>
    <row r="111" spans="2:13" x14ac:dyDescent="0.25">
      <c r="B111" s="58"/>
      <c r="C111" s="14"/>
      <c r="D111" s="15"/>
      <c r="E111" s="15"/>
      <c r="F111" s="61"/>
      <c r="G111" s="422"/>
      <c r="H111" s="17" t="str">
        <f t="shared" si="11"/>
        <v/>
      </c>
      <c r="I111" s="63"/>
      <c r="J111" s="61"/>
      <c r="K111" s="399"/>
      <c r="L111" s="420" t="str">
        <f t="shared" si="12"/>
        <v/>
      </c>
      <c r="M111" s="401" t="str">
        <f t="shared" si="13"/>
        <v/>
      </c>
    </row>
    <row r="112" spans="2:13" x14ac:dyDescent="0.25">
      <c r="B112" s="58"/>
      <c r="C112" s="25"/>
      <c r="D112" s="61"/>
      <c r="E112" s="61"/>
      <c r="F112" s="61"/>
      <c r="G112" s="422"/>
      <c r="H112" s="17" t="str">
        <f t="shared" si="11"/>
        <v/>
      </c>
      <c r="I112" s="63"/>
      <c r="J112" s="61"/>
      <c r="K112" s="399"/>
      <c r="L112" s="420" t="str">
        <f t="shared" si="12"/>
        <v/>
      </c>
      <c r="M112" s="401" t="str">
        <f t="shared" si="13"/>
        <v/>
      </c>
    </row>
    <row r="113" spans="2:13" x14ac:dyDescent="0.25">
      <c r="B113" s="58"/>
      <c r="C113" s="26"/>
      <c r="D113" s="61"/>
      <c r="E113" s="61"/>
      <c r="F113" s="15"/>
      <c r="G113" s="422"/>
      <c r="H113" s="17" t="str">
        <f t="shared" si="11"/>
        <v/>
      </c>
      <c r="I113" s="63"/>
      <c r="J113" s="61"/>
      <c r="K113" s="399"/>
      <c r="L113" s="420" t="str">
        <f t="shared" si="12"/>
        <v/>
      </c>
      <c r="M113" s="401" t="str">
        <f t="shared" si="13"/>
        <v/>
      </c>
    </row>
    <row r="114" spans="2:13" x14ac:dyDescent="0.25">
      <c r="B114" s="58"/>
      <c r="C114" s="25"/>
      <c r="D114" s="61"/>
      <c r="E114" s="61"/>
      <c r="F114" s="15"/>
      <c r="G114" s="422"/>
      <c r="H114" s="17" t="str">
        <f t="shared" si="11"/>
        <v/>
      </c>
      <c r="I114" s="63"/>
      <c r="J114" s="61"/>
      <c r="K114" s="399"/>
      <c r="L114" s="420" t="str">
        <f t="shared" si="12"/>
        <v/>
      </c>
      <c r="M114" s="401" t="str">
        <f t="shared" si="13"/>
        <v/>
      </c>
    </row>
    <row r="115" spans="2:13" x14ac:dyDescent="0.25">
      <c r="B115" s="58"/>
      <c r="C115" s="14"/>
      <c r="D115" s="15"/>
      <c r="E115" s="15"/>
      <c r="F115" s="15"/>
      <c r="G115" s="422"/>
      <c r="H115" s="17" t="str">
        <f t="shared" si="11"/>
        <v/>
      </c>
      <c r="I115" s="63"/>
      <c r="J115" s="61"/>
      <c r="K115" s="399"/>
      <c r="L115" s="420" t="str">
        <f t="shared" si="12"/>
        <v/>
      </c>
      <c r="M115" s="401" t="str">
        <f t="shared" si="13"/>
        <v/>
      </c>
    </row>
    <row r="116" spans="2:13" x14ac:dyDescent="0.25">
      <c r="B116" s="58"/>
      <c r="C116" s="14"/>
      <c r="D116" s="15"/>
      <c r="E116" s="15"/>
      <c r="F116" s="15"/>
      <c r="G116" s="422"/>
      <c r="H116" s="17" t="str">
        <f t="shared" si="11"/>
        <v/>
      </c>
      <c r="I116" s="63"/>
      <c r="J116" s="61"/>
      <c r="K116" s="402"/>
      <c r="L116" s="420" t="str">
        <f t="shared" si="12"/>
        <v/>
      </c>
      <c r="M116" s="401" t="str">
        <f t="shared" si="13"/>
        <v/>
      </c>
    </row>
    <row r="117" spans="2:13" x14ac:dyDescent="0.25">
      <c r="B117" s="58"/>
      <c r="C117" s="14"/>
      <c r="D117" s="15"/>
      <c r="E117" s="15"/>
      <c r="F117" s="15"/>
      <c r="G117" s="411"/>
      <c r="H117" s="17" t="str">
        <f t="shared" si="11"/>
        <v/>
      </c>
      <c r="I117" s="63"/>
      <c r="J117" s="61"/>
      <c r="K117" s="399"/>
      <c r="L117" s="420" t="str">
        <f t="shared" si="12"/>
        <v/>
      </c>
      <c r="M117" s="401" t="str">
        <f t="shared" si="13"/>
        <v/>
      </c>
    </row>
    <row r="118" spans="2:13" x14ac:dyDescent="0.25">
      <c r="B118" s="58"/>
      <c r="C118" s="14"/>
      <c r="D118" s="15"/>
      <c r="E118" s="15"/>
      <c r="F118" s="15"/>
      <c r="G118" s="411"/>
      <c r="H118" s="17" t="str">
        <f t="shared" si="11"/>
        <v/>
      </c>
      <c r="I118" s="63"/>
      <c r="J118" s="61"/>
      <c r="K118" s="402"/>
      <c r="L118" s="420" t="str">
        <f t="shared" si="12"/>
        <v/>
      </c>
      <c r="M118" s="401" t="str">
        <f t="shared" si="13"/>
        <v/>
      </c>
    </row>
    <row r="119" spans="2:13" x14ac:dyDescent="0.25">
      <c r="B119" s="58"/>
      <c r="C119" s="26"/>
      <c r="D119" s="15"/>
      <c r="E119" s="15"/>
      <c r="F119" s="15"/>
      <c r="G119" s="411"/>
      <c r="H119" s="17" t="str">
        <f t="shared" si="11"/>
        <v/>
      </c>
      <c r="I119" s="63"/>
      <c r="J119" s="61"/>
      <c r="K119" s="402"/>
      <c r="L119" s="420" t="str">
        <f t="shared" si="12"/>
        <v/>
      </c>
      <c r="M119" s="401" t="str">
        <f t="shared" si="13"/>
        <v/>
      </c>
    </row>
    <row r="120" spans="2:13" x14ac:dyDescent="0.25">
      <c r="B120" s="58"/>
      <c r="C120" s="14"/>
      <c r="D120" s="15"/>
      <c r="E120" s="15"/>
      <c r="F120" s="15"/>
      <c r="G120" s="411"/>
      <c r="H120" s="17" t="str">
        <f t="shared" si="11"/>
        <v/>
      </c>
      <c r="I120" s="63"/>
      <c r="J120" s="61"/>
      <c r="K120" s="399"/>
      <c r="L120" s="420" t="str">
        <f t="shared" si="12"/>
        <v/>
      </c>
      <c r="M120" s="401" t="str">
        <f t="shared" si="13"/>
        <v/>
      </c>
    </row>
    <row r="121" spans="2:13" x14ac:dyDescent="0.25">
      <c r="B121" s="58"/>
      <c r="C121" s="14"/>
      <c r="D121" s="15"/>
      <c r="E121" s="15"/>
      <c r="F121" s="15"/>
      <c r="G121" s="411"/>
      <c r="H121" s="17" t="str">
        <f t="shared" si="11"/>
        <v/>
      </c>
      <c r="I121" s="63"/>
      <c r="J121" s="61"/>
      <c r="K121" s="399"/>
      <c r="L121" s="420" t="str">
        <f t="shared" si="12"/>
        <v/>
      </c>
      <c r="M121" s="401" t="str">
        <f t="shared" si="13"/>
        <v/>
      </c>
    </row>
    <row r="122" spans="2:13" x14ac:dyDescent="0.25">
      <c r="B122" s="58"/>
      <c r="C122" s="14"/>
      <c r="D122" s="15"/>
      <c r="E122" s="15"/>
      <c r="F122" s="15"/>
      <c r="G122" s="411"/>
      <c r="H122" s="17" t="str">
        <f t="shared" si="11"/>
        <v/>
      </c>
      <c r="I122" s="63"/>
      <c r="J122" s="61"/>
      <c r="K122" s="399"/>
      <c r="L122" s="420" t="str">
        <f t="shared" si="12"/>
        <v/>
      </c>
      <c r="M122" s="401" t="str">
        <f t="shared" si="13"/>
        <v/>
      </c>
    </row>
    <row r="123" spans="2:13" x14ac:dyDescent="0.25">
      <c r="B123" s="58"/>
      <c r="C123" s="14"/>
      <c r="D123" s="15"/>
      <c r="E123" s="15"/>
      <c r="F123" s="24"/>
      <c r="G123" s="703"/>
      <c r="H123" s="17" t="str">
        <f t="shared" si="11"/>
        <v/>
      </c>
      <c r="I123" s="63"/>
      <c r="J123" s="61"/>
      <c r="K123" s="399"/>
      <c r="L123" s="420" t="str">
        <f t="shared" si="12"/>
        <v/>
      </c>
      <c r="M123" s="401" t="str">
        <f t="shared" si="13"/>
        <v/>
      </c>
    </row>
    <row r="124" spans="2:13" x14ac:dyDescent="0.25">
      <c r="B124" s="58"/>
      <c r="C124" s="14"/>
      <c r="D124" s="15"/>
      <c r="E124" s="15"/>
      <c r="F124" s="24"/>
      <c r="G124" s="411"/>
      <c r="H124" s="17" t="str">
        <f t="shared" si="11"/>
        <v/>
      </c>
      <c r="I124" s="63"/>
      <c r="J124" s="62"/>
      <c r="K124" s="62"/>
      <c r="L124" s="420" t="str">
        <f t="shared" si="12"/>
        <v/>
      </c>
      <c r="M124" s="401" t="str">
        <f t="shared" si="13"/>
        <v/>
      </c>
    </row>
    <row r="125" spans="2:13" x14ac:dyDescent="0.25">
      <c r="B125" s="58"/>
      <c r="C125" s="14"/>
      <c r="D125" s="15"/>
      <c r="E125" s="15"/>
      <c r="F125" s="24"/>
      <c r="G125" s="423"/>
      <c r="H125" s="17" t="str">
        <f t="shared" si="11"/>
        <v/>
      </c>
      <c r="I125" s="63"/>
      <c r="J125" s="61"/>
      <c r="K125" s="62"/>
      <c r="L125" s="420" t="str">
        <f t="shared" si="12"/>
        <v/>
      </c>
      <c r="M125" s="401" t="str">
        <f t="shared" si="13"/>
        <v/>
      </c>
    </row>
    <row r="126" spans="2:13" x14ac:dyDescent="0.25">
      <c r="B126" s="58"/>
      <c r="C126" s="14"/>
      <c r="D126" s="15"/>
      <c r="E126" s="15"/>
      <c r="F126" s="24"/>
      <c r="G126" s="411"/>
      <c r="H126" s="17" t="str">
        <f t="shared" si="11"/>
        <v/>
      </c>
      <c r="I126" s="63"/>
      <c r="J126" s="61"/>
      <c r="K126" s="62"/>
      <c r="L126" s="420" t="str">
        <f t="shared" si="12"/>
        <v/>
      </c>
      <c r="M126" s="401" t="str">
        <f t="shared" si="13"/>
        <v/>
      </c>
    </row>
    <row r="127" spans="2:13" x14ac:dyDescent="0.25">
      <c r="B127" s="58"/>
      <c r="C127" s="26"/>
      <c r="D127" s="15"/>
      <c r="E127" s="15"/>
      <c r="F127" s="24"/>
      <c r="G127" s="421"/>
      <c r="H127" s="17" t="str">
        <f t="shared" si="11"/>
        <v/>
      </c>
      <c r="I127" s="63"/>
      <c r="J127" s="61"/>
      <c r="K127" s="62"/>
      <c r="L127" s="420" t="str">
        <f t="shared" si="12"/>
        <v/>
      </c>
      <c r="M127" s="401" t="str">
        <f t="shared" si="13"/>
        <v/>
      </c>
    </row>
    <row r="128" spans="2:13" x14ac:dyDescent="0.25">
      <c r="B128" s="58"/>
      <c r="C128" s="14"/>
      <c r="D128" s="15"/>
      <c r="E128" s="15"/>
      <c r="F128" s="24"/>
      <c r="G128" s="421"/>
      <c r="H128" s="17" t="str">
        <f t="shared" si="11"/>
        <v/>
      </c>
      <c r="I128" s="63"/>
      <c r="J128" s="61"/>
      <c r="K128" s="62"/>
      <c r="L128" s="420" t="str">
        <f t="shared" si="12"/>
        <v/>
      </c>
      <c r="M128" s="401" t="str">
        <f t="shared" si="13"/>
        <v/>
      </c>
    </row>
    <row r="129" spans="2:13" x14ac:dyDescent="0.25">
      <c r="B129" s="58"/>
      <c r="C129" s="26"/>
      <c r="D129" s="15"/>
      <c r="E129" s="15"/>
      <c r="F129" s="24"/>
      <c r="G129" s="422"/>
      <c r="H129" s="17" t="str">
        <f t="shared" si="11"/>
        <v/>
      </c>
      <c r="I129" s="63"/>
      <c r="J129" s="62"/>
      <c r="K129" s="62"/>
      <c r="L129" s="420" t="str">
        <f t="shared" si="12"/>
        <v/>
      </c>
      <c r="M129" s="401" t="str">
        <f t="shared" si="13"/>
        <v/>
      </c>
    </row>
    <row r="130" spans="2:13" x14ac:dyDescent="0.25">
      <c r="B130" s="58"/>
      <c r="C130" s="134"/>
      <c r="D130" s="15"/>
      <c r="E130" s="15"/>
      <c r="F130" s="24"/>
      <c r="G130" s="422"/>
      <c r="H130" s="17"/>
      <c r="I130" s="63"/>
      <c r="J130" s="62"/>
      <c r="K130" s="62"/>
      <c r="L130" s="420" t="str">
        <f t="shared" si="12"/>
        <v/>
      </c>
      <c r="M130" s="401" t="str">
        <f t="shared" si="13"/>
        <v/>
      </c>
    </row>
    <row r="131" spans="2:13" x14ac:dyDescent="0.25">
      <c r="B131" s="58"/>
      <c r="C131" s="134"/>
      <c r="D131" s="15"/>
      <c r="E131" s="15"/>
      <c r="F131" s="24"/>
      <c r="G131" s="422"/>
      <c r="H131" s="17"/>
      <c r="I131" s="63"/>
      <c r="J131" s="61"/>
      <c r="K131" s="62"/>
      <c r="L131" s="420" t="str">
        <f t="shared" si="12"/>
        <v/>
      </c>
      <c r="M131" s="401" t="str">
        <f t="shared" si="13"/>
        <v/>
      </c>
    </row>
    <row r="132" spans="2:13" x14ac:dyDescent="0.25">
      <c r="B132" s="58"/>
      <c r="C132" s="14"/>
      <c r="D132" s="15"/>
      <c r="E132" s="15"/>
      <c r="F132" s="24"/>
      <c r="G132" s="421"/>
      <c r="H132" s="17" t="str">
        <f>IF(D132="","",F132*G132)</f>
        <v/>
      </c>
      <c r="I132" s="63"/>
      <c r="J132" s="61"/>
      <c r="K132" s="696"/>
      <c r="L132" s="420" t="str">
        <f t="shared" si="12"/>
        <v/>
      </c>
      <c r="M132" s="401" t="str">
        <f t="shared" si="13"/>
        <v/>
      </c>
    </row>
    <row r="133" spans="2:13" s="28" customFormat="1" ht="20.149999999999999" customHeight="1" x14ac:dyDescent="0.25">
      <c r="B133" s="135" t="str">
        <f>$B$12</f>
        <v>C2.1</v>
      </c>
      <c r="C133" s="498" t="str">
        <f>"TOTAL CARRIED FORWARD"&amp;IF(H133=H$1," TO SUMMARY","")</f>
        <v>TOTAL CARRIED FORWARD TO SUMMARY</v>
      </c>
      <c r="D133" s="31"/>
      <c r="E133" s="31"/>
      <c r="F133" s="32"/>
      <c r="G133" s="31"/>
      <c r="H133" s="33">
        <f>SUM(H81:H132)</f>
        <v>289800.00000000006</v>
      </c>
      <c r="I133" s="34"/>
      <c r="J133" s="408"/>
      <c r="K133" s="406"/>
      <c r="L133" s="418">
        <f>SUM(L81:L132)</f>
        <v>117855.00000000003</v>
      </c>
      <c r="M133" s="407" t="str">
        <f t="shared" si="13"/>
        <v/>
      </c>
    </row>
    <row r="134" spans="2:13" ht="13" x14ac:dyDescent="0.25">
      <c r="B134" s="1108" t="str">
        <f>Client1</f>
        <v>Province of KwaZulu-Natal</v>
      </c>
      <c r="C134" s="1108"/>
      <c r="D134" s="1108"/>
      <c r="E134" s="87"/>
      <c r="F134" s="1109" t="str">
        <f>"Contract No. "&amp;ContractNo</f>
        <v>Contract No. ZNB 00399/00000/HOD/INF/21/T</v>
      </c>
      <c r="G134" s="1109"/>
      <c r="H134" s="1109"/>
    </row>
    <row r="135" spans="2:13" ht="13" x14ac:dyDescent="0.25">
      <c r="B135" s="1108" t="str">
        <f>Client2</f>
        <v>Department of Transport</v>
      </c>
      <c r="C135" s="1108"/>
      <c r="D135" s="1108"/>
      <c r="E135" s="87"/>
      <c r="F135" s="1109"/>
      <c r="G135" s="1109"/>
      <c r="H135" s="1109"/>
    </row>
    <row r="136" spans="2:13" x14ac:dyDescent="0.25">
      <c r="B136" s="1111"/>
      <c r="C136" s="1111"/>
      <c r="D136" s="1111"/>
      <c r="E136" s="78"/>
      <c r="F136" s="1110"/>
      <c r="G136" s="1110"/>
      <c r="H136" s="1110"/>
    </row>
    <row r="137" spans="2:13" ht="13" x14ac:dyDescent="0.25">
      <c r="B137" s="1112" t="s">
        <v>8</v>
      </c>
      <c r="C137" s="1113"/>
      <c r="D137" s="1113"/>
      <c r="E137" s="1113"/>
      <c r="F137" s="1113"/>
      <c r="G137" s="1113"/>
      <c r="H137" s="1114" t="str">
        <f>$H$6</f>
        <v>CHAPTER C2.1</v>
      </c>
      <c r="I137" s="6"/>
    </row>
    <row r="138" spans="2:13" ht="13" x14ac:dyDescent="0.25">
      <c r="B138" s="1117" t="str">
        <f>ContractDescription</f>
        <v>THE CONSTRUCTION OF EARTHWORKS, LAYERWORKS, SURFACING, CULVERTS AND CWAKA RIVER BRIDGE FROM KM 11.600 TO KM 14.000 ON MAIN ROAD P494 IN THE KING CETSHWAYO DISTRICT UNDER EMPANGENI REGION</v>
      </c>
      <c r="C138" s="1118"/>
      <c r="D138" s="1118"/>
      <c r="E138" s="1118"/>
      <c r="F138" s="1118"/>
      <c r="G138" s="1118"/>
      <c r="H138" s="1115"/>
      <c r="I138" s="8"/>
    </row>
    <row r="139" spans="2:13" ht="13" x14ac:dyDescent="0.25">
      <c r="B139" s="1117"/>
      <c r="C139" s="1118"/>
      <c r="D139" s="1118"/>
      <c r="E139" s="1118"/>
      <c r="F139" s="1118"/>
      <c r="G139" s="1118"/>
      <c r="H139" s="1115"/>
      <c r="I139" s="8"/>
    </row>
    <row r="140" spans="2:13" ht="13" x14ac:dyDescent="0.25">
      <c r="B140" s="1119"/>
      <c r="C140" s="1120"/>
      <c r="D140" s="1120"/>
      <c r="E140" s="1120"/>
      <c r="F140" s="1120"/>
      <c r="G140" s="1120"/>
      <c r="H140" s="1116"/>
      <c r="I140" s="8"/>
    </row>
    <row r="141" spans="2:13" s="9" customFormat="1" ht="25" customHeight="1" x14ac:dyDescent="0.25">
      <c r="B141" s="74" t="s">
        <v>0</v>
      </c>
      <c r="C141" s="11" t="s">
        <v>1</v>
      </c>
      <c r="D141" s="11" t="s">
        <v>2</v>
      </c>
      <c r="E141" s="11"/>
      <c r="F141" s="11" t="s">
        <v>3</v>
      </c>
      <c r="G141" s="11" t="s">
        <v>4</v>
      </c>
      <c r="H141" s="11" t="s">
        <v>5</v>
      </c>
      <c r="I141" s="12"/>
      <c r="J141" s="408" t="s">
        <v>996</v>
      </c>
      <c r="K141" s="253" t="s">
        <v>997</v>
      </c>
      <c r="L141" s="253" t="s">
        <v>998</v>
      </c>
      <c r="M141" s="253" t="s">
        <v>999</v>
      </c>
    </row>
    <row r="142" spans="2:13" s="28" customFormat="1" ht="20.149999999999999" customHeight="1" x14ac:dyDescent="0.25">
      <c r="B142" s="80"/>
      <c r="C142" s="30" t="s">
        <v>27</v>
      </c>
      <c r="D142" s="31"/>
      <c r="E142" s="31"/>
      <c r="F142" s="32"/>
      <c r="G142" s="31"/>
      <c r="H142" s="33">
        <f>H133</f>
        <v>289800.00000000006</v>
      </c>
      <c r="I142" s="34"/>
      <c r="J142" s="416"/>
      <c r="K142" s="409"/>
      <c r="L142" s="419">
        <f>L133</f>
        <v>117855.00000000003</v>
      </c>
      <c r="M142" s="410" t="str">
        <f>IF(F142="","",IF(SUM(I142)=0,"",L142/I142))</f>
        <v/>
      </c>
    </row>
    <row r="143" spans="2:13" x14ac:dyDescent="0.25">
      <c r="B143" s="58"/>
      <c r="C143" s="14"/>
      <c r="D143" s="15"/>
      <c r="E143" s="15"/>
      <c r="F143" s="24"/>
      <c r="G143" s="421"/>
      <c r="H143" s="17"/>
      <c r="I143" s="63"/>
      <c r="J143" s="61"/>
      <c r="K143" s="399"/>
      <c r="L143" s="420" t="str">
        <f t="shared" ref="L143:L187" si="14">IF(J143="","",F143*K143)</f>
        <v/>
      </c>
      <c r="M143" s="401" t="str">
        <f t="shared" ref="M143:M189" si="15">IF(J143="","",IF(SUM(H143)=0,"",L143/H143))</f>
        <v/>
      </c>
    </row>
    <row r="144" spans="2:13" x14ac:dyDescent="0.25">
      <c r="B144" s="58"/>
      <c r="C144" s="14"/>
      <c r="D144" s="15"/>
      <c r="E144" s="15"/>
      <c r="F144" s="24"/>
      <c r="G144" s="423"/>
      <c r="H144" s="17" t="str">
        <f t="shared" ref="H144:H186" si="16">IF(D144="","",F144*G144)</f>
        <v/>
      </c>
      <c r="I144" s="63"/>
      <c r="J144" s="61"/>
      <c r="K144" s="399"/>
      <c r="L144" s="420" t="str">
        <f t="shared" si="14"/>
        <v/>
      </c>
      <c r="M144" s="401" t="str">
        <f t="shared" si="15"/>
        <v/>
      </c>
    </row>
    <row r="145" spans="2:13" x14ac:dyDescent="0.25">
      <c r="B145" s="58"/>
      <c r="C145" s="14"/>
      <c r="D145" s="15"/>
      <c r="E145" s="15"/>
      <c r="F145" s="24"/>
      <c r="G145" s="421"/>
      <c r="H145" s="17" t="str">
        <f t="shared" si="16"/>
        <v/>
      </c>
      <c r="I145" s="63"/>
      <c r="J145" s="61"/>
      <c r="K145" s="399"/>
      <c r="L145" s="420" t="str">
        <f t="shared" si="14"/>
        <v/>
      </c>
      <c r="M145" s="401" t="str">
        <f t="shared" si="15"/>
        <v/>
      </c>
    </row>
    <row r="146" spans="2:13" x14ac:dyDescent="0.25">
      <c r="B146" s="58"/>
      <c r="C146" s="14"/>
      <c r="D146" s="15"/>
      <c r="E146" s="15"/>
      <c r="F146" s="24"/>
      <c r="G146" s="411"/>
      <c r="H146" s="17" t="str">
        <f t="shared" si="16"/>
        <v/>
      </c>
      <c r="I146" s="63"/>
      <c r="J146" s="61"/>
      <c r="K146" s="399"/>
      <c r="L146" s="420" t="str">
        <f t="shared" si="14"/>
        <v/>
      </c>
      <c r="M146" s="401" t="str">
        <f t="shared" si="15"/>
        <v/>
      </c>
    </row>
    <row r="147" spans="2:13" x14ac:dyDescent="0.25">
      <c r="B147" s="58"/>
      <c r="C147" s="14"/>
      <c r="D147" s="15"/>
      <c r="E147" s="15"/>
      <c r="F147" s="24"/>
      <c r="G147" s="411"/>
      <c r="H147" s="17" t="str">
        <f t="shared" si="16"/>
        <v/>
      </c>
      <c r="I147" s="63"/>
      <c r="J147" s="61"/>
      <c r="K147" s="400"/>
      <c r="L147" s="420" t="str">
        <f t="shared" si="14"/>
        <v/>
      </c>
      <c r="M147" s="401" t="str">
        <f t="shared" si="15"/>
        <v/>
      </c>
    </row>
    <row r="148" spans="2:13" x14ac:dyDescent="0.25">
      <c r="B148" s="58"/>
      <c r="C148" s="14"/>
      <c r="D148" s="15"/>
      <c r="E148" s="15"/>
      <c r="F148" s="24"/>
      <c r="G148" s="422"/>
      <c r="H148" s="17" t="str">
        <f t="shared" si="16"/>
        <v/>
      </c>
      <c r="I148" s="63"/>
      <c r="J148" s="61"/>
      <c r="K148" s="399"/>
      <c r="L148" s="420" t="str">
        <f t="shared" si="14"/>
        <v/>
      </c>
      <c r="M148" s="401" t="str">
        <f t="shared" si="15"/>
        <v/>
      </c>
    </row>
    <row r="149" spans="2:13" x14ac:dyDescent="0.25">
      <c r="B149" s="58"/>
      <c r="C149" s="14"/>
      <c r="D149" s="15"/>
      <c r="E149" s="15"/>
      <c r="F149" s="24"/>
      <c r="G149" s="422"/>
      <c r="H149" s="17" t="str">
        <f t="shared" si="16"/>
        <v/>
      </c>
      <c r="I149" s="63"/>
      <c r="J149" s="61"/>
      <c r="K149" s="399"/>
      <c r="L149" s="420" t="str">
        <f t="shared" si="14"/>
        <v/>
      </c>
      <c r="M149" s="401" t="str">
        <f t="shared" si="15"/>
        <v/>
      </c>
    </row>
    <row r="150" spans="2:13" x14ac:dyDescent="0.25">
      <c r="B150" s="58"/>
      <c r="C150" s="14"/>
      <c r="D150" s="15"/>
      <c r="E150" s="15"/>
      <c r="F150" s="24"/>
      <c r="G150" s="423"/>
      <c r="H150" s="17" t="str">
        <f t="shared" si="16"/>
        <v/>
      </c>
      <c r="I150" s="63"/>
      <c r="J150" s="61"/>
      <c r="K150" s="399"/>
      <c r="L150" s="420" t="str">
        <f t="shared" si="14"/>
        <v/>
      </c>
      <c r="M150" s="401" t="str">
        <f t="shared" si="15"/>
        <v/>
      </c>
    </row>
    <row r="151" spans="2:13" x14ac:dyDescent="0.25">
      <c r="B151" s="58"/>
      <c r="C151" s="14"/>
      <c r="D151" s="15"/>
      <c r="E151" s="15"/>
      <c r="F151" s="24"/>
      <c r="G151" s="411"/>
      <c r="H151" s="17" t="str">
        <f t="shared" si="16"/>
        <v/>
      </c>
      <c r="I151" s="63"/>
      <c r="J151" s="61"/>
      <c r="K151" s="402"/>
      <c r="L151" s="420" t="str">
        <f t="shared" si="14"/>
        <v/>
      </c>
      <c r="M151" s="401" t="str">
        <f t="shared" si="15"/>
        <v/>
      </c>
    </row>
    <row r="152" spans="2:13" x14ac:dyDescent="0.25">
      <c r="B152" s="58"/>
      <c r="C152" s="14"/>
      <c r="D152" s="15"/>
      <c r="E152" s="15"/>
      <c r="F152" s="24"/>
      <c r="G152" s="411"/>
      <c r="H152" s="17" t="str">
        <f t="shared" si="16"/>
        <v/>
      </c>
      <c r="I152" s="63"/>
      <c r="J152" s="61"/>
      <c r="K152" s="402"/>
      <c r="L152" s="420" t="str">
        <f t="shared" si="14"/>
        <v/>
      </c>
      <c r="M152" s="401" t="str">
        <f t="shared" si="15"/>
        <v/>
      </c>
    </row>
    <row r="153" spans="2:13" x14ac:dyDescent="0.25">
      <c r="B153" s="58"/>
      <c r="C153" s="14"/>
      <c r="D153" s="15"/>
      <c r="E153" s="15"/>
      <c r="F153" s="24"/>
      <c r="G153" s="411"/>
      <c r="H153" s="17" t="str">
        <f t="shared" si="16"/>
        <v/>
      </c>
      <c r="I153" s="63"/>
      <c r="J153" s="61"/>
      <c r="K153" s="402"/>
      <c r="L153" s="420" t="str">
        <f t="shared" si="14"/>
        <v/>
      </c>
      <c r="M153" s="401" t="str">
        <f t="shared" si="15"/>
        <v/>
      </c>
    </row>
    <row r="154" spans="2:13" x14ac:dyDescent="0.25">
      <c r="B154" s="58"/>
      <c r="C154" s="14"/>
      <c r="D154" s="15"/>
      <c r="E154" s="15"/>
      <c r="F154" s="24"/>
      <c r="G154" s="422"/>
      <c r="H154" s="17" t="str">
        <f t="shared" si="16"/>
        <v/>
      </c>
      <c r="I154" s="63"/>
      <c r="J154" s="61"/>
      <c r="K154" s="402"/>
      <c r="L154" s="420" t="str">
        <f t="shared" si="14"/>
        <v/>
      </c>
      <c r="M154" s="401" t="str">
        <f t="shared" si="15"/>
        <v/>
      </c>
    </row>
    <row r="155" spans="2:13" x14ac:dyDescent="0.25">
      <c r="B155" s="58"/>
      <c r="C155" s="14"/>
      <c r="D155" s="15"/>
      <c r="E155" s="15"/>
      <c r="F155" s="24"/>
      <c r="G155" s="411"/>
      <c r="H155" s="17" t="str">
        <f t="shared" si="16"/>
        <v/>
      </c>
      <c r="I155" s="63"/>
      <c r="J155" s="61"/>
      <c r="K155" s="402"/>
      <c r="L155" s="420" t="str">
        <f t="shared" si="14"/>
        <v/>
      </c>
      <c r="M155" s="401" t="str">
        <f t="shared" si="15"/>
        <v/>
      </c>
    </row>
    <row r="156" spans="2:13" x14ac:dyDescent="0.25">
      <c r="B156" s="58"/>
      <c r="C156" s="14"/>
      <c r="D156" s="15"/>
      <c r="E156" s="15"/>
      <c r="F156" s="24"/>
      <c r="G156" s="423"/>
      <c r="H156" s="17" t="str">
        <f t="shared" si="16"/>
        <v/>
      </c>
      <c r="I156" s="63"/>
      <c r="J156" s="61"/>
      <c r="K156" s="402"/>
      <c r="L156" s="420" t="str">
        <f t="shared" si="14"/>
        <v/>
      </c>
      <c r="M156" s="401" t="str">
        <f t="shared" si="15"/>
        <v/>
      </c>
    </row>
    <row r="157" spans="2:13" x14ac:dyDescent="0.25">
      <c r="B157" s="58"/>
      <c r="C157" s="14"/>
      <c r="D157" s="15"/>
      <c r="E157" s="15"/>
      <c r="F157" s="15"/>
      <c r="G157" s="411"/>
      <c r="H157" s="17" t="str">
        <f t="shared" si="16"/>
        <v/>
      </c>
      <c r="I157" s="63"/>
      <c r="J157" s="61"/>
      <c r="K157" s="399"/>
      <c r="L157" s="420" t="str">
        <f t="shared" si="14"/>
        <v/>
      </c>
      <c r="M157" s="401" t="str">
        <f t="shared" si="15"/>
        <v/>
      </c>
    </row>
    <row r="158" spans="2:13" x14ac:dyDescent="0.25">
      <c r="B158" s="58"/>
      <c r="C158" s="14"/>
      <c r="D158" s="15"/>
      <c r="E158" s="15"/>
      <c r="F158" s="15"/>
      <c r="G158" s="422"/>
      <c r="H158" s="17" t="str">
        <f t="shared" si="16"/>
        <v/>
      </c>
      <c r="I158" s="63"/>
      <c r="J158" s="61"/>
      <c r="K158" s="399"/>
      <c r="L158" s="420" t="str">
        <f t="shared" si="14"/>
        <v/>
      </c>
      <c r="M158" s="401" t="str">
        <f t="shared" si="15"/>
        <v/>
      </c>
    </row>
    <row r="159" spans="2:13" x14ac:dyDescent="0.25">
      <c r="B159" s="58"/>
      <c r="C159" s="14"/>
      <c r="D159" s="15"/>
      <c r="E159" s="15"/>
      <c r="F159" s="15"/>
      <c r="G159" s="422"/>
      <c r="H159" s="17" t="str">
        <f t="shared" si="16"/>
        <v/>
      </c>
      <c r="I159" s="63"/>
      <c r="J159" s="61"/>
      <c r="K159" s="400"/>
      <c r="L159" s="420" t="str">
        <f t="shared" si="14"/>
        <v/>
      </c>
      <c r="M159" s="401" t="str">
        <f t="shared" si="15"/>
        <v/>
      </c>
    </row>
    <row r="160" spans="2:13" x14ac:dyDescent="0.25">
      <c r="B160" s="58"/>
      <c r="C160" s="14"/>
      <c r="D160" s="15"/>
      <c r="E160" s="15"/>
      <c r="F160" s="578"/>
      <c r="G160" s="422"/>
      <c r="H160" s="17" t="str">
        <f t="shared" si="16"/>
        <v/>
      </c>
      <c r="I160" s="63"/>
      <c r="J160" s="61"/>
      <c r="K160" s="399"/>
      <c r="L160" s="420" t="str">
        <f t="shared" si="14"/>
        <v/>
      </c>
      <c r="M160" s="401" t="str">
        <f t="shared" si="15"/>
        <v/>
      </c>
    </row>
    <row r="161" spans="2:13" x14ac:dyDescent="0.25">
      <c r="B161" s="58"/>
      <c r="C161" s="14"/>
      <c r="D161" s="15"/>
      <c r="E161" s="15"/>
      <c r="F161" s="15"/>
      <c r="G161" s="422"/>
      <c r="H161" s="17" t="str">
        <f t="shared" si="16"/>
        <v/>
      </c>
      <c r="I161" s="63"/>
      <c r="J161" s="61"/>
      <c r="K161" s="399"/>
      <c r="L161" s="420" t="str">
        <f t="shared" si="14"/>
        <v/>
      </c>
      <c r="M161" s="401" t="str">
        <f t="shared" si="15"/>
        <v/>
      </c>
    </row>
    <row r="162" spans="2:13" x14ac:dyDescent="0.25">
      <c r="B162" s="58"/>
      <c r="C162" s="14"/>
      <c r="D162" s="15"/>
      <c r="E162" s="15"/>
      <c r="F162" s="15"/>
      <c r="G162" s="424"/>
      <c r="H162" s="17" t="str">
        <f t="shared" si="16"/>
        <v/>
      </c>
      <c r="I162" s="63"/>
      <c r="J162" s="61"/>
      <c r="K162" s="399"/>
      <c r="L162" s="420" t="str">
        <f t="shared" si="14"/>
        <v/>
      </c>
      <c r="M162" s="401" t="str">
        <f t="shared" si="15"/>
        <v/>
      </c>
    </row>
    <row r="163" spans="2:13" x14ac:dyDescent="0.25">
      <c r="B163" s="58"/>
      <c r="C163" s="14"/>
      <c r="D163" s="15"/>
      <c r="E163" s="15"/>
      <c r="F163" s="15"/>
      <c r="G163" s="422"/>
      <c r="H163" s="17" t="str">
        <f t="shared" si="16"/>
        <v/>
      </c>
      <c r="I163" s="63"/>
      <c r="J163" s="61"/>
      <c r="K163" s="399"/>
      <c r="L163" s="420" t="str">
        <f t="shared" si="14"/>
        <v/>
      </c>
      <c r="M163" s="401" t="str">
        <f t="shared" si="15"/>
        <v/>
      </c>
    </row>
    <row r="164" spans="2:13" x14ac:dyDescent="0.25">
      <c r="B164" s="58"/>
      <c r="C164" s="14"/>
      <c r="D164" s="15"/>
      <c r="E164" s="15"/>
      <c r="F164" s="15"/>
      <c r="G164" s="422"/>
      <c r="H164" s="17" t="str">
        <f t="shared" si="16"/>
        <v/>
      </c>
      <c r="I164" s="63"/>
      <c r="J164" s="61"/>
      <c r="K164" s="399"/>
      <c r="L164" s="420" t="str">
        <f t="shared" si="14"/>
        <v/>
      </c>
      <c r="M164" s="401" t="str">
        <f t="shared" si="15"/>
        <v/>
      </c>
    </row>
    <row r="165" spans="2:13" x14ac:dyDescent="0.25">
      <c r="B165" s="58"/>
      <c r="C165" s="14"/>
      <c r="D165" s="15"/>
      <c r="E165" s="15"/>
      <c r="F165" s="15"/>
      <c r="G165" s="422"/>
      <c r="H165" s="17" t="str">
        <f t="shared" si="16"/>
        <v/>
      </c>
      <c r="I165" s="63"/>
      <c r="J165" s="61"/>
      <c r="K165" s="400"/>
      <c r="L165" s="420" t="str">
        <f t="shared" si="14"/>
        <v/>
      </c>
      <c r="M165" s="401" t="str">
        <f t="shared" si="15"/>
        <v/>
      </c>
    </row>
    <row r="166" spans="2:13" x14ac:dyDescent="0.25">
      <c r="B166" s="58"/>
      <c r="C166" s="14"/>
      <c r="D166" s="15"/>
      <c r="E166" s="15"/>
      <c r="F166" s="61"/>
      <c r="G166" s="422"/>
      <c r="H166" s="17" t="str">
        <f t="shared" si="16"/>
        <v/>
      </c>
      <c r="I166" s="63"/>
      <c r="J166" s="61"/>
      <c r="K166" s="399"/>
      <c r="L166" s="420" t="str">
        <f t="shared" si="14"/>
        <v/>
      </c>
      <c r="M166" s="401" t="str">
        <f t="shared" si="15"/>
        <v/>
      </c>
    </row>
    <row r="167" spans="2:13" x14ac:dyDescent="0.25">
      <c r="B167" s="58"/>
      <c r="C167" s="14"/>
      <c r="D167" s="15"/>
      <c r="E167" s="15"/>
      <c r="F167" s="15"/>
      <c r="G167" s="422"/>
      <c r="H167" s="17" t="str">
        <f t="shared" si="16"/>
        <v/>
      </c>
      <c r="I167" s="63"/>
      <c r="J167" s="61"/>
      <c r="K167" s="399"/>
      <c r="L167" s="420" t="str">
        <f t="shared" si="14"/>
        <v/>
      </c>
      <c r="M167" s="401" t="str">
        <f t="shared" si="15"/>
        <v/>
      </c>
    </row>
    <row r="168" spans="2:13" x14ac:dyDescent="0.25">
      <c r="B168" s="58"/>
      <c r="C168" s="14"/>
      <c r="D168" s="15"/>
      <c r="E168" s="15"/>
      <c r="F168" s="61"/>
      <c r="G168" s="422"/>
      <c r="H168" s="17" t="str">
        <f t="shared" si="16"/>
        <v/>
      </c>
      <c r="I168" s="63"/>
      <c r="J168" s="61"/>
      <c r="K168" s="399"/>
      <c r="L168" s="420" t="str">
        <f t="shared" si="14"/>
        <v/>
      </c>
      <c r="M168" s="401" t="str">
        <f t="shared" si="15"/>
        <v/>
      </c>
    </row>
    <row r="169" spans="2:13" x14ac:dyDescent="0.25">
      <c r="B169" s="58"/>
      <c r="C169" s="25"/>
      <c r="D169" s="61"/>
      <c r="E169" s="61"/>
      <c r="F169" s="61"/>
      <c r="G169" s="422"/>
      <c r="H169" s="17" t="str">
        <f t="shared" si="16"/>
        <v/>
      </c>
      <c r="I169" s="63"/>
      <c r="J169" s="61"/>
      <c r="K169" s="399"/>
      <c r="L169" s="420" t="str">
        <f t="shared" si="14"/>
        <v/>
      </c>
      <c r="M169" s="401" t="str">
        <f t="shared" si="15"/>
        <v/>
      </c>
    </row>
    <row r="170" spans="2:13" x14ac:dyDescent="0.25">
      <c r="B170" s="58"/>
      <c r="C170" s="26"/>
      <c r="D170" s="61"/>
      <c r="E170" s="61"/>
      <c r="F170" s="15"/>
      <c r="G170" s="422"/>
      <c r="H170" s="17" t="str">
        <f t="shared" si="16"/>
        <v/>
      </c>
      <c r="I170" s="63"/>
      <c r="J170" s="61"/>
      <c r="K170" s="399"/>
      <c r="L170" s="420" t="str">
        <f t="shared" si="14"/>
        <v/>
      </c>
      <c r="M170" s="401" t="str">
        <f t="shared" si="15"/>
        <v/>
      </c>
    </row>
    <row r="171" spans="2:13" x14ac:dyDescent="0.25">
      <c r="B171" s="58"/>
      <c r="C171" s="25"/>
      <c r="D171" s="61"/>
      <c r="E171" s="61"/>
      <c r="F171" s="15"/>
      <c r="G171" s="422"/>
      <c r="H171" s="17" t="str">
        <f t="shared" si="16"/>
        <v/>
      </c>
      <c r="I171" s="63"/>
      <c r="J171" s="61"/>
      <c r="K171" s="399"/>
      <c r="L171" s="420" t="str">
        <f t="shared" si="14"/>
        <v/>
      </c>
      <c r="M171" s="401" t="str">
        <f t="shared" si="15"/>
        <v/>
      </c>
    </row>
    <row r="172" spans="2:13" x14ac:dyDescent="0.25">
      <c r="B172" s="58"/>
      <c r="C172" s="14"/>
      <c r="D172" s="15"/>
      <c r="E172" s="15"/>
      <c r="F172" s="15"/>
      <c r="G172" s="422"/>
      <c r="H172" s="17" t="str">
        <f t="shared" si="16"/>
        <v/>
      </c>
      <c r="I172" s="63"/>
      <c r="J172" s="61"/>
      <c r="K172" s="399"/>
      <c r="L172" s="420" t="str">
        <f t="shared" si="14"/>
        <v/>
      </c>
      <c r="M172" s="401" t="str">
        <f t="shared" si="15"/>
        <v/>
      </c>
    </row>
    <row r="173" spans="2:13" x14ac:dyDescent="0.25">
      <c r="B173" s="58"/>
      <c r="C173" s="14"/>
      <c r="D173" s="15"/>
      <c r="E173" s="15"/>
      <c r="F173" s="15"/>
      <c r="G173" s="422"/>
      <c r="H173" s="17" t="str">
        <f t="shared" si="16"/>
        <v/>
      </c>
      <c r="I173" s="63"/>
      <c r="J173" s="61"/>
      <c r="K173" s="399"/>
      <c r="L173" s="420" t="str">
        <f t="shared" si="14"/>
        <v/>
      </c>
      <c r="M173" s="401" t="str">
        <f t="shared" si="15"/>
        <v/>
      </c>
    </row>
    <row r="174" spans="2:13" x14ac:dyDescent="0.25">
      <c r="B174" s="58"/>
      <c r="C174" s="14"/>
      <c r="D174" s="15"/>
      <c r="E174" s="15"/>
      <c r="F174" s="15"/>
      <c r="G174" s="411"/>
      <c r="H174" s="17" t="str">
        <f t="shared" si="16"/>
        <v/>
      </c>
      <c r="I174" s="63"/>
      <c r="J174" s="61"/>
      <c r="K174" s="399"/>
      <c r="L174" s="420" t="str">
        <f t="shared" si="14"/>
        <v/>
      </c>
      <c r="M174" s="401" t="str">
        <f t="shared" si="15"/>
        <v/>
      </c>
    </row>
    <row r="175" spans="2:13" x14ac:dyDescent="0.25">
      <c r="B175" s="58"/>
      <c r="C175" s="14"/>
      <c r="D175" s="15"/>
      <c r="E175" s="15"/>
      <c r="F175" s="15"/>
      <c r="G175" s="411"/>
      <c r="H175" s="17" t="str">
        <f t="shared" si="16"/>
        <v/>
      </c>
      <c r="I175" s="63"/>
      <c r="J175" s="61"/>
      <c r="K175" s="399"/>
      <c r="L175" s="420" t="str">
        <f t="shared" si="14"/>
        <v/>
      </c>
      <c r="M175" s="401" t="str">
        <f t="shared" si="15"/>
        <v/>
      </c>
    </row>
    <row r="176" spans="2:13" x14ac:dyDescent="0.25">
      <c r="B176" s="58"/>
      <c r="C176" s="14"/>
      <c r="D176" s="15"/>
      <c r="E176" s="15"/>
      <c r="F176" s="15"/>
      <c r="G176" s="411"/>
      <c r="H176" s="17" t="str">
        <f t="shared" si="16"/>
        <v/>
      </c>
      <c r="I176" s="63"/>
      <c r="J176" s="61"/>
      <c r="K176" s="399"/>
      <c r="L176" s="420" t="str">
        <f t="shared" si="14"/>
        <v/>
      </c>
      <c r="M176" s="401" t="str">
        <f t="shared" si="15"/>
        <v/>
      </c>
    </row>
    <row r="177" spans="2:13" x14ac:dyDescent="0.25">
      <c r="B177" s="58"/>
      <c r="C177" s="14"/>
      <c r="D177" s="15"/>
      <c r="E177" s="15"/>
      <c r="F177" s="15"/>
      <c r="G177" s="411"/>
      <c r="H177" s="17" t="str">
        <f t="shared" si="16"/>
        <v/>
      </c>
      <c r="I177" s="63"/>
      <c r="J177" s="61"/>
      <c r="K177" s="402"/>
      <c r="L177" s="420" t="str">
        <f t="shared" si="14"/>
        <v/>
      </c>
      <c r="M177" s="401" t="str">
        <f t="shared" si="15"/>
        <v/>
      </c>
    </row>
    <row r="178" spans="2:13" x14ac:dyDescent="0.25">
      <c r="B178" s="58"/>
      <c r="C178" s="14"/>
      <c r="D178" s="15"/>
      <c r="E178" s="15"/>
      <c r="F178" s="15"/>
      <c r="G178" s="411"/>
      <c r="H178" s="17" t="str">
        <f t="shared" si="16"/>
        <v/>
      </c>
      <c r="I178" s="63"/>
      <c r="J178" s="61"/>
      <c r="K178" s="399"/>
      <c r="L178" s="420" t="str">
        <f t="shared" si="14"/>
        <v/>
      </c>
      <c r="M178" s="401" t="str">
        <f t="shared" si="15"/>
        <v/>
      </c>
    </row>
    <row r="179" spans="2:13" x14ac:dyDescent="0.25">
      <c r="B179" s="58"/>
      <c r="C179" s="14"/>
      <c r="D179" s="15"/>
      <c r="E179" s="15"/>
      <c r="F179" s="15"/>
      <c r="G179" s="411"/>
      <c r="H179" s="17" t="str">
        <f t="shared" si="16"/>
        <v/>
      </c>
      <c r="I179" s="63"/>
      <c r="J179" s="61"/>
      <c r="K179" s="402"/>
      <c r="L179" s="420" t="str">
        <f t="shared" si="14"/>
        <v/>
      </c>
      <c r="M179" s="401" t="str">
        <f t="shared" si="15"/>
        <v/>
      </c>
    </row>
    <row r="180" spans="2:13" x14ac:dyDescent="0.25">
      <c r="B180" s="58"/>
      <c r="C180" s="14"/>
      <c r="D180" s="15"/>
      <c r="E180" s="15"/>
      <c r="F180" s="24"/>
      <c r="G180" s="703"/>
      <c r="H180" s="17" t="str">
        <f t="shared" si="16"/>
        <v/>
      </c>
      <c r="I180" s="63"/>
      <c r="J180" s="61"/>
      <c r="K180" s="402"/>
      <c r="L180" s="420" t="str">
        <f t="shared" si="14"/>
        <v/>
      </c>
      <c r="M180" s="401" t="str">
        <f t="shared" si="15"/>
        <v/>
      </c>
    </row>
    <row r="181" spans="2:13" x14ac:dyDescent="0.25">
      <c r="B181" s="58"/>
      <c r="C181" s="14"/>
      <c r="D181" s="15"/>
      <c r="E181" s="15"/>
      <c r="F181" s="24"/>
      <c r="G181" s="411"/>
      <c r="H181" s="17" t="str">
        <f t="shared" si="16"/>
        <v/>
      </c>
      <c r="I181" s="63"/>
      <c r="J181" s="61"/>
      <c r="K181" s="399"/>
      <c r="L181" s="420" t="str">
        <f t="shared" si="14"/>
        <v/>
      </c>
      <c r="M181" s="401" t="str">
        <f t="shared" si="15"/>
        <v/>
      </c>
    </row>
    <row r="182" spans="2:13" x14ac:dyDescent="0.25">
      <c r="B182" s="58"/>
      <c r="C182" s="14"/>
      <c r="D182" s="15"/>
      <c r="E182" s="15"/>
      <c r="F182" s="24"/>
      <c r="G182" s="423"/>
      <c r="H182" s="17" t="str">
        <f t="shared" si="16"/>
        <v/>
      </c>
      <c r="I182" s="63"/>
      <c r="J182" s="61"/>
      <c r="K182" s="399"/>
      <c r="L182" s="420" t="str">
        <f t="shared" si="14"/>
        <v/>
      </c>
      <c r="M182" s="401" t="str">
        <f t="shared" si="15"/>
        <v/>
      </c>
    </row>
    <row r="183" spans="2:13" x14ac:dyDescent="0.25">
      <c r="B183" s="58"/>
      <c r="C183" s="14"/>
      <c r="D183" s="15"/>
      <c r="E183" s="15"/>
      <c r="F183" s="24"/>
      <c r="G183" s="411"/>
      <c r="H183" s="17" t="str">
        <f t="shared" si="16"/>
        <v/>
      </c>
      <c r="I183" s="63"/>
      <c r="J183" s="61"/>
      <c r="K183" s="399"/>
      <c r="L183" s="420" t="str">
        <f t="shared" si="14"/>
        <v/>
      </c>
      <c r="M183" s="401" t="str">
        <f t="shared" si="15"/>
        <v/>
      </c>
    </row>
    <row r="184" spans="2:13" x14ac:dyDescent="0.25">
      <c r="B184" s="58"/>
      <c r="C184" s="14"/>
      <c r="D184" s="15"/>
      <c r="E184" s="15"/>
      <c r="F184" s="24"/>
      <c r="G184" s="421"/>
      <c r="H184" s="17" t="str">
        <f t="shared" si="16"/>
        <v/>
      </c>
      <c r="I184" s="63"/>
      <c r="J184" s="61"/>
      <c r="K184" s="399"/>
      <c r="L184" s="420" t="str">
        <f t="shared" si="14"/>
        <v/>
      </c>
      <c r="M184" s="401" t="str">
        <f t="shared" si="15"/>
        <v/>
      </c>
    </row>
    <row r="185" spans="2:13" x14ac:dyDescent="0.25">
      <c r="B185" s="58"/>
      <c r="C185" s="14"/>
      <c r="D185" s="15"/>
      <c r="E185" s="15"/>
      <c r="F185" s="24"/>
      <c r="G185" s="421"/>
      <c r="H185" s="17" t="str">
        <f t="shared" si="16"/>
        <v/>
      </c>
      <c r="I185" s="63"/>
      <c r="J185" s="62"/>
      <c r="K185" s="62"/>
      <c r="L185" s="420" t="str">
        <f t="shared" si="14"/>
        <v/>
      </c>
      <c r="M185" s="401" t="str">
        <f t="shared" si="15"/>
        <v/>
      </c>
    </row>
    <row r="186" spans="2:13" x14ac:dyDescent="0.25">
      <c r="B186" s="58"/>
      <c r="C186" s="26"/>
      <c r="D186" s="15"/>
      <c r="E186" s="15"/>
      <c r="F186" s="24"/>
      <c r="G186" s="422"/>
      <c r="H186" s="17" t="str">
        <f t="shared" si="16"/>
        <v/>
      </c>
      <c r="I186" s="63"/>
      <c r="J186" s="61"/>
      <c r="K186" s="62"/>
      <c r="L186" s="420" t="str">
        <f t="shared" si="14"/>
        <v/>
      </c>
      <c r="M186" s="401" t="str">
        <f t="shared" si="15"/>
        <v/>
      </c>
    </row>
    <row r="187" spans="2:13" x14ac:dyDescent="0.25">
      <c r="B187" s="58"/>
      <c r="C187" s="134"/>
      <c r="D187" s="15"/>
      <c r="E187" s="15"/>
      <c r="F187" s="24"/>
      <c r="G187" s="422"/>
      <c r="H187" s="17"/>
      <c r="I187" s="63"/>
      <c r="J187" s="61"/>
      <c r="K187" s="62"/>
      <c r="L187" s="420" t="str">
        <f t="shared" si="14"/>
        <v/>
      </c>
      <c r="M187" s="401" t="str">
        <f t="shared" si="15"/>
        <v/>
      </c>
    </row>
    <row r="188" spans="2:13" x14ac:dyDescent="0.25">
      <c r="B188" s="58"/>
      <c r="C188" s="134"/>
      <c r="D188" s="15"/>
      <c r="E188" s="15"/>
      <c r="F188" s="24"/>
      <c r="G188" s="422"/>
      <c r="H188" s="17"/>
      <c r="I188" s="63"/>
      <c r="J188" s="61"/>
      <c r="K188" s="62"/>
      <c r="L188" s="420" t="str">
        <f>IF(J188="","",F192*K188)</f>
        <v/>
      </c>
      <c r="M188" s="401" t="str">
        <f t="shared" si="15"/>
        <v/>
      </c>
    </row>
    <row r="189" spans="2:13" x14ac:dyDescent="0.25">
      <c r="B189" s="58"/>
      <c r="C189" s="14"/>
      <c r="D189" s="15"/>
      <c r="E189" s="15"/>
      <c r="F189" s="24"/>
      <c r="G189" s="421"/>
      <c r="H189" s="17" t="str">
        <f>IF(D189="","",F189*G189)</f>
        <v/>
      </c>
      <c r="I189" s="63"/>
      <c r="J189" s="61"/>
      <c r="K189" s="696"/>
      <c r="L189" s="420" t="str">
        <f>IF(J189="","",F193*K189)</f>
        <v/>
      </c>
      <c r="M189" s="401" t="str">
        <f t="shared" si="15"/>
        <v/>
      </c>
    </row>
    <row r="190" spans="2:13" s="28" customFormat="1" ht="20.149999999999999" customHeight="1" x14ac:dyDescent="0.25">
      <c r="B190" s="135" t="str">
        <f>$B$12</f>
        <v>C2.1</v>
      </c>
      <c r="C190" s="498" t="str">
        <f>"TOTAL CARRIED FORWARD"&amp;IF(H190=H$1," TO SUMMARY","")</f>
        <v>TOTAL CARRIED FORWARD TO SUMMARY</v>
      </c>
      <c r="D190" s="31"/>
      <c r="E190" s="31"/>
      <c r="F190" s="32"/>
      <c r="G190" s="31"/>
      <c r="H190" s="33">
        <f>SUM(H142:H189)</f>
        <v>289800.00000000006</v>
      </c>
      <c r="I190" s="34"/>
      <c r="J190" s="408"/>
      <c r="K190" s="406"/>
      <c r="L190" s="418">
        <f>SUM(L142:L189)</f>
        <v>117855.00000000003</v>
      </c>
      <c r="M190" s="407" t="str">
        <f>IF(F191="","",IF(SUM(I191)=0,"",L190/I186))</f>
        <v/>
      </c>
    </row>
    <row r="191" spans="2:13" ht="13" x14ac:dyDescent="0.25">
      <c r="B191" s="1108" t="str">
        <f>Client1</f>
        <v>Province of KwaZulu-Natal</v>
      </c>
      <c r="C191" s="1108"/>
      <c r="D191" s="1108"/>
      <c r="E191" s="87"/>
      <c r="F191" s="1109" t="str">
        <f>"Contract No. "&amp;ContractNo</f>
        <v>Contract No. ZNB 00399/00000/HOD/INF/21/T</v>
      </c>
      <c r="G191" s="1109"/>
      <c r="H191" s="1109"/>
    </row>
    <row r="192" spans="2:13" ht="13" x14ac:dyDescent="0.25">
      <c r="B192" s="1108" t="str">
        <f>Client2</f>
        <v>Department of Transport</v>
      </c>
      <c r="C192" s="1108"/>
      <c r="D192" s="1108"/>
      <c r="E192" s="87"/>
      <c r="F192" s="1109"/>
      <c r="G192" s="1109"/>
      <c r="H192" s="1109"/>
    </row>
    <row r="193" spans="2:13" x14ac:dyDescent="0.25">
      <c r="B193" s="1111"/>
      <c r="C193" s="1111"/>
      <c r="D193" s="1111"/>
      <c r="E193" s="78"/>
      <c r="F193" s="1110"/>
      <c r="G193" s="1110"/>
      <c r="H193" s="1110"/>
    </row>
    <row r="194" spans="2:13" ht="13" x14ac:dyDescent="0.25">
      <c r="B194" s="1112" t="s">
        <v>8</v>
      </c>
      <c r="C194" s="1113"/>
      <c r="D194" s="1113"/>
      <c r="E194" s="1113"/>
      <c r="F194" s="1113"/>
      <c r="G194" s="1113"/>
      <c r="H194" s="1114" t="str">
        <f>$H$6</f>
        <v>CHAPTER C2.1</v>
      </c>
      <c r="I194" s="6"/>
    </row>
    <row r="195" spans="2:13" ht="13" x14ac:dyDescent="0.25">
      <c r="B195" s="1117" t="str">
        <f>ContractDescription</f>
        <v>THE CONSTRUCTION OF EARTHWORKS, LAYERWORKS, SURFACING, CULVERTS AND CWAKA RIVER BRIDGE FROM KM 11.600 TO KM 14.000 ON MAIN ROAD P494 IN THE KING CETSHWAYO DISTRICT UNDER EMPANGENI REGION</v>
      </c>
      <c r="C195" s="1118"/>
      <c r="D195" s="1118"/>
      <c r="E195" s="1118"/>
      <c r="F195" s="1118"/>
      <c r="G195" s="1118"/>
      <c r="H195" s="1115"/>
      <c r="I195" s="8"/>
    </row>
    <row r="196" spans="2:13" ht="13" x14ac:dyDescent="0.25">
      <c r="B196" s="1117"/>
      <c r="C196" s="1118"/>
      <c r="D196" s="1118"/>
      <c r="E196" s="1118"/>
      <c r="F196" s="1118"/>
      <c r="G196" s="1118"/>
      <c r="H196" s="1115"/>
      <c r="I196" s="8"/>
    </row>
    <row r="197" spans="2:13" ht="13" x14ac:dyDescent="0.25">
      <c r="B197" s="1119"/>
      <c r="C197" s="1120"/>
      <c r="D197" s="1120"/>
      <c r="E197" s="1120"/>
      <c r="F197" s="1120"/>
      <c r="G197" s="1120"/>
      <c r="H197" s="1116"/>
      <c r="I197" s="8"/>
    </row>
    <row r="198" spans="2:13" s="9" customFormat="1" ht="25" customHeight="1" x14ac:dyDescent="0.25">
      <c r="B198" s="74" t="s">
        <v>0</v>
      </c>
      <c r="C198" s="11" t="s">
        <v>1</v>
      </c>
      <c r="D198" s="11" t="s">
        <v>2</v>
      </c>
      <c r="E198" s="11"/>
      <c r="F198" s="11" t="s">
        <v>3</v>
      </c>
      <c r="G198" s="11" t="s">
        <v>4</v>
      </c>
      <c r="H198" s="11" t="s">
        <v>5</v>
      </c>
      <c r="I198" s="12"/>
      <c r="J198" s="408" t="s">
        <v>996</v>
      </c>
      <c r="K198" s="253" t="s">
        <v>997</v>
      </c>
      <c r="L198" s="253" t="s">
        <v>998</v>
      </c>
      <c r="M198" s="253" t="s">
        <v>999</v>
      </c>
    </row>
    <row r="199" spans="2:13" s="28" customFormat="1" ht="20.149999999999999" customHeight="1" x14ac:dyDescent="0.25">
      <c r="B199" s="80"/>
      <c r="C199" s="30" t="s">
        <v>27</v>
      </c>
      <c r="D199" s="31"/>
      <c r="E199" s="31"/>
      <c r="F199" s="32"/>
      <c r="G199" s="31"/>
      <c r="H199" s="33">
        <f>H190</f>
        <v>289800.00000000006</v>
      </c>
      <c r="I199" s="34"/>
      <c r="J199" s="416"/>
      <c r="K199" s="409"/>
      <c r="L199" s="419">
        <f>L190</f>
        <v>117855.00000000003</v>
      </c>
      <c r="M199" s="410" t="str">
        <f>IF(F199="","",IF(SUM(I199)=0,"",L199/I199))</f>
        <v/>
      </c>
    </row>
    <row r="200" spans="2:13" x14ac:dyDescent="0.25">
      <c r="B200" s="58"/>
      <c r="C200" s="14"/>
      <c r="D200" s="15"/>
      <c r="E200" s="15"/>
      <c r="F200" s="24"/>
      <c r="G200" s="421"/>
      <c r="H200" s="17"/>
      <c r="I200" s="63"/>
      <c r="J200" s="61"/>
      <c r="K200" s="399"/>
      <c r="L200" s="420" t="str">
        <f t="shared" ref="L200:L240" si="17">IF(J200="","",F200*K200)</f>
        <v/>
      </c>
      <c r="M200" s="401" t="str">
        <f t="shared" ref="M200:M243" si="18">IF(J200="","",IF(SUM(H200)=0,"",L200/H200))</f>
        <v/>
      </c>
    </row>
    <row r="201" spans="2:13" x14ac:dyDescent="0.25">
      <c r="B201" s="58"/>
      <c r="C201" s="14"/>
      <c r="D201" s="15"/>
      <c r="E201" s="15"/>
      <c r="F201" s="24"/>
      <c r="G201" s="423"/>
      <c r="H201" s="17" t="str">
        <f t="shared" ref="H201:H242" si="19">IF(D201="","",F201*G201)</f>
        <v/>
      </c>
      <c r="I201" s="63"/>
      <c r="J201" s="61"/>
      <c r="K201" s="399"/>
      <c r="L201" s="420" t="str">
        <f t="shared" si="17"/>
        <v/>
      </c>
      <c r="M201" s="401" t="str">
        <f t="shared" si="18"/>
        <v/>
      </c>
    </row>
    <row r="202" spans="2:13" x14ac:dyDescent="0.25">
      <c r="B202" s="58"/>
      <c r="C202" s="14"/>
      <c r="D202" s="15"/>
      <c r="E202" s="15"/>
      <c r="F202" s="24"/>
      <c r="G202" s="421"/>
      <c r="H202" s="17" t="str">
        <f t="shared" si="19"/>
        <v/>
      </c>
      <c r="I202" s="63"/>
      <c r="J202" s="61"/>
      <c r="K202" s="399"/>
      <c r="L202" s="420" t="str">
        <f t="shared" si="17"/>
        <v/>
      </c>
      <c r="M202" s="401" t="str">
        <f t="shared" si="18"/>
        <v/>
      </c>
    </row>
    <row r="203" spans="2:13" x14ac:dyDescent="0.25">
      <c r="B203" s="58"/>
      <c r="C203" s="14"/>
      <c r="D203" s="15"/>
      <c r="E203" s="15"/>
      <c r="F203" s="24"/>
      <c r="G203" s="411"/>
      <c r="H203" s="17" t="str">
        <f t="shared" si="19"/>
        <v/>
      </c>
      <c r="I203" s="63"/>
      <c r="J203" s="61"/>
      <c r="K203" s="399"/>
      <c r="L203" s="420" t="str">
        <f t="shared" si="17"/>
        <v/>
      </c>
      <c r="M203" s="401" t="str">
        <f t="shared" si="18"/>
        <v/>
      </c>
    </row>
    <row r="204" spans="2:13" x14ac:dyDescent="0.25">
      <c r="B204" s="58"/>
      <c r="C204" s="14"/>
      <c r="D204" s="15"/>
      <c r="E204" s="15"/>
      <c r="F204" s="24"/>
      <c r="G204" s="411"/>
      <c r="H204" s="17" t="str">
        <f t="shared" si="19"/>
        <v/>
      </c>
      <c r="I204" s="63"/>
      <c r="J204" s="61"/>
      <c r="K204" s="400"/>
      <c r="L204" s="420" t="str">
        <f t="shared" si="17"/>
        <v/>
      </c>
      <c r="M204" s="401" t="str">
        <f t="shared" si="18"/>
        <v/>
      </c>
    </row>
    <row r="205" spans="2:13" x14ac:dyDescent="0.25">
      <c r="B205" s="58"/>
      <c r="C205" s="14"/>
      <c r="D205" s="15"/>
      <c r="E205" s="15"/>
      <c r="F205" s="24"/>
      <c r="G205" s="422"/>
      <c r="H205" s="17" t="str">
        <f t="shared" si="19"/>
        <v/>
      </c>
      <c r="I205" s="63"/>
      <c r="J205" s="61"/>
      <c r="K205" s="399"/>
      <c r="L205" s="420" t="str">
        <f t="shared" si="17"/>
        <v/>
      </c>
      <c r="M205" s="401" t="str">
        <f t="shared" si="18"/>
        <v/>
      </c>
    </row>
    <row r="206" spans="2:13" x14ac:dyDescent="0.25">
      <c r="B206" s="58"/>
      <c r="C206" s="14"/>
      <c r="D206" s="15"/>
      <c r="E206" s="15"/>
      <c r="F206" s="24"/>
      <c r="G206" s="422"/>
      <c r="H206" s="17" t="str">
        <f t="shared" si="19"/>
        <v/>
      </c>
      <c r="I206" s="63"/>
      <c r="J206" s="61"/>
      <c r="K206" s="399"/>
      <c r="L206" s="420" t="str">
        <f t="shared" si="17"/>
        <v/>
      </c>
      <c r="M206" s="401" t="str">
        <f t="shared" si="18"/>
        <v/>
      </c>
    </row>
    <row r="207" spans="2:13" x14ac:dyDescent="0.25">
      <c r="B207" s="58"/>
      <c r="C207" s="14"/>
      <c r="D207" s="15"/>
      <c r="E207" s="15"/>
      <c r="F207" s="24"/>
      <c r="G207" s="423"/>
      <c r="H207" s="17" t="str">
        <f t="shared" si="19"/>
        <v/>
      </c>
      <c r="I207" s="63"/>
      <c r="J207" s="61"/>
      <c r="K207" s="399"/>
      <c r="L207" s="420" t="str">
        <f t="shared" si="17"/>
        <v/>
      </c>
      <c r="M207" s="401" t="str">
        <f t="shared" si="18"/>
        <v/>
      </c>
    </row>
    <row r="208" spans="2:13" x14ac:dyDescent="0.25">
      <c r="B208" s="58"/>
      <c r="C208" s="14"/>
      <c r="D208" s="15"/>
      <c r="E208" s="15"/>
      <c r="F208" s="24"/>
      <c r="G208" s="411"/>
      <c r="H208" s="17" t="str">
        <f t="shared" si="19"/>
        <v/>
      </c>
      <c r="I208" s="63"/>
      <c r="J208" s="61"/>
      <c r="K208" s="402"/>
      <c r="L208" s="420" t="str">
        <f t="shared" si="17"/>
        <v/>
      </c>
      <c r="M208" s="401" t="str">
        <f t="shared" si="18"/>
        <v/>
      </c>
    </row>
    <row r="209" spans="2:13" x14ac:dyDescent="0.25">
      <c r="B209" s="58"/>
      <c r="C209" s="14"/>
      <c r="D209" s="15"/>
      <c r="E209" s="15"/>
      <c r="F209" s="24"/>
      <c r="G209" s="411"/>
      <c r="H209" s="17" t="str">
        <f t="shared" si="19"/>
        <v/>
      </c>
      <c r="I209" s="63"/>
      <c r="J209" s="61"/>
      <c r="K209" s="402"/>
      <c r="L209" s="420" t="str">
        <f t="shared" si="17"/>
        <v/>
      </c>
      <c r="M209" s="401" t="str">
        <f t="shared" si="18"/>
        <v/>
      </c>
    </row>
    <row r="210" spans="2:13" x14ac:dyDescent="0.25">
      <c r="B210" s="58"/>
      <c r="C210" s="14"/>
      <c r="D210" s="15"/>
      <c r="E210" s="15"/>
      <c r="F210" s="24"/>
      <c r="G210" s="411"/>
      <c r="H210" s="17" t="str">
        <f t="shared" si="19"/>
        <v/>
      </c>
      <c r="I210" s="63"/>
      <c r="J210" s="61"/>
      <c r="K210" s="402"/>
      <c r="L210" s="420" t="str">
        <f t="shared" si="17"/>
        <v/>
      </c>
      <c r="M210" s="401" t="str">
        <f t="shared" si="18"/>
        <v/>
      </c>
    </row>
    <row r="211" spans="2:13" x14ac:dyDescent="0.25">
      <c r="B211" s="58"/>
      <c r="C211" s="14"/>
      <c r="D211" s="15"/>
      <c r="E211" s="15"/>
      <c r="F211" s="24"/>
      <c r="G211" s="422"/>
      <c r="H211" s="17" t="str">
        <f t="shared" si="19"/>
        <v/>
      </c>
      <c r="I211" s="63"/>
      <c r="J211" s="61"/>
      <c r="K211" s="402"/>
      <c r="L211" s="420" t="str">
        <f t="shared" si="17"/>
        <v/>
      </c>
      <c r="M211" s="401" t="str">
        <f t="shared" si="18"/>
        <v/>
      </c>
    </row>
    <row r="212" spans="2:13" x14ac:dyDescent="0.25">
      <c r="B212" s="58"/>
      <c r="C212" s="14"/>
      <c r="D212" s="15"/>
      <c r="E212" s="15"/>
      <c r="F212" s="24"/>
      <c r="G212" s="411"/>
      <c r="H212" s="17" t="str">
        <f t="shared" si="19"/>
        <v/>
      </c>
      <c r="I212" s="63"/>
      <c r="J212" s="61"/>
      <c r="K212" s="402"/>
      <c r="L212" s="420" t="str">
        <f t="shared" si="17"/>
        <v/>
      </c>
      <c r="M212" s="401" t="str">
        <f t="shared" si="18"/>
        <v/>
      </c>
    </row>
    <row r="213" spans="2:13" x14ac:dyDescent="0.25">
      <c r="B213" s="58"/>
      <c r="C213" s="14"/>
      <c r="D213" s="15"/>
      <c r="E213" s="15"/>
      <c r="F213" s="24"/>
      <c r="G213" s="423"/>
      <c r="H213" s="17" t="str">
        <f t="shared" si="19"/>
        <v/>
      </c>
      <c r="I213" s="63"/>
      <c r="J213" s="61"/>
      <c r="K213" s="402"/>
      <c r="L213" s="420" t="str">
        <f t="shared" si="17"/>
        <v/>
      </c>
      <c r="M213" s="401" t="str">
        <f t="shared" si="18"/>
        <v/>
      </c>
    </row>
    <row r="214" spans="2:13" x14ac:dyDescent="0.25">
      <c r="B214" s="58"/>
      <c r="C214" s="14"/>
      <c r="D214" s="15"/>
      <c r="E214" s="15"/>
      <c r="F214" s="15"/>
      <c r="G214" s="411"/>
      <c r="H214" s="17" t="str">
        <f t="shared" si="19"/>
        <v/>
      </c>
      <c r="I214" s="63"/>
      <c r="J214" s="61"/>
      <c r="K214" s="399"/>
      <c r="L214" s="420" t="str">
        <f t="shared" si="17"/>
        <v/>
      </c>
      <c r="M214" s="401" t="str">
        <f t="shared" si="18"/>
        <v/>
      </c>
    </row>
    <row r="215" spans="2:13" x14ac:dyDescent="0.25">
      <c r="B215" s="58"/>
      <c r="C215" s="14"/>
      <c r="D215" s="15"/>
      <c r="E215" s="15"/>
      <c r="F215" s="15"/>
      <c r="G215" s="422"/>
      <c r="H215" s="17" t="str">
        <f t="shared" si="19"/>
        <v/>
      </c>
      <c r="I215" s="63"/>
      <c r="J215" s="61"/>
      <c r="K215" s="399"/>
      <c r="L215" s="420" t="str">
        <f t="shared" si="17"/>
        <v/>
      </c>
      <c r="M215" s="401" t="str">
        <f t="shared" si="18"/>
        <v/>
      </c>
    </row>
    <row r="216" spans="2:13" x14ac:dyDescent="0.25">
      <c r="B216" s="58"/>
      <c r="C216" s="14"/>
      <c r="D216" s="15"/>
      <c r="E216" s="15"/>
      <c r="F216" s="15"/>
      <c r="G216" s="422"/>
      <c r="H216" s="17" t="str">
        <f t="shared" si="19"/>
        <v/>
      </c>
      <c r="I216" s="63"/>
      <c r="J216" s="61"/>
      <c r="K216" s="400"/>
      <c r="L216" s="420" t="str">
        <f t="shared" si="17"/>
        <v/>
      </c>
      <c r="M216" s="401" t="str">
        <f t="shared" si="18"/>
        <v/>
      </c>
    </row>
    <row r="217" spans="2:13" x14ac:dyDescent="0.25">
      <c r="B217" s="58"/>
      <c r="C217" s="14"/>
      <c r="D217" s="15"/>
      <c r="E217" s="15"/>
      <c r="F217" s="15"/>
      <c r="G217" s="422"/>
      <c r="H217" s="17" t="str">
        <f t="shared" si="19"/>
        <v/>
      </c>
      <c r="I217" s="63"/>
      <c r="J217" s="61"/>
      <c r="K217" s="399"/>
      <c r="L217" s="420" t="str">
        <f t="shared" si="17"/>
        <v/>
      </c>
      <c r="M217" s="401" t="str">
        <f t="shared" si="18"/>
        <v/>
      </c>
    </row>
    <row r="218" spans="2:13" x14ac:dyDescent="0.25">
      <c r="B218" s="58"/>
      <c r="C218" s="14"/>
      <c r="D218" s="15"/>
      <c r="E218" s="15"/>
      <c r="F218" s="15"/>
      <c r="G218" s="422"/>
      <c r="H218" s="17" t="str">
        <f t="shared" si="19"/>
        <v/>
      </c>
      <c r="I218" s="63"/>
      <c r="J218" s="61"/>
      <c r="K218" s="399"/>
      <c r="L218" s="420" t="str">
        <f t="shared" si="17"/>
        <v/>
      </c>
      <c r="M218" s="401" t="str">
        <f t="shared" si="18"/>
        <v/>
      </c>
    </row>
    <row r="219" spans="2:13" x14ac:dyDescent="0.25">
      <c r="B219" s="58"/>
      <c r="C219" s="14"/>
      <c r="D219" s="15"/>
      <c r="E219" s="15"/>
      <c r="F219" s="15"/>
      <c r="G219" s="424"/>
      <c r="H219" s="17" t="str">
        <f t="shared" si="19"/>
        <v/>
      </c>
      <c r="I219" s="63"/>
      <c r="J219" s="61"/>
      <c r="K219" s="399"/>
      <c r="L219" s="420" t="str">
        <f t="shared" si="17"/>
        <v/>
      </c>
      <c r="M219" s="401" t="str">
        <f t="shared" si="18"/>
        <v/>
      </c>
    </row>
    <row r="220" spans="2:13" x14ac:dyDescent="0.25">
      <c r="B220" s="58"/>
      <c r="C220" s="14"/>
      <c r="D220" s="15"/>
      <c r="E220" s="15"/>
      <c r="F220" s="15"/>
      <c r="G220" s="422"/>
      <c r="H220" s="17" t="str">
        <f t="shared" si="19"/>
        <v/>
      </c>
      <c r="I220" s="63"/>
      <c r="J220" s="61"/>
      <c r="K220" s="399"/>
      <c r="L220" s="420" t="str">
        <f t="shared" si="17"/>
        <v/>
      </c>
      <c r="M220" s="401" t="str">
        <f t="shared" si="18"/>
        <v/>
      </c>
    </row>
    <row r="221" spans="2:13" x14ac:dyDescent="0.25">
      <c r="B221" s="58"/>
      <c r="C221" s="14"/>
      <c r="D221" s="15"/>
      <c r="E221" s="15"/>
      <c r="F221" s="15"/>
      <c r="G221" s="422"/>
      <c r="H221" s="17" t="str">
        <f t="shared" si="19"/>
        <v/>
      </c>
      <c r="I221" s="63"/>
      <c r="J221" s="61"/>
      <c r="K221" s="399"/>
      <c r="L221" s="420" t="str">
        <f t="shared" si="17"/>
        <v/>
      </c>
      <c r="M221" s="401" t="str">
        <f t="shared" si="18"/>
        <v/>
      </c>
    </row>
    <row r="222" spans="2:13" x14ac:dyDescent="0.25">
      <c r="B222" s="58"/>
      <c r="C222" s="14"/>
      <c r="D222" s="15"/>
      <c r="E222" s="15"/>
      <c r="F222" s="15"/>
      <c r="G222" s="422"/>
      <c r="H222" s="17" t="str">
        <f t="shared" si="19"/>
        <v/>
      </c>
      <c r="I222" s="63"/>
      <c r="J222" s="61"/>
      <c r="K222" s="400"/>
      <c r="L222" s="420" t="str">
        <f t="shared" si="17"/>
        <v/>
      </c>
      <c r="M222" s="401" t="str">
        <f t="shared" si="18"/>
        <v/>
      </c>
    </row>
    <row r="223" spans="2:13" x14ac:dyDescent="0.25">
      <c r="B223" s="58"/>
      <c r="C223" s="26"/>
      <c r="D223" s="15"/>
      <c r="E223" s="15"/>
      <c r="F223" s="61"/>
      <c r="G223" s="422"/>
      <c r="H223" s="17" t="str">
        <f t="shared" si="19"/>
        <v/>
      </c>
      <c r="I223" s="63"/>
      <c r="J223" s="61"/>
      <c r="K223" s="399"/>
      <c r="L223" s="420" t="str">
        <f t="shared" si="17"/>
        <v/>
      </c>
      <c r="M223" s="401" t="str">
        <f t="shared" si="18"/>
        <v/>
      </c>
    </row>
    <row r="224" spans="2:13" x14ac:dyDescent="0.25">
      <c r="B224" s="58"/>
      <c r="C224" s="14"/>
      <c r="D224" s="15"/>
      <c r="E224" s="15"/>
      <c r="F224" s="15"/>
      <c r="G224" s="422"/>
      <c r="H224" s="17" t="str">
        <f t="shared" si="19"/>
        <v/>
      </c>
      <c r="I224" s="63"/>
      <c r="J224" s="61"/>
      <c r="K224" s="399"/>
      <c r="L224" s="420" t="str">
        <f t="shared" si="17"/>
        <v/>
      </c>
      <c r="M224" s="401" t="str">
        <f t="shared" si="18"/>
        <v/>
      </c>
    </row>
    <row r="225" spans="2:13" x14ac:dyDescent="0.25">
      <c r="B225" s="58"/>
      <c r="C225" s="14"/>
      <c r="D225" s="15"/>
      <c r="E225" s="15"/>
      <c r="F225" s="61"/>
      <c r="G225" s="422"/>
      <c r="H225" s="17" t="str">
        <f t="shared" si="19"/>
        <v/>
      </c>
      <c r="I225" s="63"/>
      <c r="J225" s="61"/>
      <c r="K225" s="399"/>
      <c r="L225" s="420" t="str">
        <f t="shared" si="17"/>
        <v/>
      </c>
      <c r="M225" s="401" t="str">
        <f t="shared" si="18"/>
        <v/>
      </c>
    </row>
    <row r="226" spans="2:13" x14ac:dyDescent="0.25">
      <c r="B226" s="58"/>
      <c r="C226" s="25"/>
      <c r="D226" s="61"/>
      <c r="E226" s="61"/>
      <c r="F226" s="61"/>
      <c r="G226" s="422"/>
      <c r="H226" s="17" t="str">
        <f t="shared" si="19"/>
        <v/>
      </c>
      <c r="I226" s="63"/>
      <c r="J226" s="61"/>
      <c r="K226" s="399"/>
      <c r="L226" s="420" t="str">
        <f t="shared" si="17"/>
        <v/>
      </c>
      <c r="M226" s="401" t="str">
        <f t="shared" si="18"/>
        <v/>
      </c>
    </row>
    <row r="227" spans="2:13" x14ac:dyDescent="0.25">
      <c r="B227" s="58"/>
      <c r="C227" s="14"/>
      <c r="D227" s="15"/>
      <c r="E227" s="15"/>
      <c r="F227" s="15"/>
      <c r="G227" s="422"/>
      <c r="H227" s="17" t="str">
        <f t="shared" si="19"/>
        <v/>
      </c>
      <c r="I227" s="63"/>
      <c r="J227" s="61"/>
      <c r="K227" s="399"/>
      <c r="L227" s="420" t="str">
        <f t="shared" si="17"/>
        <v/>
      </c>
      <c r="M227" s="401" t="str">
        <f t="shared" si="18"/>
        <v/>
      </c>
    </row>
    <row r="228" spans="2:13" x14ac:dyDescent="0.25">
      <c r="B228" s="58"/>
      <c r="C228" s="25"/>
      <c r="D228" s="61"/>
      <c r="E228" s="61"/>
      <c r="F228" s="15"/>
      <c r="G228" s="422"/>
      <c r="H228" s="17" t="str">
        <f t="shared" si="19"/>
        <v/>
      </c>
      <c r="I228" s="63"/>
      <c r="J228" s="61"/>
      <c r="K228" s="399"/>
      <c r="L228" s="420" t="str">
        <f t="shared" si="17"/>
        <v/>
      </c>
      <c r="M228" s="401" t="str">
        <f t="shared" si="18"/>
        <v/>
      </c>
    </row>
    <row r="229" spans="2:13" x14ac:dyDescent="0.25">
      <c r="B229" s="58"/>
      <c r="C229" s="26"/>
      <c r="D229" s="15"/>
      <c r="E229" s="15"/>
      <c r="F229" s="15"/>
      <c r="G229" s="422"/>
      <c r="H229" s="17" t="str">
        <f t="shared" si="19"/>
        <v/>
      </c>
      <c r="I229" s="63"/>
      <c r="J229" s="61"/>
      <c r="K229" s="399"/>
      <c r="L229" s="420" t="str">
        <f t="shared" si="17"/>
        <v/>
      </c>
      <c r="M229" s="401" t="str">
        <f t="shared" si="18"/>
        <v/>
      </c>
    </row>
    <row r="230" spans="2:13" x14ac:dyDescent="0.25">
      <c r="B230" s="58"/>
      <c r="C230" s="14"/>
      <c r="D230" s="15"/>
      <c r="E230" s="15"/>
      <c r="F230" s="15"/>
      <c r="G230" s="422"/>
      <c r="H230" s="17" t="str">
        <f t="shared" si="19"/>
        <v/>
      </c>
      <c r="I230" s="63"/>
      <c r="J230" s="61"/>
      <c r="K230" s="399"/>
      <c r="L230" s="420" t="str">
        <f t="shared" si="17"/>
        <v/>
      </c>
      <c r="M230" s="401" t="str">
        <f t="shared" si="18"/>
        <v/>
      </c>
    </row>
    <row r="231" spans="2:13" x14ac:dyDescent="0.25">
      <c r="B231" s="58"/>
      <c r="C231" s="14"/>
      <c r="D231" s="15"/>
      <c r="E231" s="15"/>
      <c r="F231" s="15"/>
      <c r="G231" s="411"/>
      <c r="H231" s="17" t="str">
        <f t="shared" si="19"/>
        <v/>
      </c>
      <c r="I231" s="63"/>
      <c r="J231" s="61"/>
      <c r="K231" s="399"/>
      <c r="L231" s="420" t="str">
        <f t="shared" si="17"/>
        <v/>
      </c>
      <c r="M231" s="401" t="str">
        <f t="shared" si="18"/>
        <v/>
      </c>
    </row>
    <row r="232" spans="2:13" x14ac:dyDescent="0.25">
      <c r="B232" s="58"/>
      <c r="C232" s="14"/>
      <c r="D232" s="15"/>
      <c r="E232" s="15"/>
      <c r="F232" s="15"/>
      <c r="G232" s="411"/>
      <c r="H232" s="17" t="str">
        <f t="shared" si="19"/>
        <v/>
      </c>
      <c r="I232" s="63"/>
      <c r="J232" s="61"/>
      <c r="K232" s="399"/>
      <c r="L232" s="420" t="str">
        <f t="shared" si="17"/>
        <v/>
      </c>
      <c r="M232" s="401" t="str">
        <f t="shared" si="18"/>
        <v/>
      </c>
    </row>
    <row r="233" spans="2:13" x14ac:dyDescent="0.25">
      <c r="B233" s="58"/>
      <c r="C233" s="14"/>
      <c r="D233" s="15"/>
      <c r="E233" s="15"/>
      <c r="F233" s="15"/>
      <c r="G233" s="411"/>
      <c r="H233" s="17" t="str">
        <f t="shared" si="19"/>
        <v/>
      </c>
      <c r="I233" s="63"/>
      <c r="J233" s="61"/>
      <c r="K233" s="399"/>
      <c r="L233" s="420" t="str">
        <f t="shared" si="17"/>
        <v/>
      </c>
      <c r="M233" s="401" t="str">
        <f t="shared" si="18"/>
        <v/>
      </c>
    </row>
    <row r="234" spans="2:13" x14ac:dyDescent="0.25">
      <c r="B234" s="58"/>
      <c r="C234" s="14"/>
      <c r="D234" s="15"/>
      <c r="E234" s="15"/>
      <c r="F234" s="15"/>
      <c r="G234" s="411"/>
      <c r="H234" s="17" t="str">
        <f t="shared" si="19"/>
        <v/>
      </c>
      <c r="I234" s="63"/>
      <c r="J234" s="61"/>
      <c r="K234" s="402"/>
      <c r="L234" s="420" t="str">
        <f t="shared" si="17"/>
        <v/>
      </c>
      <c r="M234" s="401" t="str">
        <f t="shared" si="18"/>
        <v/>
      </c>
    </row>
    <row r="235" spans="2:13" x14ac:dyDescent="0.25">
      <c r="B235" s="58"/>
      <c r="C235" s="14"/>
      <c r="D235" s="15"/>
      <c r="E235" s="15"/>
      <c r="F235" s="15"/>
      <c r="G235" s="411"/>
      <c r="H235" s="17" t="str">
        <f t="shared" si="19"/>
        <v/>
      </c>
      <c r="I235" s="63"/>
      <c r="J235" s="61"/>
      <c r="K235" s="399"/>
      <c r="L235" s="420" t="str">
        <f t="shared" si="17"/>
        <v/>
      </c>
      <c r="M235" s="401" t="str">
        <f t="shared" si="18"/>
        <v/>
      </c>
    </row>
    <row r="236" spans="2:13" x14ac:dyDescent="0.25">
      <c r="B236" s="58"/>
      <c r="C236" s="14"/>
      <c r="D236" s="15"/>
      <c r="E236" s="15"/>
      <c r="F236" s="15"/>
      <c r="G236" s="411"/>
      <c r="H236" s="17" t="str">
        <f t="shared" si="19"/>
        <v/>
      </c>
      <c r="I236" s="63"/>
      <c r="J236" s="61"/>
      <c r="K236" s="402"/>
      <c r="L236" s="420" t="str">
        <f t="shared" si="17"/>
        <v/>
      </c>
      <c r="M236" s="401" t="str">
        <f t="shared" si="18"/>
        <v/>
      </c>
    </row>
    <row r="237" spans="2:13" x14ac:dyDescent="0.25">
      <c r="B237" s="58"/>
      <c r="C237" s="14"/>
      <c r="D237" s="15"/>
      <c r="E237" s="15"/>
      <c r="F237" s="24"/>
      <c r="G237" s="703"/>
      <c r="H237" s="17" t="str">
        <f t="shared" si="19"/>
        <v/>
      </c>
      <c r="I237" s="63"/>
      <c r="J237" s="61"/>
      <c r="K237" s="402"/>
      <c r="L237" s="420" t="str">
        <f t="shared" si="17"/>
        <v/>
      </c>
      <c r="M237" s="401" t="str">
        <f t="shared" si="18"/>
        <v/>
      </c>
    </row>
    <row r="238" spans="2:13" x14ac:dyDescent="0.25">
      <c r="B238" s="58"/>
      <c r="C238" s="14"/>
      <c r="D238" s="15"/>
      <c r="E238" s="15"/>
      <c r="F238" s="24"/>
      <c r="G238" s="411"/>
      <c r="H238" s="17" t="str">
        <f t="shared" si="19"/>
        <v/>
      </c>
      <c r="I238" s="63"/>
      <c r="J238" s="61"/>
      <c r="K238" s="399"/>
      <c r="L238" s="420" t="str">
        <f t="shared" si="17"/>
        <v/>
      </c>
      <c r="M238" s="401" t="str">
        <f t="shared" si="18"/>
        <v/>
      </c>
    </row>
    <row r="239" spans="2:13" x14ac:dyDescent="0.25">
      <c r="B239" s="58"/>
      <c r="C239" s="14"/>
      <c r="D239" s="15"/>
      <c r="E239" s="15"/>
      <c r="F239" s="24"/>
      <c r="G239" s="423"/>
      <c r="H239" s="17" t="str">
        <f t="shared" si="19"/>
        <v/>
      </c>
      <c r="I239" s="63"/>
      <c r="J239" s="61"/>
      <c r="K239" s="399"/>
      <c r="L239" s="420" t="str">
        <f t="shared" si="17"/>
        <v/>
      </c>
      <c r="M239" s="401" t="str">
        <f t="shared" si="18"/>
        <v/>
      </c>
    </row>
    <row r="240" spans="2:13" x14ac:dyDescent="0.25">
      <c r="B240" s="58"/>
      <c r="C240" s="14"/>
      <c r="D240" s="15"/>
      <c r="E240" s="15"/>
      <c r="F240" s="24"/>
      <c r="G240" s="411"/>
      <c r="H240" s="17" t="str">
        <f t="shared" si="19"/>
        <v/>
      </c>
      <c r="I240" s="63"/>
      <c r="J240" s="61"/>
      <c r="K240" s="399"/>
      <c r="L240" s="420" t="str">
        <f t="shared" si="17"/>
        <v/>
      </c>
      <c r="M240" s="401" t="str">
        <f t="shared" si="18"/>
        <v/>
      </c>
    </row>
    <row r="241" spans="2:13" x14ac:dyDescent="0.25">
      <c r="B241" s="58"/>
      <c r="C241" s="14"/>
      <c r="D241" s="15"/>
      <c r="E241" s="15"/>
      <c r="F241" s="24"/>
      <c r="G241" s="421"/>
      <c r="H241" s="17" t="str">
        <f t="shared" si="19"/>
        <v/>
      </c>
      <c r="I241" s="63"/>
      <c r="J241" s="61"/>
      <c r="K241" s="62"/>
      <c r="L241" s="420" t="str">
        <f>IF(J241="","",F244*K241)</f>
        <v/>
      </c>
      <c r="M241" s="401" t="str">
        <f t="shared" si="18"/>
        <v/>
      </c>
    </row>
    <row r="242" spans="2:13" x14ac:dyDescent="0.25">
      <c r="B242" s="58"/>
      <c r="C242" s="14"/>
      <c r="D242" s="15"/>
      <c r="E242" s="15"/>
      <c r="F242" s="24"/>
      <c r="G242" s="421"/>
      <c r="H242" s="17" t="str">
        <f t="shared" si="19"/>
        <v/>
      </c>
      <c r="I242" s="63"/>
      <c r="J242" s="61"/>
      <c r="K242" s="62"/>
      <c r="L242" s="420" t="str">
        <f>IF(J242="","",F249*K242)</f>
        <v/>
      </c>
      <c r="M242" s="401" t="str">
        <f t="shared" si="18"/>
        <v/>
      </c>
    </row>
    <row r="243" spans="2:13" x14ac:dyDescent="0.25">
      <c r="B243" s="58"/>
      <c r="C243" s="134"/>
      <c r="D243" s="15"/>
      <c r="E243" s="15"/>
      <c r="F243" s="24"/>
      <c r="G243" s="421"/>
      <c r="H243" s="17"/>
      <c r="I243" s="63"/>
      <c r="J243" s="61"/>
      <c r="K243" s="696"/>
      <c r="L243" s="420" t="str">
        <f>IF(J243="","",F250*K243)</f>
        <v/>
      </c>
      <c r="M243" s="401" t="str">
        <f t="shared" si="18"/>
        <v/>
      </c>
    </row>
    <row r="244" spans="2:13" s="28" customFormat="1" ht="20.149999999999999" customHeight="1" x14ac:dyDescent="0.25">
      <c r="B244" s="135" t="str">
        <f>$B$12</f>
        <v>C2.1</v>
      </c>
      <c r="C244" s="498" t="str">
        <f>"TOTAL CARRIED FORWARD"&amp;IF(H244=H$1," TO SUMMARY","")</f>
        <v>TOTAL CARRIED FORWARD TO SUMMARY</v>
      </c>
      <c r="D244" s="31"/>
      <c r="E244" s="31"/>
      <c r="F244" s="32"/>
      <c r="G244" s="31"/>
      <c r="H244" s="33">
        <f>SUM(H199:H243)</f>
        <v>289800.00000000006</v>
      </c>
      <c r="I244" s="34"/>
      <c r="J244" s="408"/>
      <c r="K244" s="406"/>
      <c r="L244" s="418">
        <f>SUM(L199:L243)</f>
        <v>117855.00000000003</v>
      </c>
      <c r="M244" s="407" t="str">
        <f>IF(F248="","",IF(SUM(I248)=0,"",L244/I243))</f>
        <v/>
      </c>
    </row>
    <row r="245" spans="2:13" ht="13" x14ac:dyDescent="0.25">
      <c r="B245" s="1108" t="str">
        <f>Client1</f>
        <v>Province of KwaZulu-Natal</v>
      </c>
      <c r="C245" s="1108"/>
      <c r="D245" s="1108"/>
      <c r="E245" s="87"/>
      <c r="F245" s="1109" t="str">
        <f>"Contract No. "&amp;ContractNo</f>
        <v>Contract No. ZNB 00399/00000/HOD/INF/21/T</v>
      </c>
      <c r="G245" s="1109"/>
      <c r="H245" s="1109"/>
    </row>
    <row r="246" spans="2:13" ht="13" x14ac:dyDescent="0.25">
      <c r="B246" s="1108" t="str">
        <f>Client2</f>
        <v>Department of Transport</v>
      </c>
      <c r="C246" s="1108"/>
      <c r="D246" s="1108"/>
      <c r="E246" s="87"/>
      <c r="F246" s="1109"/>
      <c r="G246" s="1109"/>
      <c r="H246" s="1109"/>
    </row>
    <row r="247" spans="2:13" x14ac:dyDescent="0.25">
      <c r="B247" s="1111"/>
      <c r="C247" s="1111"/>
      <c r="D247" s="1111"/>
      <c r="E247" s="78"/>
      <c r="F247" s="1110"/>
      <c r="G247" s="1110"/>
      <c r="H247" s="1110"/>
    </row>
    <row r="248" spans="2:13" ht="13" x14ac:dyDescent="0.25">
      <c r="B248" s="1112" t="s">
        <v>8</v>
      </c>
      <c r="C248" s="1113"/>
      <c r="D248" s="1113"/>
      <c r="E248" s="1113"/>
      <c r="F248" s="1113"/>
      <c r="G248" s="1113"/>
      <c r="H248" s="1114" t="str">
        <f>$H$6</f>
        <v>CHAPTER C2.1</v>
      </c>
      <c r="I248" s="6"/>
    </row>
    <row r="249" spans="2:13" ht="13" x14ac:dyDescent="0.25">
      <c r="B249" s="1117" t="str">
        <f>ContractDescription</f>
        <v>THE CONSTRUCTION OF EARTHWORKS, LAYERWORKS, SURFACING, CULVERTS AND CWAKA RIVER BRIDGE FROM KM 11.600 TO KM 14.000 ON MAIN ROAD P494 IN THE KING CETSHWAYO DISTRICT UNDER EMPANGENI REGION</v>
      </c>
      <c r="C249" s="1118"/>
      <c r="D249" s="1118"/>
      <c r="E249" s="1118"/>
      <c r="F249" s="1118"/>
      <c r="G249" s="1118"/>
      <c r="H249" s="1115"/>
      <c r="I249" s="8"/>
    </row>
    <row r="250" spans="2:13" ht="13" x14ac:dyDescent="0.25">
      <c r="B250" s="1117"/>
      <c r="C250" s="1118"/>
      <c r="D250" s="1118"/>
      <c r="E250" s="1118"/>
      <c r="F250" s="1118"/>
      <c r="G250" s="1118"/>
      <c r="H250" s="1115"/>
      <c r="I250" s="8"/>
    </row>
    <row r="251" spans="2:13" ht="13" x14ac:dyDescent="0.25">
      <c r="B251" s="1119"/>
      <c r="C251" s="1120"/>
      <c r="D251" s="1120"/>
      <c r="E251" s="1120"/>
      <c r="F251" s="1120"/>
      <c r="G251" s="1120"/>
      <c r="H251" s="1116"/>
      <c r="I251" s="8"/>
    </row>
    <row r="252" spans="2:13" s="9" customFormat="1" ht="25" customHeight="1" x14ac:dyDescent="0.25">
      <c r="B252" s="74" t="s">
        <v>0</v>
      </c>
      <c r="C252" s="11" t="s">
        <v>1</v>
      </c>
      <c r="D252" s="11" t="s">
        <v>2</v>
      </c>
      <c r="E252" s="11"/>
      <c r="F252" s="11" t="s">
        <v>3</v>
      </c>
      <c r="G252" s="11" t="s">
        <v>4</v>
      </c>
      <c r="H252" s="11" t="s">
        <v>5</v>
      </c>
      <c r="I252" s="12"/>
      <c r="J252" s="408" t="s">
        <v>996</v>
      </c>
      <c r="K252" s="253" t="s">
        <v>997</v>
      </c>
      <c r="L252" s="253" t="s">
        <v>998</v>
      </c>
      <c r="M252" s="253" t="s">
        <v>999</v>
      </c>
    </row>
    <row r="253" spans="2:13" s="28" customFormat="1" ht="20.149999999999999" customHeight="1" x14ac:dyDescent="0.25">
      <c r="B253" s="80"/>
      <c r="C253" s="30" t="s">
        <v>27</v>
      </c>
      <c r="D253" s="31"/>
      <c r="E253" s="31"/>
      <c r="F253" s="32"/>
      <c r="G253" s="31"/>
      <c r="H253" s="33">
        <f>H244</f>
        <v>289800.00000000006</v>
      </c>
      <c r="I253" s="34"/>
      <c r="J253" s="416"/>
      <c r="K253" s="409"/>
      <c r="L253" s="419">
        <f>L244</f>
        <v>117855.00000000003</v>
      </c>
      <c r="M253" s="410" t="str">
        <f>IF(F253="","",IF(SUM(I253)=0,"",L253/I253))</f>
        <v/>
      </c>
    </row>
    <row r="254" spans="2:13" x14ac:dyDescent="0.25">
      <c r="B254" s="58"/>
      <c r="C254" s="134"/>
      <c r="D254" s="15"/>
      <c r="E254" s="15"/>
      <c r="F254" s="24"/>
      <c r="G254" s="421"/>
      <c r="H254" s="17"/>
      <c r="I254" s="63"/>
      <c r="J254" s="61"/>
      <c r="K254" s="399"/>
      <c r="L254" s="420" t="str">
        <f t="shared" ref="L254:L288" si="20">IF(J254="","",F254*K254)</f>
        <v/>
      </c>
      <c r="M254" s="401" t="str">
        <f t="shared" ref="M254:M292" si="21">IF(J254="","",IF(SUM(H254)=0,"",L254/H254))</f>
        <v/>
      </c>
    </row>
    <row r="255" spans="2:13" x14ac:dyDescent="0.25">
      <c r="B255" s="58"/>
      <c r="C255" s="26"/>
      <c r="D255" s="15"/>
      <c r="E255" s="15"/>
      <c r="F255" s="24"/>
      <c r="G255" s="422"/>
      <c r="H255" s="17" t="str">
        <f t="shared" ref="H255:H291" si="22">IF(D255="","",F255*G255)</f>
        <v/>
      </c>
      <c r="I255" s="63"/>
      <c r="J255" s="61"/>
      <c r="K255" s="399"/>
      <c r="L255" s="420" t="str">
        <f t="shared" si="20"/>
        <v/>
      </c>
      <c r="M255" s="401" t="str">
        <f t="shared" si="21"/>
        <v/>
      </c>
    </row>
    <row r="256" spans="2:13" x14ac:dyDescent="0.25">
      <c r="B256" s="58"/>
      <c r="C256" s="14"/>
      <c r="D256" s="15"/>
      <c r="E256" s="15"/>
      <c r="F256" s="24"/>
      <c r="G256" s="421"/>
      <c r="H256" s="17" t="str">
        <f t="shared" si="22"/>
        <v/>
      </c>
      <c r="I256" s="63"/>
      <c r="J256" s="61"/>
      <c r="K256" s="399"/>
      <c r="L256" s="420" t="str">
        <f t="shared" si="20"/>
        <v/>
      </c>
      <c r="M256" s="401" t="str">
        <f t="shared" si="21"/>
        <v/>
      </c>
    </row>
    <row r="257" spans="2:13" x14ac:dyDescent="0.25">
      <c r="B257" s="58"/>
      <c r="C257" s="14"/>
      <c r="D257" s="15"/>
      <c r="E257" s="15"/>
      <c r="F257" s="24"/>
      <c r="G257" s="423"/>
      <c r="H257" s="17" t="str">
        <f t="shared" si="22"/>
        <v/>
      </c>
      <c r="I257" s="63"/>
      <c r="J257" s="61"/>
      <c r="K257" s="399"/>
      <c r="L257" s="420" t="str">
        <f t="shared" si="20"/>
        <v/>
      </c>
      <c r="M257" s="401" t="str">
        <f t="shared" si="21"/>
        <v/>
      </c>
    </row>
    <row r="258" spans="2:13" x14ac:dyDescent="0.25">
      <c r="B258" s="58"/>
      <c r="C258" s="14"/>
      <c r="D258" s="15"/>
      <c r="E258" s="15"/>
      <c r="F258" s="24"/>
      <c r="G258" s="421"/>
      <c r="H258" s="17" t="str">
        <f t="shared" si="22"/>
        <v/>
      </c>
      <c r="I258" s="63"/>
      <c r="J258" s="61"/>
      <c r="K258" s="400"/>
      <c r="L258" s="420" t="str">
        <f t="shared" si="20"/>
        <v/>
      </c>
      <c r="M258" s="401" t="str">
        <f t="shared" si="21"/>
        <v/>
      </c>
    </row>
    <row r="259" spans="2:13" x14ac:dyDescent="0.25">
      <c r="B259" s="58"/>
      <c r="C259" s="14"/>
      <c r="D259" s="15"/>
      <c r="E259" s="15"/>
      <c r="F259" s="24"/>
      <c r="G259" s="411"/>
      <c r="H259" s="17" t="str">
        <f t="shared" si="22"/>
        <v/>
      </c>
      <c r="I259" s="63"/>
      <c r="J259" s="61"/>
      <c r="K259" s="399"/>
      <c r="L259" s="420" t="str">
        <f t="shared" si="20"/>
        <v/>
      </c>
      <c r="M259" s="401" t="str">
        <f t="shared" si="21"/>
        <v/>
      </c>
    </row>
    <row r="260" spans="2:13" x14ac:dyDescent="0.25">
      <c r="B260" s="58"/>
      <c r="C260" s="14"/>
      <c r="D260" s="15"/>
      <c r="E260" s="15"/>
      <c r="F260" s="24"/>
      <c r="G260" s="411"/>
      <c r="H260" s="17" t="str">
        <f t="shared" si="22"/>
        <v/>
      </c>
      <c r="I260" s="63"/>
      <c r="J260" s="61"/>
      <c r="K260" s="399"/>
      <c r="L260" s="420" t="str">
        <f t="shared" si="20"/>
        <v/>
      </c>
      <c r="M260" s="401" t="str">
        <f t="shared" si="21"/>
        <v/>
      </c>
    </row>
    <row r="261" spans="2:13" x14ac:dyDescent="0.25">
      <c r="B261" s="58"/>
      <c r="C261" s="14"/>
      <c r="D261" s="15"/>
      <c r="E261" s="15"/>
      <c r="F261" s="24"/>
      <c r="G261" s="422"/>
      <c r="H261" s="17" t="str">
        <f t="shared" si="22"/>
        <v/>
      </c>
      <c r="I261" s="63"/>
      <c r="J261" s="61"/>
      <c r="K261" s="399"/>
      <c r="L261" s="420" t="str">
        <f t="shared" si="20"/>
        <v/>
      </c>
      <c r="M261" s="401" t="str">
        <f t="shared" si="21"/>
        <v/>
      </c>
    </row>
    <row r="262" spans="2:13" x14ac:dyDescent="0.25">
      <c r="B262" s="58"/>
      <c r="C262" s="14"/>
      <c r="D262" s="15"/>
      <c r="E262" s="15"/>
      <c r="F262" s="24"/>
      <c r="G262" s="422"/>
      <c r="H262" s="17" t="str">
        <f t="shared" si="22"/>
        <v/>
      </c>
      <c r="I262" s="63"/>
      <c r="J262" s="61"/>
      <c r="K262" s="402"/>
      <c r="L262" s="420" t="str">
        <f t="shared" si="20"/>
        <v/>
      </c>
      <c r="M262" s="401" t="str">
        <f t="shared" si="21"/>
        <v/>
      </c>
    </row>
    <row r="263" spans="2:13" x14ac:dyDescent="0.25">
      <c r="B263" s="58"/>
      <c r="C263" s="14"/>
      <c r="D263" s="15"/>
      <c r="E263" s="15"/>
      <c r="F263" s="24"/>
      <c r="G263" s="423"/>
      <c r="H263" s="17" t="str">
        <f t="shared" si="22"/>
        <v/>
      </c>
      <c r="I263" s="63"/>
      <c r="J263" s="61"/>
      <c r="K263" s="402"/>
      <c r="L263" s="420" t="str">
        <f t="shared" si="20"/>
        <v/>
      </c>
      <c r="M263" s="401" t="str">
        <f t="shared" si="21"/>
        <v/>
      </c>
    </row>
    <row r="264" spans="2:13" x14ac:dyDescent="0.25">
      <c r="B264" s="58"/>
      <c r="C264" s="14"/>
      <c r="D264" s="15"/>
      <c r="E264" s="15"/>
      <c r="F264" s="24"/>
      <c r="G264" s="411"/>
      <c r="H264" s="17" t="str">
        <f t="shared" si="22"/>
        <v/>
      </c>
      <c r="I264" s="63"/>
      <c r="J264" s="61"/>
      <c r="K264" s="402"/>
      <c r="L264" s="420" t="str">
        <f t="shared" si="20"/>
        <v/>
      </c>
      <c r="M264" s="401" t="str">
        <f t="shared" si="21"/>
        <v/>
      </c>
    </row>
    <row r="265" spans="2:13" x14ac:dyDescent="0.25">
      <c r="B265" s="58"/>
      <c r="C265" s="14"/>
      <c r="D265" s="15"/>
      <c r="E265" s="15"/>
      <c r="F265" s="24"/>
      <c r="G265" s="411"/>
      <c r="H265" s="17" t="str">
        <f t="shared" si="22"/>
        <v/>
      </c>
      <c r="I265" s="63"/>
      <c r="J265" s="61"/>
      <c r="K265" s="402"/>
      <c r="L265" s="420" t="str">
        <f t="shared" si="20"/>
        <v/>
      </c>
      <c r="M265" s="401" t="str">
        <f t="shared" si="21"/>
        <v/>
      </c>
    </row>
    <row r="266" spans="2:13" x14ac:dyDescent="0.25">
      <c r="B266" s="58"/>
      <c r="C266" s="14"/>
      <c r="D266" s="15"/>
      <c r="E266" s="15"/>
      <c r="F266" s="24"/>
      <c r="G266" s="411"/>
      <c r="H266" s="17" t="str">
        <f t="shared" si="22"/>
        <v/>
      </c>
      <c r="I266" s="63"/>
      <c r="J266" s="61"/>
      <c r="K266" s="402"/>
      <c r="L266" s="420" t="str">
        <f t="shared" si="20"/>
        <v/>
      </c>
      <c r="M266" s="401" t="str">
        <f t="shared" si="21"/>
        <v/>
      </c>
    </row>
    <row r="267" spans="2:13" x14ac:dyDescent="0.25">
      <c r="B267" s="58"/>
      <c r="C267" s="14"/>
      <c r="D267" s="15"/>
      <c r="E267" s="15"/>
      <c r="F267" s="24"/>
      <c r="G267" s="422"/>
      <c r="H267" s="17" t="str">
        <f t="shared" si="22"/>
        <v/>
      </c>
      <c r="I267" s="63"/>
      <c r="J267" s="61"/>
      <c r="K267" s="402"/>
      <c r="L267" s="420" t="str">
        <f t="shared" si="20"/>
        <v/>
      </c>
      <c r="M267" s="401" t="str">
        <f t="shared" si="21"/>
        <v/>
      </c>
    </row>
    <row r="268" spans="2:13" x14ac:dyDescent="0.25">
      <c r="B268" s="58"/>
      <c r="C268" s="14"/>
      <c r="D268" s="15"/>
      <c r="E268" s="15"/>
      <c r="F268" s="24"/>
      <c r="G268" s="411"/>
      <c r="H268" s="17" t="str">
        <f t="shared" si="22"/>
        <v/>
      </c>
      <c r="I268" s="63"/>
      <c r="J268" s="61"/>
      <c r="K268" s="399"/>
      <c r="L268" s="420" t="str">
        <f t="shared" si="20"/>
        <v/>
      </c>
      <c r="M268" s="401" t="str">
        <f t="shared" si="21"/>
        <v/>
      </c>
    </row>
    <row r="269" spans="2:13" x14ac:dyDescent="0.25">
      <c r="B269" s="58"/>
      <c r="C269" s="14"/>
      <c r="D269" s="15"/>
      <c r="E269" s="15"/>
      <c r="F269" s="24"/>
      <c r="G269" s="423"/>
      <c r="H269" s="17" t="str">
        <f t="shared" si="22"/>
        <v/>
      </c>
      <c r="I269" s="63"/>
      <c r="J269" s="61"/>
      <c r="K269" s="399"/>
      <c r="L269" s="420" t="str">
        <f t="shared" si="20"/>
        <v/>
      </c>
      <c r="M269" s="401" t="str">
        <f t="shared" si="21"/>
        <v/>
      </c>
    </row>
    <row r="270" spans="2:13" x14ac:dyDescent="0.25">
      <c r="B270" s="58"/>
      <c r="C270" s="14"/>
      <c r="D270" s="15"/>
      <c r="E270" s="15"/>
      <c r="F270" s="15"/>
      <c r="G270" s="411"/>
      <c r="H270" s="17" t="str">
        <f t="shared" si="22"/>
        <v/>
      </c>
      <c r="I270" s="63"/>
      <c r="J270" s="61"/>
      <c r="K270" s="400"/>
      <c r="L270" s="420" t="str">
        <f t="shared" si="20"/>
        <v/>
      </c>
      <c r="M270" s="401" t="str">
        <f t="shared" si="21"/>
        <v/>
      </c>
    </row>
    <row r="271" spans="2:13" x14ac:dyDescent="0.25">
      <c r="B271" s="58"/>
      <c r="C271" s="14"/>
      <c r="D271" s="15"/>
      <c r="E271" s="15"/>
      <c r="F271" s="15"/>
      <c r="G271" s="422"/>
      <c r="H271" s="17" t="str">
        <f t="shared" si="22"/>
        <v/>
      </c>
      <c r="I271" s="63"/>
      <c r="J271" s="61"/>
      <c r="K271" s="399"/>
      <c r="L271" s="420" t="str">
        <f t="shared" si="20"/>
        <v/>
      </c>
      <c r="M271" s="401" t="str">
        <f t="shared" si="21"/>
        <v/>
      </c>
    </row>
    <row r="272" spans="2:13" x14ac:dyDescent="0.25">
      <c r="B272" s="58"/>
      <c r="C272" s="14"/>
      <c r="D272" s="15"/>
      <c r="E272" s="15"/>
      <c r="F272" s="15"/>
      <c r="G272" s="422"/>
      <c r="H272" s="17" t="str">
        <f t="shared" si="22"/>
        <v/>
      </c>
      <c r="I272" s="63"/>
      <c r="J272" s="61"/>
      <c r="K272" s="399"/>
      <c r="L272" s="420" t="str">
        <f t="shared" si="20"/>
        <v/>
      </c>
      <c r="M272" s="401" t="str">
        <f t="shared" si="21"/>
        <v/>
      </c>
    </row>
    <row r="273" spans="2:13" x14ac:dyDescent="0.25">
      <c r="B273" s="58"/>
      <c r="C273" s="14"/>
      <c r="D273" s="15"/>
      <c r="E273" s="15"/>
      <c r="F273" s="15"/>
      <c r="G273" s="422"/>
      <c r="H273" s="17" t="str">
        <f t="shared" si="22"/>
        <v/>
      </c>
      <c r="I273" s="63"/>
      <c r="J273" s="61"/>
      <c r="K273" s="399"/>
      <c r="L273" s="420" t="str">
        <f t="shared" si="20"/>
        <v/>
      </c>
      <c r="M273" s="401" t="str">
        <f t="shared" si="21"/>
        <v/>
      </c>
    </row>
    <row r="274" spans="2:13" x14ac:dyDescent="0.25">
      <c r="B274" s="58"/>
      <c r="C274" s="14"/>
      <c r="D274" s="15"/>
      <c r="E274" s="15"/>
      <c r="F274" s="15"/>
      <c r="G274" s="422"/>
      <c r="H274" s="17" t="str">
        <f t="shared" si="22"/>
        <v/>
      </c>
      <c r="I274" s="63"/>
      <c r="J274" s="61"/>
      <c r="K274" s="399"/>
      <c r="L274" s="420" t="str">
        <f t="shared" si="20"/>
        <v/>
      </c>
      <c r="M274" s="401" t="str">
        <f t="shared" si="21"/>
        <v/>
      </c>
    </row>
    <row r="275" spans="2:13" x14ac:dyDescent="0.25">
      <c r="B275" s="58"/>
      <c r="C275" s="14"/>
      <c r="D275" s="15"/>
      <c r="E275" s="15"/>
      <c r="F275" s="15"/>
      <c r="G275" s="424"/>
      <c r="H275" s="17" t="str">
        <f t="shared" si="22"/>
        <v/>
      </c>
      <c r="I275" s="63"/>
      <c r="J275" s="61"/>
      <c r="K275" s="399"/>
      <c r="L275" s="420" t="str">
        <f t="shared" si="20"/>
        <v/>
      </c>
      <c r="M275" s="401" t="str">
        <f t="shared" si="21"/>
        <v/>
      </c>
    </row>
    <row r="276" spans="2:13" x14ac:dyDescent="0.25">
      <c r="B276" s="58"/>
      <c r="C276" s="14"/>
      <c r="D276" s="15"/>
      <c r="E276" s="15"/>
      <c r="F276" s="15"/>
      <c r="G276" s="422"/>
      <c r="H276" s="17" t="str">
        <f t="shared" si="22"/>
        <v/>
      </c>
      <c r="I276" s="63"/>
      <c r="J276" s="61"/>
      <c r="K276" s="400"/>
      <c r="L276" s="420" t="str">
        <f t="shared" si="20"/>
        <v/>
      </c>
      <c r="M276" s="401" t="str">
        <f t="shared" si="21"/>
        <v/>
      </c>
    </row>
    <row r="277" spans="2:13" x14ac:dyDescent="0.25">
      <c r="B277" s="58"/>
      <c r="C277" s="14"/>
      <c r="D277" s="15"/>
      <c r="E277" s="15"/>
      <c r="F277" s="15"/>
      <c r="G277" s="422"/>
      <c r="H277" s="17" t="str">
        <f t="shared" si="22"/>
        <v/>
      </c>
      <c r="I277" s="63"/>
      <c r="J277" s="61"/>
      <c r="K277" s="399"/>
      <c r="L277" s="420" t="str">
        <f t="shared" si="20"/>
        <v/>
      </c>
      <c r="M277" s="401" t="str">
        <f t="shared" si="21"/>
        <v/>
      </c>
    </row>
    <row r="278" spans="2:13" x14ac:dyDescent="0.25">
      <c r="B278" s="58"/>
      <c r="C278" s="14"/>
      <c r="D278" s="15"/>
      <c r="E278" s="15"/>
      <c r="F278" s="15"/>
      <c r="G278" s="422"/>
      <c r="H278" s="17" t="str">
        <f t="shared" si="22"/>
        <v/>
      </c>
      <c r="I278" s="63"/>
      <c r="J278" s="61"/>
      <c r="K278" s="399"/>
      <c r="L278" s="420" t="str">
        <f t="shared" si="20"/>
        <v/>
      </c>
      <c r="M278" s="401" t="str">
        <f t="shared" si="21"/>
        <v/>
      </c>
    </row>
    <row r="279" spans="2:13" x14ac:dyDescent="0.25">
      <c r="B279" s="58"/>
      <c r="C279" s="26"/>
      <c r="D279" s="15"/>
      <c r="E279" s="15"/>
      <c r="F279" s="61"/>
      <c r="G279" s="422"/>
      <c r="H279" s="17" t="str">
        <f t="shared" si="22"/>
        <v/>
      </c>
      <c r="I279" s="63"/>
      <c r="J279" s="61"/>
      <c r="K279" s="399"/>
      <c r="L279" s="420" t="str">
        <f t="shared" si="20"/>
        <v/>
      </c>
      <c r="M279" s="401" t="str">
        <f t="shared" si="21"/>
        <v/>
      </c>
    </row>
    <row r="280" spans="2:13" x14ac:dyDescent="0.25">
      <c r="B280" s="58"/>
      <c r="C280" s="14"/>
      <c r="D280" s="15"/>
      <c r="E280" s="15"/>
      <c r="F280" s="15"/>
      <c r="G280" s="422"/>
      <c r="H280" s="17" t="str">
        <f t="shared" si="22"/>
        <v/>
      </c>
      <c r="I280" s="63"/>
      <c r="J280" s="61"/>
      <c r="K280" s="399"/>
      <c r="L280" s="420" t="str">
        <f t="shared" si="20"/>
        <v/>
      </c>
      <c r="M280" s="401" t="str">
        <f t="shared" si="21"/>
        <v/>
      </c>
    </row>
    <row r="281" spans="2:13" x14ac:dyDescent="0.25">
      <c r="B281" s="58"/>
      <c r="C281" s="14"/>
      <c r="D281" s="15"/>
      <c r="E281" s="15"/>
      <c r="F281" s="61"/>
      <c r="G281" s="422"/>
      <c r="H281" s="17" t="str">
        <f t="shared" si="22"/>
        <v/>
      </c>
      <c r="I281" s="63"/>
      <c r="J281" s="61"/>
      <c r="K281" s="399"/>
      <c r="L281" s="420" t="str">
        <f t="shared" si="20"/>
        <v/>
      </c>
      <c r="M281" s="401" t="str">
        <f t="shared" si="21"/>
        <v/>
      </c>
    </row>
    <row r="282" spans="2:13" x14ac:dyDescent="0.25">
      <c r="B282" s="58"/>
      <c r="C282" s="25"/>
      <c r="D282" s="61"/>
      <c r="E282" s="61"/>
      <c r="F282" s="61"/>
      <c r="G282" s="422"/>
      <c r="H282" s="17" t="str">
        <f t="shared" si="22"/>
        <v/>
      </c>
      <c r="I282" s="63"/>
      <c r="J282" s="61"/>
      <c r="K282" s="399"/>
      <c r="L282" s="420" t="str">
        <f t="shared" si="20"/>
        <v/>
      </c>
      <c r="M282" s="401" t="str">
        <f t="shared" si="21"/>
        <v/>
      </c>
    </row>
    <row r="283" spans="2:13" x14ac:dyDescent="0.25">
      <c r="B283" s="58"/>
      <c r="C283" s="14"/>
      <c r="D283" s="15"/>
      <c r="E283" s="15"/>
      <c r="F283" s="15"/>
      <c r="G283" s="422"/>
      <c r="H283" s="17" t="str">
        <f t="shared" si="22"/>
        <v/>
      </c>
      <c r="I283" s="63"/>
      <c r="J283" s="61"/>
      <c r="K283" s="399"/>
      <c r="L283" s="420" t="str">
        <f t="shared" si="20"/>
        <v/>
      </c>
      <c r="M283" s="401" t="str">
        <f t="shared" si="21"/>
        <v/>
      </c>
    </row>
    <row r="284" spans="2:13" x14ac:dyDescent="0.25">
      <c r="B284" s="58"/>
      <c r="C284" s="25"/>
      <c r="D284" s="61"/>
      <c r="E284" s="61"/>
      <c r="F284" s="15"/>
      <c r="G284" s="422"/>
      <c r="H284" s="17" t="str">
        <f t="shared" si="22"/>
        <v/>
      </c>
      <c r="I284" s="63"/>
      <c r="J284" s="61"/>
      <c r="K284" s="399"/>
      <c r="L284" s="420" t="str">
        <f t="shared" si="20"/>
        <v/>
      </c>
      <c r="M284" s="401" t="str">
        <f t="shared" si="21"/>
        <v/>
      </c>
    </row>
    <row r="285" spans="2:13" x14ac:dyDescent="0.25">
      <c r="B285" s="58"/>
      <c r="C285" s="26"/>
      <c r="D285" s="15"/>
      <c r="E285" s="15"/>
      <c r="F285" s="15"/>
      <c r="G285" s="422"/>
      <c r="H285" s="17" t="str">
        <f t="shared" si="22"/>
        <v/>
      </c>
      <c r="I285" s="63"/>
      <c r="J285" s="61"/>
      <c r="K285" s="399"/>
      <c r="L285" s="420" t="str">
        <f t="shared" si="20"/>
        <v/>
      </c>
      <c r="M285" s="401" t="str">
        <f t="shared" si="21"/>
        <v/>
      </c>
    </row>
    <row r="286" spans="2:13" x14ac:dyDescent="0.25">
      <c r="B286" s="58"/>
      <c r="C286" s="14"/>
      <c r="D286" s="15"/>
      <c r="E286" s="15"/>
      <c r="F286" s="15"/>
      <c r="G286" s="422"/>
      <c r="H286" s="17" t="str">
        <f t="shared" si="22"/>
        <v/>
      </c>
      <c r="I286" s="63"/>
      <c r="J286" s="61"/>
      <c r="K286" s="399"/>
      <c r="L286" s="420" t="str">
        <f t="shared" si="20"/>
        <v/>
      </c>
      <c r="M286" s="401" t="str">
        <f t="shared" si="21"/>
        <v/>
      </c>
    </row>
    <row r="287" spans="2:13" ht="51" customHeight="1" x14ac:dyDescent="0.25">
      <c r="B287" s="58"/>
      <c r="C287" s="39"/>
      <c r="D287" s="15"/>
      <c r="E287" s="15"/>
      <c r="F287" s="15"/>
      <c r="G287" s="411"/>
      <c r="H287" s="17" t="str">
        <f t="shared" si="22"/>
        <v/>
      </c>
      <c r="I287" s="63"/>
      <c r="J287" s="61"/>
      <c r="K287" s="399"/>
      <c r="L287" s="420" t="str">
        <f t="shared" si="20"/>
        <v/>
      </c>
      <c r="M287" s="401" t="str">
        <f t="shared" si="21"/>
        <v/>
      </c>
    </row>
    <row r="288" spans="2:13" x14ac:dyDescent="0.25">
      <c r="B288" s="58"/>
      <c r="C288" s="14"/>
      <c r="D288" s="15"/>
      <c r="E288" s="15"/>
      <c r="F288" s="15"/>
      <c r="G288" s="411"/>
      <c r="H288" s="17" t="str">
        <f t="shared" si="22"/>
        <v/>
      </c>
      <c r="I288" s="63"/>
      <c r="J288" s="61"/>
      <c r="K288" s="402"/>
      <c r="L288" s="420" t="str">
        <f t="shared" si="20"/>
        <v/>
      </c>
      <c r="M288" s="401" t="str">
        <f t="shared" si="21"/>
        <v/>
      </c>
    </row>
    <row r="289" spans="2:13" x14ac:dyDescent="0.25">
      <c r="B289" s="58"/>
      <c r="C289" s="14"/>
      <c r="D289" s="15"/>
      <c r="E289" s="15"/>
      <c r="F289" s="15"/>
      <c r="G289" s="411"/>
      <c r="H289" s="17" t="str">
        <f t="shared" si="22"/>
        <v/>
      </c>
      <c r="I289" s="63"/>
      <c r="J289" s="61"/>
      <c r="K289" s="399"/>
      <c r="L289" s="420" t="str">
        <f>IF(J289="","",F294*K289)</f>
        <v/>
      </c>
      <c r="M289" s="401" t="str">
        <f t="shared" si="21"/>
        <v/>
      </c>
    </row>
    <row r="290" spans="2:13" x14ac:dyDescent="0.25">
      <c r="B290" s="58"/>
      <c r="C290" s="14"/>
      <c r="D290" s="15"/>
      <c r="E290" s="15"/>
      <c r="F290" s="15"/>
      <c r="G290" s="411"/>
      <c r="H290" s="17" t="str">
        <f t="shared" si="22"/>
        <v/>
      </c>
      <c r="I290" s="63"/>
      <c r="J290" s="61"/>
      <c r="K290" s="62"/>
      <c r="L290" s="420" t="str">
        <f>IF(J290="","",F298*K290)</f>
        <v/>
      </c>
      <c r="M290" s="401" t="str">
        <f t="shared" si="21"/>
        <v/>
      </c>
    </row>
    <row r="291" spans="2:13" x14ac:dyDescent="0.25">
      <c r="B291" s="58"/>
      <c r="C291" s="14"/>
      <c r="D291" s="15"/>
      <c r="E291" s="15"/>
      <c r="F291" s="15"/>
      <c r="G291" s="411"/>
      <c r="H291" s="17" t="str">
        <f t="shared" si="22"/>
        <v/>
      </c>
      <c r="I291" s="63"/>
      <c r="J291" s="61"/>
      <c r="K291" s="62"/>
      <c r="L291" s="420" t="str">
        <f>IF(J291="","",F303*K291)</f>
        <v/>
      </c>
      <c r="M291" s="401" t="str">
        <f t="shared" si="21"/>
        <v/>
      </c>
    </row>
    <row r="292" spans="2:13" x14ac:dyDescent="0.25">
      <c r="B292" s="58"/>
      <c r="C292" s="14"/>
      <c r="D292" s="15"/>
      <c r="E292" s="15"/>
      <c r="F292" s="15"/>
      <c r="G292" s="411"/>
      <c r="H292" s="17"/>
      <c r="I292" s="63"/>
      <c r="J292" s="61"/>
      <c r="K292" s="696"/>
      <c r="L292" s="420" t="str">
        <f>IF(J292="","",F304*K292)</f>
        <v/>
      </c>
      <c r="M292" s="401" t="str">
        <f t="shared" si="21"/>
        <v/>
      </c>
    </row>
    <row r="293" spans="2:13" s="28" customFormat="1" ht="20.149999999999999" customHeight="1" x14ac:dyDescent="0.25">
      <c r="B293" s="135" t="str">
        <f>$B$12</f>
        <v>C2.1</v>
      </c>
      <c r="C293" s="498" t="str">
        <f>"TOTAL CARRIED FORWARD"&amp;IF(H293=H$1," TO SUMMARY","")</f>
        <v>TOTAL CARRIED FORWARD TO SUMMARY</v>
      </c>
      <c r="D293" s="31"/>
      <c r="E293" s="31"/>
      <c r="F293" s="32"/>
      <c r="G293" s="31"/>
      <c r="H293" s="33">
        <f>SUM(H253:H292)</f>
        <v>289800.00000000006</v>
      </c>
      <c r="I293" s="34"/>
      <c r="J293" s="408"/>
      <c r="K293" s="406"/>
      <c r="L293" s="418">
        <f>SUM(L253:L292)</f>
        <v>117855.00000000003</v>
      </c>
      <c r="M293" s="407" t="str">
        <f>IF(F302="","",IF(SUM(I302)=0,"",L293/I297))</f>
        <v/>
      </c>
    </row>
    <row r="294" spans="2:13" ht="13" x14ac:dyDescent="0.25">
      <c r="B294" s="1108" t="str">
        <f>Client1</f>
        <v>Province of KwaZulu-Natal</v>
      </c>
      <c r="C294" s="1108"/>
      <c r="D294" s="1108"/>
      <c r="E294" s="87"/>
      <c r="F294" s="1109" t="str">
        <f>"Contract No. "&amp;ContractNo</f>
        <v>Contract No. ZNB 00399/00000/HOD/INF/21/T</v>
      </c>
      <c r="G294" s="1109"/>
      <c r="H294" s="1109"/>
    </row>
    <row r="295" spans="2:13" ht="13" x14ac:dyDescent="0.25">
      <c r="B295" s="1108" t="str">
        <f>Client2</f>
        <v>Department of Transport</v>
      </c>
      <c r="C295" s="1108"/>
      <c r="D295" s="1108"/>
      <c r="E295" s="87"/>
      <c r="F295" s="1109"/>
      <c r="G295" s="1109"/>
      <c r="H295" s="1109"/>
    </row>
    <row r="296" spans="2:13" x14ac:dyDescent="0.25">
      <c r="B296" s="1111"/>
      <c r="C296" s="1111"/>
      <c r="D296" s="1111"/>
      <c r="E296" s="78"/>
      <c r="F296" s="1110"/>
      <c r="G296" s="1110"/>
      <c r="H296" s="1110"/>
    </row>
    <row r="297" spans="2:13" ht="13" x14ac:dyDescent="0.25">
      <c r="B297" s="1112" t="s">
        <v>8</v>
      </c>
      <c r="C297" s="1113"/>
      <c r="D297" s="1113"/>
      <c r="E297" s="1113"/>
      <c r="F297" s="1113"/>
      <c r="G297" s="1113"/>
      <c r="H297" s="1114" t="str">
        <f>$H$6</f>
        <v>CHAPTER C2.1</v>
      </c>
      <c r="I297" s="6"/>
    </row>
    <row r="298" spans="2:13" ht="13" x14ac:dyDescent="0.25">
      <c r="B298" s="1117" t="str">
        <f>ContractDescription</f>
        <v>THE CONSTRUCTION OF EARTHWORKS, LAYERWORKS, SURFACING, CULVERTS AND CWAKA RIVER BRIDGE FROM KM 11.600 TO KM 14.000 ON MAIN ROAD P494 IN THE KING CETSHWAYO DISTRICT UNDER EMPANGENI REGION</v>
      </c>
      <c r="C298" s="1118"/>
      <c r="D298" s="1118"/>
      <c r="E298" s="1118"/>
      <c r="F298" s="1118"/>
      <c r="G298" s="1118"/>
      <c r="H298" s="1115"/>
      <c r="I298" s="8"/>
    </row>
    <row r="299" spans="2:13" ht="13" x14ac:dyDescent="0.25">
      <c r="B299" s="1117"/>
      <c r="C299" s="1118"/>
      <c r="D299" s="1118"/>
      <c r="E299" s="1118"/>
      <c r="F299" s="1118"/>
      <c r="G299" s="1118"/>
      <c r="H299" s="1115"/>
      <c r="I299" s="8"/>
    </row>
    <row r="300" spans="2:13" ht="13" x14ac:dyDescent="0.25">
      <c r="B300" s="1119"/>
      <c r="C300" s="1120"/>
      <c r="D300" s="1120"/>
      <c r="E300" s="1120"/>
      <c r="F300" s="1120"/>
      <c r="G300" s="1120"/>
      <c r="H300" s="1116"/>
      <c r="I300" s="8"/>
    </row>
    <row r="301" spans="2:13" s="9" customFormat="1" ht="25" customHeight="1" x14ac:dyDescent="0.25">
      <c r="B301" s="74" t="s">
        <v>0</v>
      </c>
      <c r="C301" s="11" t="s">
        <v>1</v>
      </c>
      <c r="D301" s="11" t="s">
        <v>2</v>
      </c>
      <c r="E301" s="11"/>
      <c r="F301" s="11" t="s">
        <v>3</v>
      </c>
      <c r="G301" s="11" t="s">
        <v>4</v>
      </c>
      <c r="H301" s="11" t="s">
        <v>5</v>
      </c>
      <c r="I301" s="12"/>
      <c r="J301" s="408" t="s">
        <v>996</v>
      </c>
      <c r="K301" s="253" t="s">
        <v>997</v>
      </c>
      <c r="L301" s="253" t="s">
        <v>998</v>
      </c>
      <c r="M301" s="253" t="s">
        <v>999</v>
      </c>
    </row>
    <row r="302" spans="2:13" s="28" customFormat="1" ht="20.149999999999999" customHeight="1" x14ac:dyDescent="0.25">
      <c r="B302" s="80"/>
      <c r="C302" s="30" t="s">
        <v>27</v>
      </c>
      <c r="D302" s="31"/>
      <c r="E302" s="31"/>
      <c r="F302" s="32"/>
      <c r="G302" s="31"/>
      <c r="H302" s="33">
        <f>H293</f>
        <v>289800.00000000006</v>
      </c>
      <c r="I302" s="34"/>
      <c r="J302" s="416"/>
      <c r="K302" s="409"/>
      <c r="L302" s="419">
        <f>L293</f>
        <v>117855.00000000003</v>
      </c>
      <c r="M302" s="410" t="str">
        <f>IF(F302="","",IF(SUM(I302)=0,"",L302/I302))</f>
        <v/>
      </c>
    </row>
    <row r="303" spans="2:13" x14ac:dyDescent="0.25">
      <c r="B303" s="58"/>
      <c r="C303" s="14"/>
      <c r="D303" s="15"/>
      <c r="E303" s="15"/>
      <c r="F303" s="15"/>
      <c r="G303" s="411"/>
      <c r="H303" s="17" t="str">
        <f t="shared" ref="H303:H348" si="23">IF(D303="","",F303*G303)</f>
        <v/>
      </c>
      <c r="I303" s="63"/>
      <c r="J303" s="61"/>
      <c r="K303" s="399"/>
      <c r="L303" s="420" t="str">
        <f t="shared" ref="L303:L349" si="24">IF(J303="","",F303*K303)</f>
        <v/>
      </c>
      <c r="M303" s="401" t="str">
        <f t="shared" ref="M303:M349" si="25">IF(J303="","",IF(SUM(H303)=0,"",L303/H303))</f>
        <v/>
      </c>
    </row>
    <row r="304" spans="2:13" x14ac:dyDescent="0.25">
      <c r="B304" s="58"/>
      <c r="C304" s="14"/>
      <c r="D304" s="15"/>
      <c r="E304" s="15"/>
      <c r="F304" s="24"/>
      <c r="G304" s="703"/>
      <c r="H304" s="17" t="str">
        <f t="shared" si="23"/>
        <v/>
      </c>
      <c r="I304" s="63"/>
      <c r="J304" s="61"/>
      <c r="K304" s="399"/>
      <c r="L304" s="420" t="str">
        <f t="shared" si="24"/>
        <v/>
      </c>
      <c r="M304" s="401" t="str">
        <f t="shared" si="25"/>
        <v/>
      </c>
    </row>
    <row r="305" spans="2:13" x14ac:dyDescent="0.25">
      <c r="B305" s="58"/>
      <c r="C305" s="14"/>
      <c r="D305" s="15"/>
      <c r="E305" s="15"/>
      <c r="F305" s="24"/>
      <c r="G305" s="411"/>
      <c r="H305" s="17" t="str">
        <f t="shared" si="23"/>
        <v/>
      </c>
      <c r="I305" s="63"/>
      <c r="J305" s="61"/>
      <c r="K305" s="399"/>
      <c r="L305" s="420" t="str">
        <f t="shared" si="24"/>
        <v/>
      </c>
      <c r="M305" s="401" t="str">
        <f t="shared" si="25"/>
        <v/>
      </c>
    </row>
    <row r="306" spans="2:13" x14ac:dyDescent="0.25">
      <c r="B306" s="58"/>
      <c r="C306" s="14"/>
      <c r="D306" s="15"/>
      <c r="E306" s="15"/>
      <c r="F306" s="24"/>
      <c r="G306" s="423"/>
      <c r="H306" s="17" t="str">
        <f t="shared" si="23"/>
        <v/>
      </c>
      <c r="I306" s="63"/>
      <c r="J306" s="61"/>
      <c r="K306" s="399"/>
      <c r="L306" s="420" t="str">
        <f t="shared" si="24"/>
        <v/>
      </c>
      <c r="M306" s="401" t="str">
        <f t="shared" si="25"/>
        <v/>
      </c>
    </row>
    <row r="307" spans="2:13" x14ac:dyDescent="0.25">
      <c r="B307" s="58"/>
      <c r="C307" s="14"/>
      <c r="D307" s="15"/>
      <c r="E307" s="15"/>
      <c r="F307" s="24"/>
      <c r="G307" s="411"/>
      <c r="H307" s="17" t="str">
        <f t="shared" si="23"/>
        <v/>
      </c>
      <c r="I307" s="63"/>
      <c r="J307" s="61"/>
      <c r="K307" s="400"/>
      <c r="L307" s="420" t="str">
        <f t="shared" si="24"/>
        <v/>
      </c>
      <c r="M307" s="401" t="str">
        <f t="shared" si="25"/>
        <v/>
      </c>
    </row>
    <row r="308" spans="2:13" x14ac:dyDescent="0.25">
      <c r="B308" s="58"/>
      <c r="C308" s="14"/>
      <c r="D308" s="15"/>
      <c r="E308" s="15"/>
      <c r="F308" s="24"/>
      <c r="G308" s="421"/>
      <c r="H308" s="17" t="str">
        <f t="shared" si="23"/>
        <v/>
      </c>
      <c r="I308" s="63"/>
      <c r="J308" s="61"/>
      <c r="K308" s="399"/>
      <c r="L308" s="420" t="str">
        <f t="shared" si="24"/>
        <v/>
      </c>
      <c r="M308" s="401" t="str">
        <f t="shared" si="25"/>
        <v/>
      </c>
    </row>
    <row r="309" spans="2:13" x14ac:dyDescent="0.25">
      <c r="B309" s="58"/>
      <c r="C309" s="14"/>
      <c r="D309" s="15"/>
      <c r="E309" s="15"/>
      <c r="F309" s="24"/>
      <c r="G309" s="421"/>
      <c r="H309" s="17" t="str">
        <f t="shared" si="23"/>
        <v/>
      </c>
      <c r="I309" s="63"/>
      <c r="J309" s="61"/>
      <c r="K309" s="399"/>
      <c r="L309" s="420" t="str">
        <f t="shared" si="24"/>
        <v/>
      </c>
      <c r="M309" s="401" t="str">
        <f t="shared" si="25"/>
        <v/>
      </c>
    </row>
    <row r="310" spans="2:13" x14ac:dyDescent="0.25">
      <c r="B310" s="58"/>
      <c r="C310" s="26"/>
      <c r="D310" s="15"/>
      <c r="E310" s="15"/>
      <c r="F310" s="24"/>
      <c r="G310" s="422"/>
      <c r="H310" s="17" t="str">
        <f t="shared" si="23"/>
        <v/>
      </c>
      <c r="I310" s="63"/>
      <c r="J310" s="61"/>
      <c r="K310" s="399"/>
      <c r="L310" s="420" t="str">
        <f t="shared" si="24"/>
        <v/>
      </c>
      <c r="M310" s="401" t="str">
        <f t="shared" si="25"/>
        <v/>
      </c>
    </row>
    <row r="311" spans="2:13" x14ac:dyDescent="0.25">
      <c r="B311" s="58"/>
      <c r="C311" s="14"/>
      <c r="D311" s="15"/>
      <c r="E311" s="15"/>
      <c r="F311" s="24"/>
      <c r="G311" s="421"/>
      <c r="H311" s="17" t="str">
        <f t="shared" si="23"/>
        <v/>
      </c>
      <c r="I311" s="63"/>
      <c r="J311" s="61"/>
      <c r="K311" s="402"/>
      <c r="L311" s="420" t="str">
        <f t="shared" si="24"/>
        <v/>
      </c>
      <c r="M311" s="401" t="str">
        <f t="shared" si="25"/>
        <v/>
      </c>
    </row>
    <row r="312" spans="2:13" x14ac:dyDescent="0.25">
      <c r="B312" s="58"/>
      <c r="C312" s="14"/>
      <c r="D312" s="15"/>
      <c r="E312" s="15"/>
      <c r="F312" s="24"/>
      <c r="G312" s="423"/>
      <c r="H312" s="17" t="str">
        <f t="shared" si="23"/>
        <v/>
      </c>
      <c r="I312" s="63"/>
      <c r="J312" s="61"/>
      <c r="K312" s="402"/>
      <c r="L312" s="420" t="str">
        <f t="shared" si="24"/>
        <v/>
      </c>
      <c r="M312" s="401" t="str">
        <f t="shared" si="25"/>
        <v/>
      </c>
    </row>
    <row r="313" spans="2:13" x14ac:dyDescent="0.25">
      <c r="B313" s="58"/>
      <c r="C313" s="14"/>
      <c r="D313" s="15"/>
      <c r="E313" s="15"/>
      <c r="F313" s="24"/>
      <c r="G313" s="421"/>
      <c r="H313" s="17" t="str">
        <f t="shared" si="23"/>
        <v/>
      </c>
      <c r="I313" s="63"/>
      <c r="J313" s="61"/>
      <c r="K313" s="402"/>
      <c r="L313" s="420" t="str">
        <f t="shared" si="24"/>
        <v/>
      </c>
      <c r="M313" s="401" t="str">
        <f t="shared" si="25"/>
        <v/>
      </c>
    </row>
    <row r="314" spans="2:13" x14ac:dyDescent="0.25">
      <c r="B314" s="58"/>
      <c r="C314" s="14"/>
      <c r="D314" s="15"/>
      <c r="E314" s="15"/>
      <c r="F314" s="24"/>
      <c r="G314" s="411"/>
      <c r="H314" s="17" t="str">
        <f t="shared" si="23"/>
        <v/>
      </c>
      <c r="I314" s="63"/>
      <c r="J314" s="61"/>
      <c r="K314" s="402"/>
      <c r="L314" s="420" t="str">
        <f t="shared" si="24"/>
        <v/>
      </c>
      <c r="M314" s="401" t="str">
        <f t="shared" si="25"/>
        <v/>
      </c>
    </row>
    <row r="315" spans="2:13" x14ac:dyDescent="0.25">
      <c r="B315" s="58"/>
      <c r="C315" s="14"/>
      <c r="D315" s="15"/>
      <c r="E315" s="15"/>
      <c r="F315" s="24"/>
      <c r="G315" s="411"/>
      <c r="H315" s="17" t="str">
        <f t="shared" si="23"/>
        <v/>
      </c>
      <c r="I315" s="63"/>
      <c r="J315" s="61"/>
      <c r="K315" s="402"/>
      <c r="L315" s="420" t="str">
        <f t="shared" si="24"/>
        <v/>
      </c>
      <c r="M315" s="401" t="str">
        <f t="shared" si="25"/>
        <v/>
      </c>
    </row>
    <row r="316" spans="2:13" x14ac:dyDescent="0.25">
      <c r="B316" s="58"/>
      <c r="C316" s="14"/>
      <c r="D316" s="15"/>
      <c r="E316" s="15"/>
      <c r="F316" s="24"/>
      <c r="G316" s="422"/>
      <c r="H316" s="17" t="str">
        <f t="shared" si="23"/>
        <v/>
      </c>
      <c r="I316" s="63"/>
      <c r="J316" s="61"/>
      <c r="K316" s="402"/>
      <c r="L316" s="420" t="str">
        <f t="shared" si="24"/>
        <v/>
      </c>
      <c r="M316" s="401" t="str">
        <f t="shared" si="25"/>
        <v/>
      </c>
    </row>
    <row r="317" spans="2:13" x14ac:dyDescent="0.25">
      <c r="B317" s="58"/>
      <c r="C317" s="14"/>
      <c r="D317" s="15"/>
      <c r="E317" s="15"/>
      <c r="F317" s="24"/>
      <c r="G317" s="422"/>
      <c r="H317" s="17" t="str">
        <f t="shared" si="23"/>
        <v/>
      </c>
      <c r="I317" s="63"/>
      <c r="J317" s="61"/>
      <c r="K317" s="399"/>
      <c r="L317" s="420" t="str">
        <f t="shared" si="24"/>
        <v/>
      </c>
      <c r="M317" s="401" t="str">
        <f t="shared" si="25"/>
        <v/>
      </c>
    </row>
    <row r="318" spans="2:13" x14ac:dyDescent="0.25">
      <c r="B318" s="58"/>
      <c r="C318" s="26"/>
      <c r="D318" s="15"/>
      <c r="E318" s="15"/>
      <c r="F318" s="24"/>
      <c r="G318" s="423"/>
      <c r="H318" s="17" t="str">
        <f t="shared" si="23"/>
        <v/>
      </c>
      <c r="I318" s="63"/>
      <c r="J318" s="61"/>
      <c r="K318" s="399"/>
      <c r="L318" s="420" t="str">
        <f t="shared" si="24"/>
        <v/>
      </c>
      <c r="M318" s="401" t="str">
        <f t="shared" si="25"/>
        <v/>
      </c>
    </row>
    <row r="319" spans="2:13" x14ac:dyDescent="0.25">
      <c r="B319" s="58"/>
      <c r="C319" s="14"/>
      <c r="D319" s="15"/>
      <c r="E319" s="15"/>
      <c r="F319" s="24"/>
      <c r="G319" s="411"/>
      <c r="H319" s="17" t="str">
        <f t="shared" si="23"/>
        <v/>
      </c>
      <c r="I319" s="63"/>
      <c r="J319" s="61"/>
      <c r="K319" s="400"/>
      <c r="L319" s="420" t="str">
        <f t="shared" si="24"/>
        <v/>
      </c>
      <c r="M319" s="401" t="str">
        <f t="shared" si="25"/>
        <v/>
      </c>
    </row>
    <row r="320" spans="2:13" x14ac:dyDescent="0.25">
      <c r="B320" s="58"/>
      <c r="C320" s="14"/>
      <c r="D320" s="15"/>
      <c r="E320" s="15"/>
      <c r="F320" s="24"/>
      <c r="G320" s="411"/>
      <c r="H320" s="17" t="str">
        <f t="shared" si="23"/>
        <v/>
      </c>
      <c r="I320" s="63"/>
      <c r="J320" s="61"/>
      <c r="K320" s="399"/>
      <c r="L320" s="420" t="str">
        <f t="shared" si="24"/>
        <v/>
      </c>
      <c r="M320" s="401" t="str">
        <f t="shared" si="25"/>
        <v/>
      </c>
    </row>
    <row r="321" spans="2:13" x14ac:dyDescent="0.25">
      <c r="B321" s="58"/>
      <c r="C321" s="14"/>
      <c r="D321" s="15"/>
      <c r="E321" s="15"/>
      <c r="F321" s="24"/>
      <c r="G321" s="411"/>
      <c r="H321" s="17" t="str">
        <f t="shared" si="23"/>
        <v/>
      </c>
      <c r="I321" s="63"/>
      <c r="J321" s="61"/>
      <c r="K321" s="399"/>
      <c r="L321" s="420" t="str">
        <f t="shared" si="24"/>
        <v/>
      </c>
      <c r="M321" s="401" t="str">
        <f t="shared" si="25"/>
        <v/>
      </c>
    </row>
    <row r="322" spans="2:13" x14ac:dyDescent="0.25">
      <c r="B322" s="58"/>
      <c r="C322" s="14"/>
      <c r="D322" s="15"/>
      <c r="E322" s="15"/>
      <c r="F322" s="24"/>
      <c r="G322" s="422"/>
      <c r="H322" s="17" t="str">
        <f t="shared" si="23"/>
        <v/>
      </c>
      <c r="I322" s="63"/>
      <c r="J322" s="61"/>
      <c r="K322" s="399"/>
      <c r="L322" s="420" t="str">
        <f t="shared" si="24"/>
        <v/>
      </c>
      <c r="M322" s="401" t="str">
        <f t="shared" si="25"/>
        <v/>
      </c>
    </row>
    <row r="323" spans="2:13" x14ac:dyDescent="0.25">
      <c r="B323" s="58"/>
      <c r="C323" s="14"/>
      <c r="D323" s="15"/>
      <c r="E323" s="15"/>
      <c r="F323" s="24"/>
      <c r="G323" s="411"/>
      <c r="H323" s="17" t="str">
        <f t="shared" si="23"/>
        <v/>
      </c>
      <c r="I323" s="63"/>
      <c r="J323" s="61"/>
      <c r="K323" s="399"/>
      <c r="L323" s="420" t="str">
        <f t="shared" si="24"/>
        <v/>
      </c>
      <c r="M323" s="401" t="str">
        <f t="shared" si="25"/>
        <v/>
      </c>
    </row>
    <row r="324" spans="2:13" x14ac:dyDescent="0.25">
      <c r="B324" s="58"/>
      <c r="C324" s="14"/>
      <c r="D324" s="15"/>
      <c r="E324" s="15"/>
      <c r="F324" s="24"/>
      <c r="G324" s="423"/>
      <c r="H324" s="17" t="str">
        <f t="shared" si="23"/>
        <v/>
      </c>
      <c r="I324" s="63"/>
      <c r="J324" s="61"/>
      <c r="K324" s="399"/>
      <c r="L324" s="420" t="str">
        <f t="shared" si="24"/>
        <v/>
      </c>
      <c r="M324" s="401" t="str">
        <f t="shared" si="25"/>
        <v/>
      </c>
    </row>
    <row r="325" spans="2:13" x14ac:dyDescent="0.25">
      <c r="B325" s="58"/>
      <c r="C325" s="14"/>
      <c r="D325" s="15"/>
      <c r="E325" s="15"/>
      <c r="F325" s="15"/>
      <c r="G325" s="411"/>
      <c r="H325" s="17" t="str">
        <f t="shared" si="23"/>
        <v/>
      </c>
      <c r="I325" s="63"/>
      <c r="J325" s="61"/>
      <c r="K325" s="400"/>
      <c r="L325" s="420" t="str">
        <f t="shared" si="24"/>
        <v/>
      </c>
      <c r="M325" s="401" t="str">
        <f t="shared" si="25"/>
        <v/>
      </c>
    </row>
    <row r="326" spans="2:13" x14ac:dyDescent="0.25">
      <c r="B326" s="58"/>
      <c r="C326" s="26"/>
      <c r="D326" s="15"/>
      <c r="E326" s="15"/>
      <c r="F326" s="15"/>
      <c r="G326" s="422"/>
      <c r="H326" s="17" t="str">
        <f t="shared" si="23"/>
        <v/>
      </c>
      <c r="I326" s="63"/>
      <c r="J326" s="61"/>
      <c r="K326" s="399"/>
      <c r="L326" s="420" t="str">
        <f t="shared" si="24"/>
        <v/>
      </c>
      <c r="M326" s="401" t="str">
        <f t="shared" si="25"/>
        <v/>
      </c>
    </row>
    <row r="327" spans="2:13" x14ac:dyDescent="0.25">
      <c r="B327" s="58"/>
      <c r="C327" s="14"/>
      <c r="D327" s="15"/>
      <c r="E327" s="15"/>
      <c r="F327" s="15"/>
      <c r="G327" s="422"/>
      <c r="H327" s="17" t="str">
        <f t="shared" si="23"/>
        <v/>
      </c>
      <c r="I327" s="63"/>
      <c r="J327" s="61"/>
      <c r="K327" s="399"/>
      <c r="L327" s="420" t="str">
        <f t="shared" si="24"/>
        <v/>
      </c>
      <c r="M327" s="401" t="str">
        <f t="shared" si="25"/>
        <v/>
      </c>
    </row>
    <row r="328" spans="2:13" x14ac:dyDescent="0.25">
      <c r="B328" s="58"/>
      <c r="C328" s="14"/>
      <c r="D328" s="15"/>
      <c r="E328" s="15"/>
      <c r="F328" s="15"/>
      <c r="G328" s="422"/>
      <c r="H328" s="17" t="str">
        <f t="shared" si="23"/>
        <v/>
      </c>
      <c r="I328" s="63"/>
      <c r="J328" s="61"/>
      <c r="K328" s="399"/>
      <c r="L328" s="420" t="str">
        <f t="shared" si="24"/>
        <v/>
      </c>
      <c r="M328" s="401" t="str">
        <f t="shared" si="25"/>
        <v/>
      </c>
    </row>
    <row r="329" spans="2:13" x14ac:dyDescent="0.25">
      <c r="B329" s="58"/>
      <c r="C329" s="14"/>
      <c r="D329" s="15"/>
      <c r="E329" s="15"/>
      <c r="F329" s="15"/>
      <c r="G329" s="422"/>
      <c r="H329" s="17" t="str">
        <f t="shared" si="23"/>
        <v/>
      </c>
      <c r="I329" s="63"/>
      <c r="J329" s="61"/>
      <c r="K329" s="399"/>
      <c r="L329" s="420" t="str">
        <f t="shared" si="24"/>
        <v/>
      </c>
      <c r="M329" s="401" t="str">
        <f t="shared" si="25"/>
        <v/>
      </c>
    </row>
    <row r="330" spans="2:13" x14ac:dyDescent="0.25">
      <c r="B330" s="58"/>
      <c r="C330" s="14"/>
      <c r="D330" s="15"/>
      <c r="E330" s="15"/>
      <c r="F330" s="15"/>
      <c r="G330" s="424"/>
      <c r="H330" s="17" t="str">
        <f t="shared" si="23"/>
        <v/>
      </c>
      <c r="I330" s="63"/>
      <c r="J330" s="61"/>
      <c r="K330" s="399"/>
      <c r="L330" s="420" t="str">
        <f t="shared" si="24"/>
        <v/>
      </c>
      <c r="M330" s="401" t="str">
        <f t="shared" si="25"/>
        <v/>
      </c>
    </row>
    <row r="331" spans="2:13" x14ac:dyDescent="0.25">
      <c r="B331" s="58"/>
      <c r="C331" s="14"/>
      <c r="D331" s="15"/>
      <c r="E331" s="15"/>
      <c r="F331" s="15"/>
      <c r="G331" s="422"/>
      <c r="H331" s="17" t="str">
        <f t="shared" si="23"/>
        <v/>
      </c>
      <c r="I331" s="63"/>
      <c r="J331" s="61"/>
      <c r="K331" s="399"/>
      <c r="L331" s="420" t="str">
        <f t="shared" si="24"/>
        <v/>
      </c>
      <c r="M331" s="401" t="str">
        <f t="shared" si="25"/>
        <v/>
      </c>
    </row>
    <row r="332" spans="2:13" x14ac:dyDescent="0.25">
      <c r="B332" s="58"/>
      <c r="C332" s="14"/>
      <c r="D332" s="15"/>
      <c r="E332" s="15"/>
      <c r="F332" s="15"/>
      <c r="G332" s="422"/>
      <c r="H332" s="17" t="str">
        <f t="shared" si="23"/>
        <v/>
      </c>
      <c r="I332" s="63"/>
      <c r="J332" s="61"/>
      <c r="K332" s="399"/>
      <c r="L332" s="420" t="str">
        <f t="shared" si="24"/>
        <v/>
      </c>
      <c r="M332" s="401" t="str">
        <f t="shared" si="25"/>
        <v/>
      </c>
    </row>
    <row r="333" spans="2:13" x14ac:dyDescent="0.25">
      <c r="B333" s="58"/>
      <c r="C333" s="14"/>
      <c r="D333" s="15"/>
      <c r="E333" s="15"/>
      <c r="F333" s="15"/>
      <c r="G333" s="422"/>
      <c r="H333" s="17" t="str">
        <f t="shared" si="23"/>
        <v/>
      </c>
      <c r="I333" s="63"/>
      <c r="J333" s="61"/>
      <c r="K333" s="399"/>
      <c r="L333" s="420" t="str">
        <f t="shared" si="24"/>
        <v/>
      </c>
      <c r="M333" s="401" t="str">
        <f t="shared" si="25"/>
        <v/>
      </c>
    </row>
    <row r="334" spans="2:13" x14ac:dyDescent="0.25">
      <c r="B334" s="58"/>
      <c r="C334" s="26"/>
      <c r="D334" s="15"/>
      <c r="E334" s="15"/>
      <c r="F334" s="61"/>
      <c r="G334" s="422"/>
      <c r="H334" s="17" t="str">
        <f t="shared" si="23"/>
        <v/>
      </c>
      <c r="I334" s="63"/>
      <c r="J334" s="61"/>
      <c r="K334" s="399"/>
      <c r="L334" s="420" t="str">
        <f t="shared" si="24"/>
        <v/>
      </c>
      <c r="M334" s="401" t="str">
        <f t="shared" si="25"/>
        <v/>
      </c>
    </row>
    <row r="335" spans="2:13" x14ac:dyDescent="0.25">
      <c r="B335" s="58"/>
      <c r="C335" s="14"/>
      <c r="D335" s="15"/>
      <c r="E335" s="15"/>
      <c r="F335" s="15"/>
      <c r="G335" s="422"/>
      <c r="H335" s="17" t="str">
        <f t="shared" si="23"/>
        <v/>
      </c>
      <c r="I335" s="63"/>
      <c r="J335" s="61"/>
      <c r="K335" s="399"/>
      <c r="L335" s="420" t="str">
        <f t="shared" si="24"/>
        <v/>
      </c>
      <c r="M335" s="401" t="str">
        <f t="shared" si="25"/>
        <v/>
      </c>
    </row>
    <row r="336" spans="2:13" x14ac:dyDescent="0.25">
      <c r="B336" s="58"/>
      <c r="C336" s="14"/>
      <c r="D336" s="15"/>
      <c r="E336" s="15"/>
      <c r="F336" s="61"/>
      <c r="G336" s="422"/>
      <c r="H336" s="17" t="str">
        <f t="shared" si="23"/>
        <v/>
      </c>
      <c r="I336" s="63"/>
      <c r="J336" s="61"/>
      <c r="K336" s="399"/>
      <c r="L336" s="420" t="str">
        <f t="shared" si="24"/>
        <v/>
      </c>
      <c r="M336" s="401" t="str">
        <f t="shared" si="25"/>
        <v/>
      </c>
    </row>
    <row r="337" spans="2:13" x14ac:dyDescent="0.25">
      <c r="B337" s="58"/>
      <c r="C337" s="25"/>
      <c r="D337" s="61"/>
      <c r="E337" s="61"/>
      <c r="F337" s="61"/>
      <c r="G337" s="422"/>
      <c r="H337" s="17" t="str">
        <f t="shared" si="23"/>
        <v/>
      </c>
      <c r="I337" s="63"/>
      <c r="J337" s="61"/>
      <c r="K337" s="402"/>
      <c r="L337" s="420" t="str">
        <f t="shared" si="24"/>
        <v/>
      </c>
      <c r="M337" s="401" t="str">
        <f t="shared" si="25"/>
        <v/>
      </c>
    </row>
    <row r="338" spans="2:13" x14ac:dyDescent="0.25">
      <c r="B338" s="58"/>
      <c r="C338" s="14"/>
      <c r="D338" s="15"/>
      <c r="E338" s="15"/>
      <c r="F338" s="15"/>
      <c r="G338" s="422"/>
      <c r="H338" s="17" t="str">
        <f t="shared" si="23"/>
        <v/>
      </c>
      <c r="I338" s="63"/>
      <c r="J338" s="62"/>
      <c r="K338" s="62"/>
      <c r="L338" s="420" t="str">
        <f t="shared" si="24"/>
        <v/>
      </c>
      <c r="M338" s="401" t="str">
        <f t="shared" si="25"/>
        <v/>
      </c>
    </row>
    <row r="339" spans="2:13" x14ac:dyDescent="0.25">
      <c r="B339" s="58"/>
      <c r="C339" s="25"/>
      <c r="D339" s="61"/>
      <c r="E339" s="61"/>
      <c r="F339" s="15"/>
      <c r="G339" s="422"/>
      <c r="H339" s="17" t="str">
        <f t="shared" si="23"/>
        <v/>
      </c>
      <c r="I339" s="63"/>
      <c r="J339" s="62"/>
      <c r="K339" s="62"/>
      <c r="L339" s="420" t="str">
        <f t="shared" si="24"/>
        <v/>
      </c>
      <c r="M339" s="401" t="str">
        <f t="shared" si="25"/>
        <v/>
      </c>
    </row>
    <row r="340" spans="2:13" x14ac:dyDescent="0.25">
      <c r="B340" s="58"/>
      <c r="C340" s="26"/>
      <c r="D340" s="15"/>
      <c r="E340" s="15"/>
      <c r="F340" s="15"/>
      <c r="G340" s="422"/>
      <c r="H340" s="17" t="str">
        <f t="shared" si="23"/>
        <v/>
      </c>
      <c r="I340" s="63"/>
      <c r="J340" s="62"/>
      <c r="K340" s="62"/>
      <c r="L340" s="420" t="str">
        <f t="shared" si="24"/>
        <v/>
      </c>
      <c r="M340" s="401" t="str">
        <f t="shared" si="25"/>
        <v/>
      </c>
    </row>
    <row r="341" spans="2:13" x14ac:dyDescent="0.25">
      <c r="B341" s="58"/>
      <c r="C341" s="14"/>
      <c r="D341" s="15"/>
      <c r="E341" s="15"/>
      <c r="F341" s="15"/>
      <c r="G341" s="422"/>
      <c r="H341" s="17" t="str">
        <f t="shared" si="23"/>
        <v/>
      </c>
      <c r="I341" s="63"/>
      <c r="J341" s="62"/>
      <c r="K341" s="62"/>
      <c r="L341" s="420" t="str">
        <f t="shared" si="24"/>
        <v/>
      </c>
      <c r="M341" s="401" t="str">
        <f t="shared" si="25"/>
        <v/>
      </c>
    </row>
    <row r="342" spans="2:13" x14ac:dyDescent="0.25">
      <c r="B342" s="58"/>
      <c r="C342" s="39"/>
      <c r="D342" s="15"/>
      <c r="E342" s="15"/>
      <c r="F342" s="15"/>
      <c r="G342" s="411"/>
      <c r="H342" s="17" t="str">
        <f t="shared" si="23"/>
        <v/>
      </c>
      <c r="I342" s="63"/>
      <c r="J342" s="62"/>
      <c r="K342" s="62"/>
      <c r="L342" s="420" t="str">
        <f t="shared" si="24"/>
        <v/>
      </c>
      <c r="M342" s="401" t="str">
        <f t="shared" si="25"/>
        <v/>
      </c>
    </row>
    <row r="343" spans="2:13" x14ac:dyDescent="0.25">
      <c r="B343" s="58"/>
      <c r="C343" s="14"/>
      <c r="D343" s="15"/>
      <c r="E343" s="15"/>
      <c r="F343" s="15"/>
      <c r="G343" s="411"/>
      <c r="H343" s="17" t="str">
        <f t="shared" si="23"/>
        <v/>
      </c>
      <c r="I343" s="63"/>
      <c r="J343" s="62"/>
      <c r="K343" s="62"/>
      <c r="L343" s="420" t="str">
        <f t="shared" si="24"/>
        <v/>
      </c>
      <c r="M343" s="401" t="str">
        <f t="shared" si="25"/>
        <v/>
      </c>
    </row>
    <row r="344" spans="2:13" x14ac:dyDescent="0.25">
      <c r="B344" s="58"/>
      <c r="C344" s="14"/>
      <c r="D344" s="15"/>
      <c r="E344" s="15"/>
      <c r="F344" s="15"/>
      <c r="G344" s="411"/>
      <c r="H344" s="17" t="str">
        <f t="shared" si="23"/>
        <v/>
      </c>
      <c r="I344" s="63"/>
      <c r="J344" s="62"/>
      <c r="K344" s="62"/>
      <c r="L344" s="420" t="str">
        <f t="shared" si="24"/>
        <v/>
      </c>
      <c r="M344" s="401" t="str">
        <f t="shared" si="25"/>
        <v/>
      </c>
    </row>
    <row r="345" spans="2:13" x14ac:dyDescent="0.25">
      <c r="B345" s="58"/>
      <c r="C345" s="14"/>
      <c r="D345" s="15"/>
      <c r="E345" s="15"/>
      <c r="F345" s="15"/>
      <c r="G345" s="411"/>
      <c r="H345" s="17" t="str">
        <f t="shared" si="23"/>
        <v/>
      </c>
      <c r="I345" s="63"/>
      <c r="J345" s="62"/>
      <c r="K345" s="62"/>
      <c r="L345" s="420" t="str">
        <f t="shared" si="24"/>
        <v/>
      </c>
      <c r="M345" s="401" t="str">
        <f t="shared" si="25"/>
        <v/>
      </c>
    </row>
    <row r="346" spans="2:13" x14ac:dyDescent="0.25">
      <c r="B346" s="58"/>
      <c r="C346" s="14"/>
      <c r="D346" s="15"/>
      <c r="E346" s="15"/>
      <c r="F346" s="15"/>
      <c r="G346" s="411"/>
      <c r="H346" s="17" t="str">
        <f t="shared" si="23"/>
        <v/>
      </c>
      <c r="I346" s="63"/>
      <c r="J346" s="61"/>
      <c r="K346" s="399"/>
      <c r="L346" s="420" t="str">
        <f t="shared" si="24"/>
        <v/>
      </c>
      <c r="M346" s="401" t="str">
        <f t="shared" si="25"/>
        <v/>
      </c>
    </row>
    <row r="347" spans="2:13" x14ac:dyDescent="0.25">
      <c r="B347" s="58"/>
      <c r="C347" s="14"/>
      <c r="D347" s="15"/>
      <c r="E347" s="15"/>
      <c r="F347" s="15"/>
      <c r="G347" s="411"/>
      <c r="H347" s="17" t="str">
        <f t="shared" si="23"/>
        <v/>
      </c>
      <c r="I347" s="63"/>
      <c r="J347" s="61"/>
      <c r="K347" s="62"/>
      <c r="L347" s="420" t="str">
        <f t="shared" si="24"/>
        <v/>
      </c>
      <c r="M347" s="401" t="str">
        <f t="shared" si="25"/>
        <v/>
      </c>
    </row>
    <row r="348" spans="2:13" x14ac:dyDescent="0.25">
      <c r="B348" s="58"/>
      <c r="C348" s="48"/>
      <c r="D348" s="15"/>
      <c r="E348" s="15"/>
      <c r="F348" s="24"/>
      <c r="G348" s="703"/>
      <c r="H348" s="17" t="str">
        <f t="shared" si="23"/>
        <v/>
      </c>
      <c r="I348" s="63"/>
      <c r="J348" s="61"/>
      <c r="K348" s="62"/>
      <c r="L348" s="420" t="str">
        <f t="shared" si="24"/>
        <v/>
      </c>
      <c r="M348" s="401" t="str">
        <f t="shared" si="25"/>
        <v/>
      </c>
    </row>
    <row r="349" spans="2:13" x14ac:dyDescent="0.25">
      <c r="B349" s="58"/>
      <c r="C349" s="14"/>
      <c r="D349" s="15"/>
      <c r="E349" s="15"/>
      <c r="F349" s="24"/>
      <c r="G349" s="411"/>
      <c r="H349" s="17"/>
      <c r="I349" s="63"/>
      <c r="J349" s="61"/>
      <c r="K349" s="696"/>
      <c r="L349" s="420" t="str">
        <f t="shared" si="24"/>
        <v/>
      </c>
      <c r="M349" s="401" t="str">
        <f t="shared" si="25"/>
        <v/>
      </c>
    </row>
    <row r="350" spans="2:13" s="28" customFormat="1" ht="20.149999999999999" customHeight="1" x14ac:dyDescent="0.25">
      <c r="B350" s="135" t="str">
        <f>$B$12</f>
        <v>C2.1</v>
      </c>
      <c r="C350" s="498" t="str">
        <f>"TOTAL CARRIED FORWARD"&amp;IF(H350=H$1," TO SUMMARY","")</f>
        <v>TOTAL CARRIED FORWARD TO SUMMARY</v>
      </c>
      <c r="D350" s="31"/>
      <c r="E350" s="31"/>
      <c r="F350" s="32"/>
      <c r="G350" s="31"/>
      <c r="H350" s="33">
        <f>SUM(H302:H349)</f>
        <v>289800.00000000006</v>
      </c>
      <c r="I350" s="34"/>
      <c r="J350" s="408"/>
      <c r="K350" s="406"/>
      <c r="L350" s="418">
        <f>SUM(L302:L349)</f>
        <v>117855.00000000003</v>
      </c>
      <c r="M350" s="407" t="str">
        <f>IF(F351="","",IF(SUM(I351)=0,"",L350/I346))</f>
        <v/>
      </c>
    </row>
    <row r="351" spans="2:13" ht="13" x14ac:dyDescent="0.25">
      <c r="B351" s="1108" t="str">
        <f>Client1</f>
        <v>Province of KwaZulu-Natal</v>
      </c>
      <c r="C351" s="1108"/>
      <c r="D351" s="1108"/>
      <c r="E351" s="87"/>
      <c r="F351" s="1109" t="str">
        <f>"Contract No. "&amp;ContractNo</f>
        <v>Contract No. ZNB 00399/00000/HOD/INF/21/T</v>
      </c>
      <c r="G351" s="1109"/>
      <c r="H351" s="1109"/>
    </row>
    <row r="352" spans="2:13" ht="13" x14ac:dyDescent="0.25">
      <c r="B352" s="1108" t="str">
        <f>Client2</f>
        <v>Department of Transport</v>
      </c>
      <c r="C352" s="1108"/>
      <c r="D352" s="1108"/>
      <c r="E352" s="87"/>
      <c r="F352" s="1109"/>
      <c r="G352" s="1109"/>
      <c r="H352" s="1109"/>
    </row>
    <row r="353" spans="2:13" x14ac:dyDescent="0.25">
      <c r="B353" s="1111"/>
      <c r="C353" s="1111"/>
      <c r="D353" s="1111"/>
      <c r="E353" s="78"/>
      <c r="F353" s="1110"/>
      <c r="G353" s="1110"/>
      <c r="H353" s="1110"/>
    </row>
    <row r="354" spans="2:13" ht="13" x14ac:dyDescent="0.25">
      <c r="B354" s="1112" t="s">
        <v>8</v>
      </c>
      <c r="C354" s="1113"/>
      <c r="D354" s="1113"/>
      <c r="E354" s="1113"/>
      <c r="F354" s="1113"/>
      <c r="G354" s="1113"/>
      <c r="H354" s="1114" t="str">
        <f>$H$6</f>
        <v>CHAPTER C2.1</v>
      </c>
      <c r="I354" s="6"/>
    </row>
    <row r="355" spans="2:13" ht="13" x14ac:dyDescent="0.25">
      <c r="B355" s="1117" t="str">
        <f>ContractDescription</f>
        <v>THE CONSTRUCTION OF EARTHWORKS, LAYERWORKS, SURFACING, CULVERTS AND CWAKA RIVER BRIDGE FROM KM 11.600 TO KM 14.000 ON MAIN ROAD P494 IN THE KING CETSHWAYO DISTRICT UNDER EMPANGENI REGION</v>
      </c>
      <c r="C355" s="1118"/>
      <c r="D355" s="1118"/>
      <c r="E355" s="1118"/>
      <c r="F355" s="1118"/>
      <c r="G355" s="1118"/>
      <c r="H355" s="1115"/>
      <c r="I355" s="8"/>
    </row>
    <row r="356" spans="2:13" ht="13" x14ac:dyDescent="0.25">
      <c r="B356" s="1117"/>
      <c r="C356" s="1118"/>
      <c r="D356" s="1118"/>
      <c r="E356" s="1118"/>
      <c r="F356" s="1118"/>
      <c r="G356" s="1118"/>
      <c r="H356" s="1115"/>
      <c r="I356" s="8"/>
    </row>
    <row r="357" spans="2:13" ht="13" x14ac:dyDescent="0.25">
      <c r="B357" s="1119"/>
      <c r="C357" s="1120"/>
      <c r="D357" s="1120"/>
      <c r="E357" s="1120"/>
      <c r="F357" s="1120"/>
      <c r="G357" s="1120"/>
      <c r="H357" s="1116"/>
      <c r="I357" s="8"/>
    </row>
    <row r="358" spans="2:13" s="9" customFormat="1" ht="25" customHeight="1" x14ac:dyDescent="0.25">
      <c r="B358" s="74" t="s">
        <v>0</v>
      </c>
      <c r="C358" s="11" t="s">
        <v>1</v>
      </c>
      <c r="D358" s="11" t="s">
        <v>2</v>
      </c>
      <c r="E358" s="11"/>
      <c r="F358" s="11" t="s">
        <v>3</v>
      </c>
      <c r="G358" s="11" t="s">
        <v>4</v>
      </c>
      <c r="H358" s="11" t="s">
        <v>5</v>
      </c>
      <c r="I358" s="12"/>
      <c r="J358" s="408" t="s">
        <v>996</v>
      </c>
      <c r="K358" s="253" t="s">
        <v>997</v>
      </c>
      <c r="L358" s="253" t="s">
        <v>998</v>
      </c>
      <c r="M358" s="253" t="s">
        <v>999</v>
      </c>
    </row>
    <row r="359" spans="2:13" s="28" customFormat="1" ht="20.149999999999999" customHeight="1" x14ac:dyDescent="0.25">
      <c r="B359" s="80"/>
      <c r="C359" s="30" t="s">
        <v>27</v>
      </c>
      <c r="D359" s="31"/>
      <c r="E359" s="31"/>
      <c r="F359" s="32"/>
      <c r="G359" s="31"/>
      <c r="H359" s="33">
        <f>H350</f>
        <v>289800.00000000006</v>
      </c>
      <c r="I359" s="34"/>
      <c r="J359" s="416"/>
      <c r="K359" s="409"/>
      <c r="L359" s="419">
        <f>L350</f>
        <v>117855.00000000003</v>
      </c>
      <c r="M359" s="410" t="str">
        <f>IF(F359="","",IF(SUM(I359)=0,"",L359/I359))</f>
        <v/>
      </c>
    </row>
    <row r="360" spans="2:13" x14ac:dyDescent="0.25">
      <c r="B360" s="58"/>
      <c r="C360" s="14"/>
      <c r="D360" s="15"/>
      <c r="E360" s="15"/>
      <c r="F360" s="24"/>
      <c r="G360" s="411"/>
      <c r="H360" s="17"/>
      <c r="I360" s="63"/>
      <c r="J360" s="61"/>
      <c r="K360" s="399"/>
      <c r="L360" s="420" t="str">
        <f t="shared" ref="L360:L416" si="26">IF(J360="","",F360*K360)</f>
        <v/>
      </c>
      <c r="M360" s="401" t="str">
        <f t="shared" ref="M360:M416" si="27">IF(J360="","",IF(SUM(H360)=0,"",L360/H360))</f>
        <v/>
      </c>
    </row>
    <row r="361" spans="2:13" x14ac:dyDescent="0.25">
      <c r="B361" s="58"/>
      <c r="C361" s="14"/>
      <c r="D361" s="15"/>
      <c r="E361" s="15"/>
      <c r="F361" s="24"/>
      <c r="G361" s="411"/>
      <c r="H361" s="17"/>
      <c r="I361" s="63"/>
      <c r="J361" s="61"/>
      <c r="K361" s="399"/>
      <c r="L361" s="420" t="str">
        <f t="shared" si="26"/>
        <v/>
      </c>
      <c r="M361" s="401" t="str">
        <f t="shared" si="27"/>
        <v/>
      </c>
    </row>
    <row r="362" spans="2:13" x14ac:dyDescent="0.25">
      <c r="B362" s="58"/>
      <c r="C362" s="14"/>
      <c r="D362" s="15"/>
      <c r="E362" s="15"/>
      <c r="F362" s="24"/>
      <c r="G362" s="423"/>
      <c r="H362" s="17" t="str">
        <f t="shared" ref="H362:H368" si="28">IF(D362="","",F362*G362)</f>
        <v/>
      </c>
      <c r="I362" s="63"/>
      <c r="J362" s="61"/>
      <c r="K362" s="399"/>
      <c r="L362" s="420" t="str">
        <f t="shared" si="26"/>
        <v/>
      </c>
      <c r="M362" s="401" t="str">
        <f t="shared" si="27"/>
        <v/>
      </c>
    </row>
    <row r="363" spans="2:13" x14ac:dyDescent="0.25">
      <c r="B363" s="58"/>
      <c r="C363" s="14"/>
      <c r="D363" s="15"/>
      <c r="E363" s="15"/>
      <c r="F363" s="24"/>
      <c r="G363" s="411"/>
      <c r="H363" s="17" t="str">
        <f t="shared" si="28"/>
        <v/>
      </c>
      <c r="I363" s="63"/>
      <c r="J363" s="61"/>
      <c r="K363" s="399"/>
      <c r="L363" s="420" t="str">
        <f t="shared" si="26"/>
        <v/>
      </c>
      <c r="M363" s="401" t="str">
        <f t="shared" si="27"/>
        <v/>
      </c>
    </row>
    <row r="364" spans="2:13" x14ac:dyDescent="0.25">
      <c r="B364" s="58"/>
      <c r="C364" s="14"/>
      <c r="D364" s="15"/>
      <c r="E364" s="15"/>
      <c r="F364" s="24"/>
      <c r="G364" s="421"/>
      <c r="H364" s="17" t="str">
        <f t="shared" si="28"/>
        <v/>
      </c>
      <c r="I364" s="63"/>
      <c r="J364" s="61"/>
      <c r="K364" s="400"/>
      <c r="L364" s="420" t="str">
        <f t="shared" si="26"/>
        <v/>
      </c>
      <c r="M364" s="401" t="str">
        <f t="shared" si="27"/>
        <v/>
      </c>
    </row>
    <row r="365" spans="2:13" x14ac:dyDescent="0.25">
      <c r="B365" s="58"/>
      <c r="C365" s="14"/>
      <c r="D365" s="15"/>
      <c r="E365" s="15"/>
      <c r="F365" s="24"/>
      <c r="G365" s="421"/>
      <c r="H365" s="17" t="str">
        <f t="shared" si="28"/>
        <v/>
      </c>
      <c r="I365" s="63"/>
      <c r="J365" s="61"/>
      <c r="K365" s="399"/>
      <c r="L365" s="420" t="str">
        <f t="shared" si="26"/>
        <v/>
      </c>
      <c r="M365" s="401" t="str">
        <f t="shared" si="27"/>
        <v/>
      </c>
    </row>
    <row r="366" spans="2:13" x14ac:dyDescent="0.25">
      <c r="B366" s="58"/>
      <c r="C366" s="26"/>
      <c r="D366" s="15"/>
      <c r="E366" s="15"/>
      <c r="F366" s="24"/>
      <c r="G366" s="422"/>
      <c r="H366" s="17" t="str">
        <f t="shared" si="28"/>
        <v/>
      </c>
      <c r="I366" s="63"/>
      <c r="J366" s="61"/>
      <c r="K366" s="399"/>
      <c r="L366" s="420" t="str">
        <f t="shared" si="26"/>
        <v/>
      </c>
      <c r="M366" s="401" t="str">
        <f t="shared" si="27"/>
        <v/>
      </c>
    </row>
    <row r="367" spans="2:13" x14ac:dyDescent="0.25">
      <c r="B367" s="58"/>
      <c r="C367" s="14"/>
      <c r="D367" s="15"/>
      <c r="E367" s="15"/>
      <c r="F367" s="24"/>
      <c r="G367" s="421"/>
      <c r="H367" s="17" t="str">
        <f t="shared" si="28"/>
        <v/>
      </c>
      <c r="I367" s="63"/>
      <c r="J367" s="61"/>
      <c r="K367" s="399"/>
      <c r="L367" s="420" t="str">
        <f t="shared" si="26"/>
        <v/>
      </c>
      <c r="M367" s="401" t="str">
        <f t="shared" si="27"/>
        <v/>
      </c>
    </row>
    <row r="368" spans="2:13" x14ac:dyDescent="0.25">
      <c r="B368" s="58"/>
      <c r="C368" s="14"/>
      <c r="D368" s="15"/>
      <c r="E368" s="15"/>
      <c r="F368" s="24"/>
      <c r="G368" s="423"/>
      <c r="H368" s="17" t="str">
        <f t="shared" si="28"/>
        <v/>
      </c>
      <c r="I368" s="63"/>
      <c r="J368" s="61"/>
      <c r="K368" s="402"/>
      <c r="L368" s="420" t="str">
        <f t="shared" si="26"/>
        <v/>
      </c>
      <c r="M368" s="401" t="str">
        <f t="shared" si="27"/>
        <v/>
      </c>
    </row>
    <row r="369" spans="2:13" x14ac:dyDescent="0.25">
      <c r="B369" s="58"/>
      <c r="C369" s="14"/>
      <c r="D369" s="15"/>
      <c r="E369" s="15"/>
      <c r="F369" s="24"/>
      <c r="G369" s="423"/>
      <c r="H369" s="17"/>
      <c r="I369" s="63"/>
      <c r="J369" s="61"/>
      <c r="K369" s="402"/>
      <c r="L369" s="420" t="str">
        <f t="shared" si="26"/>
        <v/>
      </c>
      <c r="M369" s="401" t="str">
        <f t="shared" si="27"/>
        <v/>
      </c>
    </row>
    <row r="370" spans="2:13" x14ac:dyDescent="0.25">
      <c r="B370" s="395"/>
      <c r="C370" s="238"/>
      <c r="D370" s="394"/>
      <c r="E370" s="394"/>
      <c r="F370" s="24"/>
      <c r="G370" s="423"/>
      <c r="H370" s="17"/>
      <c r="I370" s="63"/>
      <c r="J370" s="61"/>
      <c r="K370" s="402"/>
      <c r="L370" s="420" t="str">
        <f t="shared" si="26"/>
        <v/>
      </c>
      <c r="M370" s="401" t="str">
        <f t="shared" si="27"/>
        <v/>
      </c>
    </row>
    <row r="371" spans="2:13" x14ac:dyDescent="0.25">
      <c r="B371" s="395"/>
      <c r="C371" s="238"/>
      <c r="D371" s="394"/>
      <c r="E371" s="394"/>
      <c r="F371" s="24"/>
      <c r="G371" s="423"/>
      <c r="H371" s="17"/>
      <c r="I371" s="63"/>
      <c r="J371" s="61"/>
      <c r="K371" s="402"/>
      <c r="L371" s="420" t="str">
        <f t="shared" si="26"/>
        <v/>
      </c>
      <c r="M371" s="401" t="str">
        <f t="shared" si="27"/>
        <v/>
      </c>
    </row>
    <row r="372" spans="2:13" x14ac:dyDescent="0.25">
      <c r="B372" s="395"/>
      <c r="C372" s="238"/>
      <c r="D372" s="394"/>
      <c r="E372" s="394"/>
      <c r="F372" s="24"/>
      <c r="G372" s="423"/>
      <c r="H372" s="17"/>
      <c r="I372" s="63"/>
      <c r="J372" s="61"/>
      <c r="K372" s="402"/>
      <c r="L372" s="420" t="str">
        <f t="shared" si="26"/>
        <v/>
      </c>
      <c r="M372" s="401" t="str">
        <f t="shared" si="27"/>
        <v/>
      </c>
    </row>
    <row r="373" spans="2:13" x14ac:dyDescent="0.25">
      <c r="B373" s="395"/>
      <c r="C373" s="238"/>
      <c r="D373" s="394"/>
      <c r="E373" s="394"/>
      <c r="F373" s="24"/>
      <c r="G373" s="423"/>
      <c r="H373" s="17"/>
      <c r="I373" s="63"/>
      <c r="J373" s="61"/>
      <c r="K373" s="402"/>
      <c r="L373" s="420" t="str">
        <f t="shared" si="26"/>
        <v/>
      </c>
      <c r="M373" s="401" t="str">
        <f t="shared" si="27"/>
        <v/>
      </c>
    </row>
    <row r="374" spans="2:13" x14ac:dyDescent="0.25">
      <c r="B374" s="395"/>
      <c r="C374" s="238"/>
      <c r="D374" s="394"/>
      <c r="E374" s="394"/>
      <c r="F374" s="24"/>
      <c r="G374" s="423"/>
      <c r="H374" s="17"/>
      <c r="I374" s="63"/>
      <c r="J374" s="61"/>
      <c r="K374" s="399"/>
      <c r="L374" s="420" t="str">
        <f t="shared" si="26"/>
        <v/>
      </c>
      <c r="M374" s="401" t="str">
        <f t="shared" si="27"/>
        <v/>
      </c>
    </row>
    <row r="375" spans="2:13" x14ac:dyDescent="0.25">
      <c r="B375" s="395"/>
      <c r="C375" s="238"/>
      <c r="D375" s="394"/>
      <c r="E375" s="394"/>
      <c r="F375" s="24"/>
      <c r="G375" s="423"/>
      <c r="H375" s="17"/>
      <c r="I375" s="63"/>
      <c r="J375" s="61"/>
      <c r="K375" s="399"/>
      <c r="L375" s="420" t="str">
        <f t="shared" si="26"/>
        <v/>
      </c>
      <c r="M375" s="401" t="str">
        <f t="shared" si="27"/>
        <v/>
      </c>
    </row>
    <row r="376" spans="2:13" x14ac:dyDescent="0.25">
      <c r="B376" s="395"/>
      <c r="C376" s="238"/>
      <c r="D376" s="394"/>
      <c r="E376" s="394"/>
      <c r="F376" s="24"/>
      <c r="G376" s="423"/>
      <c r="H376" s="17"/>
      <c r="I376" s="63"/>
      <c r="J376" s="61"/>
      <c r="K376" s="400"/>
      <c r="L376" s="420" t="str">
        <f t="shared" si="26"/>
        <v/>
      </c>
      <c r="M376" s="401" t="str">
        <f t="shared" si="27"/>
        <v/>
      </c>
    </row>
    <row r="377" spans="2:13" x14ac:dyDescent="0.25">
      <c r="B377" s="58"/>
      <c r="C377" s="14"/>
      <c r="D377" s="15"/>
      <c r="E377" s="15"/>
      <c r="F377" s="24"/>
      <c r="G377" s="423"/>
      <c r="H377" s="17"/>
      <c r="I377" s="63"/>
      <c r="J377" s="61"/>
      <c r="K377" s="399"/>
      <c r="L377" s="420" t="str">
        <f t="shared" si="26"/>
        <v/>
      </c>
      <c r="M377" s="401" t="str">
        <f t="shared" si="27"/>
        <v/>
      </c>
    </row>
    <row r="378" spans="2:13" x14ac:dyDescent="0.25">
      <c r="B378" s="58"/>
      <c r="C378" s="14"/>
      <c r="D378" s="15"/>
      <c r="E378" s="15"/>
      <c r="F378" s="24"/>
      <c r="G378" s="423"/>
      <c r="H378" s="17"/>
      <c r="I378" s="63"/>
      <c r="J378" s="61"/>
      <c r="K378" s="399"/>
      <c r="L378" s="420" t="str">
        <f t="shared" si="26"/>
        <v/>
      </c>
      <c r="M378" s="401" t="str">
        <f t="shared" si="27"/>
        <v/>
      </c>
    </row>
    <row r="379" spans="2:13" x14ac:dyDescent="0.25">
      <c r="B379" s="58"/>
      <c r="C379" s="14"/>
      <c r="D379" s="15"/>
      <c r="E379" s="15"/>
      <c r="F379" s="24"/>
      <c r="G379" s="423"/>
      <c r="H379" s="17"/>
      <c r="I379" s="63"/>
      <c r="J379" s="61"/>
      <c r="K379" s="399"/>
      <c r="L379" s="420" t="str">
        <f t="shared" si="26"/>
        <v/>
      </c>
      <c r="M379" s="401" t="str">
        <f t="shared" si="27"/>
        <v/>
      </c>
    </row>
    <row r="380" spans="2:13" x14ac:dyDescent="0.25">
      <c r="B380" s="58"/>
      <c r="C380" s="14"/>
      <c r="D380" s="15"/>
      <c r="E380" s="15"/>
      <c r="F380" s="24"/>
      <c r="G380" s="423"/>
      <c r="H380" s="17"/>
      <c r="I380" s="63"/>
      <c r="J380" s="61"/>
      <c r="K380" s="399"/>
      <c r="L380" s="420" t="str">
        <f t="shared" si="26"/>
        <v/>
      </c>
      <c r="M380" s="401" t="str">
        <f t="shared" si="27"/>
        <v/>
      </c>
    </row>
    <row r="381" spans="2:13" x14ac:dyDescent="0.25">
      <c r="B381" s="58"/>
      <c r="C381" s="14"/>
      <c r="D381" s="15"/>
      <c r="E381" s="15"/>
      <c r="F381" s="24"/>
      <c r="G381" s="423"/>
      <c r="H381" s="17"/>
      <c r="I381" s="63"/>
      <c r="J381" s="61"/>
      <c r="K381" s="399"/>
      <c r="L381" s="420" t="str">
        <f t="shared" si="26"/>
        <v/>
      </c>
      <c r="M381" s="401" t="str">
        <f t="shared" si="27"/>
        <v/>
      </c>
    </row>
    <row r="382" spans="2:13" x14ac:dyDescent="0.25">
      <c r="B382" s="58"/>
      <c r="C382" s="14"/>
      <c r="D382" s="15"/>
      <c r="E382" s="15"/>
      <c r="F382" s="24"/>
      <c r="G382" s="423"/>
      <c r="H382" s="17"/>
      <c r="I382" s="63"/>
      <c r="J382" s="61"/>
      <c r="K382" s="400"/>
      <c r="L382" s="420" t="str">
        <f t="shared" si="26"/>
        <v/>
      </c>
      <c r="M382" s="401" t="str">
        <f t="shared" si="27"/>
        <v/>
      </c>
    </row>
    <row r="383" spans="2:13" x14ac:dyDescent="0.25">
      <c r="B383" s="58"/>
      <c r="C383" s="14"/>
      <c r="D383" s="15"/>
      <c r="E383" s="15"/>
      <c r="F383" s="24"/>
      <c r="G383" s="423"/>
      <c r="H383" s="17"/>
      <c r="I383" s="63"/>
      <c r="J383" s="61"/>
      <c r="K383" s="399"/>
      <c r="L383" s="420" t="str">
        <f t="shared" si="26"/>
        <v/>
      </c>
      <c r="M383" s="401" t="str">
        <f t="shared" si="27"/>
        <v/>
      </c>
    </row>
    <row r="384" spans="2:13" x14ac:dyDescent="0.25">
      <c r="B384" s="58"/>
      <c r="C384" s="14"/>
      <c r="D384" s="15"/>
      <c r="E384" s="15"/>
      <c r="F384" s="24"/>
      <c r="G384" s="423"/>
      <c r="H384" s="17"/>
      <c r="I384" s="63"/>
      <c r="J384" s="61"/>
      <c r="K384" s="399"/>
      <c r="L384" s="420" t="str">
        <f t="shared" si="26"/>
        <v/>
      </c>
      <c r="M384" s="401" t="str">
        <f t="shared" si="27"/>
        <v/>
      </c>
    </row>
    <row r="385" spans="2:13" x14ac:dyDescent="0.25">
      <c r="B385" s="58"/>
      <c r="C385" s="14"/>
      <c r="D385" s="15"/>
      <c r="E385" s="15"/>
      <c r="F385" s="24"/>
      <c r="G385" s="423"/>
      <c r="H385" s="17"/>
      <c r="I385" s="63"/>
      <c r="J385" s="61"/>
      <c r="K385" s="399"/>
      <c r="L385" s="420" t="str">
        <f t="shared" si="26"/>
        <v/>
      </c>
      <c r="M385" s="401" t="str">
        <f t="shared" si="27"/>
        <v/>
      </c>
    </row>
    <row r="386" spans="2:13" x14ac:dyDescent="0.25">
      <c r="B386" s="58"/>
      <c r="C386" s="14"/>
      <c r="D386" s="15"/>
      <c r="E386" s="15"/>
      <c r="F386" s="24"/>
      <c r="G386" s="423"/>
      <c r="H386" s="17"/>
      <c r="I386" s="63"/>
      <c r="J386" s="61"/>
      <c r="K386" s="399"/>
      <c r="L386" s="420" t="str">
        <f t="shared" si="26"/>
        <v/>
      </c>
      <c r="M386" s="401" t="str">
        <f t="shared" si="27"/>
        <v/>
      </c>
    </row>
    <row r="387" spans="2:13" x14ac:dyDescent="0.25">
      <c r="B387" s="58"/>
      <c r="C387" s="14"/>
      <c r="D387" s="15"/>
      <c r="E387" s="15"/>
      <c r="F387" s="24"/>
      <c r="G387" s="423"/>
      <c r="H387" s="17"/>
      <c r="I387" s="63"/>
      <c r="J387" s="61"/>
      <c r="K387" s="399"/>
      <c r="L387" s="420" t="str">
        <f t="shared" si="26"/>
        <v/>
      </c>
      <c r="M387" s="401" t="str">
        <f t="shared" si="27"/>
        <v/>
      </c>
    </row>
    <row r="388" spans="2:13" x14ac:dyDescent="0.25">
      <c r="B388" s="58"/>
      <c r="C388" s="14"/>
      <c r="D388" s="15"/>
      <c r="E388" s="15"/>
      <c r="F388" s="24"/>
      <c r="G388" s="423"/>
      <c r="H388" s="17"/>
      <c r="I388" s="63"/>
      <c r="J388" s="61"/>
      <c r="K388" s="399"/>
      <c r="L388" s="420" t="str">
        <f t="shared" si="26"/>
        <v/>
      </c>
      <c r="M388" s="401" t="str">
        <f t="shared" si="27"/>
        <v/>
      </c>
    </row>
    <row r="389" spans="2:13" x14ac:dyDescent="0.25">
      <c r="B389" s="58"/>
      <c r="C389" s="14"/>
      <c r="D389" s="15"/>
      <c r="E389" s="15"/>
      <c r="F389" s="24"/>
      <c r="G389" s="423"/>
      <c r="H389" s="17"/>
      <c r="I389" s="63"/>
      <c r="J389" s="61"/>
      <c r="K389" s="399"/>
      <c r="L389" s="420" t="str">
        <f t="shared" si="26"/>
        <v/>
      </c>
      <c r="M389" s="401" t="str">
        <f t="shared" si="27"/>
        <v/>
      </c>
    </row>
    <row r="390" spans="2:13" x14ac:dyDescent="0.25">
      <c r="B390" s="58"/>
      <c r="C390" s="14"/>
      <c r="D390" s="15"/>
      <c r="E390" s="15"/>
      <c r="F390" s="24"/>
      <c r="G390" s="423"/>
      <c r="H390" s="17"/>
      <c r="I390" s="63"/>
      <c r="J390" s="61"/>
      <c r="K390" s="399"/>
      <c r="L390" s="420" t="str">
        <f t="shared" si="26"/>
        <v/>
      </c>
      <c r="M390" s="401" t="str">
        <f t="shared" si="27"/>
        <v/>
      </c>
    </row>
    <row r="391" spans="2:13" x14ac:dyDescent="0.25">
      <c r="B391" s="58"/>
      <c r="C391" s="14"/>
      <c r="D391" s="15"/>
      <c r="E391" s="15"/>
      <c r="F391" s="24"/>
      <c r="G391" s="423"/>
      <c r="H391" s="17"/>
      <c r="I391" s="63"/>
      <c r="J391" s="61"/>
      <c r="K391" s="399"/>
      <c r="L391" s="420" t="str">
        <f t="shared" si="26"/>
        <v/>
      </c>
      <c r="M391" s="401" t="str">
        <f t="shared" si="27"/>
        <v/>
      </c>
    </row>
    <row r="392" spans="2:13" x14ac:dyDescent="0.25">
      <c r="B392" s="58"/>
      <c r="C392" s="14"/>
      <c r="D392" s="15"/>
      <c r="E392" s="15"/>
      <c r="F392" s="24"/>
      <c r="G392" s="423"/>
      <c r="H392" s="17"/>
      <c r="I392" s="63"/>
      <c r="J392" s="61"/>
      <c r="K392" s="399"/>
      <c r="L392" s="420" t="str">
        <f t="shared" si="26"/>
        <v/>
      </c>
      <c r="M392" s="401" t="str">
        <f t="shared" si="27"/>
        <v/>
      </c>
    </row>
    <row r="393" spans="2:13" x14ac:dyDescent="0.25">
      <c r="B393" s="58"/>
      <c r="C393" s="14"/>
      <c r="D393" s="15"/>
      <c r="E393" s="15"/>
      <c r="F393" s="24"/>
      <c r="G393" s="423"/>
      <c r="H393" s="17"/>
      <c r="I393" s="63"/>
      <c r="J393" s="61"/>
      <c r="K393" s="399"/>
      <c r="L393" s="420" t="str">
        <f t="shared" si="26"/>
        <v/>
      </c>
      <c r="M393" s="401" t="str">
        <f t="shared" si="27"/>
        <v/>
      </c>
    </row>
    <row r="394" spans="2:13" x14ac:dyDescent="0.25">
      <c r="B394" s="58"/>
      <c r="C394" s="14"/>
      <c r="D394" s="15"/>
      <c r="E394" s="15"/>
      <c r="F394" s="24"/>
      <c r="G394" s="423"/>
      <c r="H394" s="17"/>
      <c r="I394" s="63"/>
      <c r="J394" s="61"/>
      <c r="K394" s="402"/>
      <c r="L394" s="420" t="str">
        <f t="shared" si="26"/>
        <v/>
      </c>
      <c r="M394" s="401" t="str">
        <f t="shared" si="27"/>
        <v/>
      </c>
    </row>
    <row r="395" spans="2:13" x14ac:dyDescent="0.25">
      <c r="B395" s="58"/>
      <c r="C395" s="14"/>
      <c r="D395" s="15"/>
      <c r="E395" s="15"/>
      <c r="F395" s="24"/>
      <c r="G395" s="423"/>
      <c r="H395" s="17"/>
      <c r="I395" s="63"/>
      <c r="J395" s="62"/>
      <c r="K395" s="62"/>
      <c r="L395" s="420" t="str">
        <f t="shared" si="26"/>
        <v/>
      </c>
      <c r="M395" s="401" t="str">
        <f t="shared" si="27"/>
        <v/>
      </c>
    </row>
    <row r="396" spans="2:13" x14ac:dyDescent="0.25">
      <c r="B396" s="58"/>
      <c r="C396" s="14"/>
      <c r="D396" s="15"/>
      <c r="E396" s="15"/>
      <c r="F396" s="24"/>
      <c r="G396" s="423"/>
      <c r="H396" s="17"/>
      <c r="I396" s="63"/>
      <c r="J396" s="62"/>
      <c r="K396" s="62"/>
      <c r="L396" s="420" t="str">
        <f t="shared" si="26"/>
        <v/>
      </c>
      <c r="M396" s="401" t="str">
        <f t="shared" si="27"/>
        <v/>
      </c>
    </row>
    <row r="397" spans="2:13" x14ac:dyDescent="0.25">
      <c r="B397" s="58"/>
      <c r="C397" s="14"/>
      <c r="D397" s="15"/>
      <c r="E397" s="15"/>
      <c r="F397" s="24"/>
      <c r="G397" s="423"/>
      <c r="H397" s="17"/>
      <c r="I397" s="63"/>
      <c r="J397" s="62"/>
      <c r="K397" s="62"/>
      <c r="L397" s="420" t="str">
        <f t="shared" si="26"/>
        <v/>
      </c>
      <c r="M397" s="401" t="str">
        <f t="shared" si="27"/>
        <v/>
      </c>
    </row>
    <row r="398" spans="2:13" x14ac:dyDescent="0.25">
      <c r="B398" s="58"/>
      <c r="C398" s="14"/>
      <c r="D398" s="15"/>
      <c r="E398" s="15"/>
      <c r="F398" s="24"/>
      <c r="G398" s="423"/>
      <c r="H398" s="17"/>
      <c r="I398" s="63"/>
      <c r="J398" s="62"/>
      <c r="K398" s="62"/>
      <c r="L398" s="420" t="str">
        <f t="shared" si="26"/>
        <v/>
      </c>
      <c r="M398" s="401" t="str">
        <f t="shared" si="27"/>
        <v/>
      </c>
    </row>
    <row r="399" spans="2:13" x14ac:dyDescent="0.25">
      <c r="B399" s="58"/>
      <c r="C399" s="14"/>
      <c r="D399" s="15"/>
      <c r="E399" s="15"/>
      <c r="F399" s="24"/>
      <c r="G399" s="423"/>
      <c r="H399" s="17"/>
      <c r="I399" s="63"/>
      <c r="J399" s="62"/>
      <c r="K399" s="62"/>
      <c r="L399" s="420" t="str">
        <f t="shared" si="26"/>
        <v/>
      </c>
      <c r="M399" s="401" t="str">
        <f t="shared" si="27"/>
        <v/>
      </c>
    </row>
    <row r="400" spans="2:13" x14ac:dyDescent="0.25">
      <c r="B400" s="58"/>
      <c r="C400" s="14"/>
      <c r="D400" s="15"/>
      <c r="E400" s="15"/>
      <c r="F400" s="24"/>
      <c r="G400" s="423"/>
      <c r="H400" s="17"/>
      <c r="I400" s="63"/>
      <c r="J400" s="62"/>
      <c r="K400" s="62"/>
      <c r="L400" s="420" t="str">
        <f t="shared" si="26"/>
        <v/>
      </c>
      <c r="M400" s="401" t="str">
        <f t="shared" si="27"/>
        <v/>
      </c>
    </row>
    <row r="401" spans="2:13" x14ac:dyDescent="0.25">
      <c r="B401" s="58"/>
      <c r="C401" s="14"/>
      <c r="D401" s="15"/>
      <c r="E401" s="15"/>
      <c r="F401" s="24"/>
      <c r="G401" s="423"/>
      <c r="H401" s="17"/>
      <c r="I401" s="63"/>
      <c r="J401" s="62"/>
      <c r="K401" s="62"/>
      <c r="L401" s="420" t="str">
        <f t="shared" si="26"/>
        <v/>
      </c>
      <c r="M401" s="401" t="str">
        <f t="shared" si="27"/>
        <v/>
      </c>
    </row>
    <row r="402" spans="2:13" x14ac:dyDescent="0.25">
      <c r="B402" s="58"/>
      <c r="C402" s="14"/>
      <c r="D402" s="15"/>
      <c r="E402" s="15"/>
      <c r="F402" s="24"/>
      <c r="G402" s="423"/>
      <c r="H402" s="17"/>
      <c r="I402" s="63"/>
      <c r="J402" s="62"/>
      <c r="K402" s="62"/>
      <c r="L402" s="420" t="str">
        <f t="shared" si="26"/>
        <v/>
      </c>
      <c r="M402" s="401" t="str">
        <f t="shared" si="27"/>
        <v/>
      </c>
    </row>
    <row r="403" spans="2:13" x14ac:dyDescent="0.25">
      <c r="B403" s="58"/>
      <c r="C403" s="14"/>
      <c r="D403" s="15"/>
      <c r="E403" s="15"/>
      <c r="F403" s="24"/>
      <c r="G403" s="423"/>
      <c r="H403" s="17"/>
      <c r="I403" s="63"/>
      <c r="J403" s="62"/>
      <c r="K403" s="62"/>
      <c r="L403" s="420" t="str">
        <f t="shared" si="26"/>
        <v/>
      </c>
      <c r="M403" s="401" t="str">
        <f t="shared" si="27"/>
        <v/>
      </c>
    </row>
    <row r="404" spans="2:13" x14ac:dyDescent="0.25">
      <c r="B404" s="58"/>
      <c r="C404" s="14"/>
      <c r="D404" s="15"/>
      <c r="E404" s="15"/>
      <c r="F404" s="24"/>
      <c r="G404" s="423"/>
      <c r="H404" s="17"/>
      <c r="I404" s="63"/>
      <c r="J404" s="62"/>
      <c r="K404" s="62"/>
      <c r="L404" s="420" t="str">
        <f t="shared" si="26"/>
        <v/>
      </c>
      <c r="M404" s="401" t="str">
        <f t="shared" si="27"/>
        <v/>
      </c>
    </row>
    <row r="405" spans="2:13" x14ac:dyDescent="0.25">
      <c r="B405" s="58"/>
      <c r="C405" s="14"/>
      <c r="D405" s="15"/>
      <c r="E405" s="15"/>
      <c r="F405" s="24"/>
      <c r="G405" s="423"/>
      <c r="H405" s="17"/>
      <c r="I405" s="63"/>
      <c r="J405" s="62"/>
      <c r="K405" s="62"/>
      <c r="L405" s="420" t="str">
        <f t="shared" si="26"/>
        <v/>
      </c>
      <c r="M405" s="401" t="str">
        <f t="shared" si="27"/>
        <v/>
      </c>
    </row>
    <row r="406" spans="2:13" x14ac:dyDescent="0.25">
      <c r="B406" s="58"/>
      <c r="C406" s="14"/>
      <c r="D406" s="15"/>
      <c r="E406" s="15"/>
      <c r="F406" s="24"/>
      <c r="G406" s="423"/>
      <c r="H406" s="17"/>
      <c r="I406" s="63"/>
      <c r="J406" s="62"/>
      <c r="K406" s="62"/>
      <c r="L406" s="420" t="str">
        <f t="shared" si="26"/>
        <v/>
      </c>
      <c r="M406" s="401" t="str">
        <f t="shared" si="27"/>
        <v/>
      </c>
    </row>
    <row r="407" spans="2:13" x14ac:dyDescent="0.25">
      <c r="B407" s="58"/>
      <c r="C407" s="14"/>
      <c r="D407" s="15"/>
      <c r="E407" s="15"/>
      <c r="F407" s="24"/>
      <c r="G407" s="423"/>
      <c r="H407" s="17"/>
      <c r="I407" s="63"/>
      <c r="J407" s="62"/>
      <c r="K407" s="62"/>
      <c r="L407" s="420" t="str">
        <f t="shared" si="26"/>
        <v/>
      </c>
      <c r="M407" s="401" t="str">
        <f t="shared" si="27"/>
        <v/>
      </c>
    </row>
    <row r="408" spans="2:13" x14ac:dyDescent="0.25">
      <c r="B408" s="58"/>
      <c r="C408" s="14"/>
      <c r="D408" s="15"/>
      <c r="E408" s="15"/>
      <c r="F408" s="24"/>
      <c r="G408" s="423"/>
      <c r="H408" s="17"/>
      <c r="I408" s="63"/>
      <c r="J408" s="62"/>
      <c r="K408" s="62"/>
      <c r="L408" s="420" t="str">
        <f t="shared" si="26"/>
        <v/>
      </c>
      <c r="M408" s="401" t="str">
        <f t="shared" si="27"/>
        <v/>
      </c>
    </row>
    <row r="409" spans="2:13" x14ac:dyDescent="0.25">
      <c r="B409" s="58"/>
      <c r="C409" s="14"/>
      <c r="D409" s="15"/>
      <c r="E409" s="15"/>
      <c r="F409" s="24"/>
      <c r="G409" s="423"/>
      <c r="H409" s="17"/>
      <c r="I409" s="63"/>
      <c r="J409" s="62"/>
      <c r="K409" s="62"/>
      <c r="L409" s="420" t="str">
        <f t="shared" si="26"/>
        <v/>
      </c>
      <c r="M409" s="401" t="str">
        <f t="shared" si="27"/>
        <v/>
      </c>
    </row>
    <row r="410" spans="2:13" x14ac:dyDescent="0.25">
      <c r="B410" s="58"/>
      <c r="C410" s="14"/>
      <c r="D410" s="15"/>
      <c r="E410" s="15"/>
      <c r="F410" s="24"/>
      <c r="G410" s="423"/>
      <c r="H410" s="17"/>
      <c r="I410" s="63"/>
      <c r="J410" s="62"/>
      <c r="K410" s="62"/>
      <c r="L410" s="420" t="str">
        <f t="shared" si="26"/>
        <v/>
      </c>
      <c r="M410" s="401" t="str">
        <f t="shared" si="27"/>
        <v/>
      </c>
    </row>
    <row r="411" spans="2:13" x14ac:dyDescent="0.25">
      <c r="B411" s="58"/>
      <c r="C411" s="14"/>
      <c r="D411" s="15"/>
      <c r="E411" s="15"/>
      <c r="F411" s="24"/>
      <c r="G411" s="423"/>
      <c r="H411" s="17"/>
      <c r="I411" s="63"/>
      <c r="J411" s="62"/>
      <c r="K411" s="62"/>
      <c r="L411" s="420" t="str">
        <f t="shared" si="26"/>
        <v/>
      </c>
      <c r="M411" s="401" t="str">
        <f t="shared" si="27"/>
        <v/>
      </c>
    </row>
    <row r="412" spans="2:13" x14ac:dyDescent="0.25">
      <c r="B412" s="58"/>
      <c r="C412" s="14"/>
      <c r="D412" s="15"/>
      <c r="E412" s="15"/>
      <c r="F412" s="24"/>
      <c r="G412" s="423"/>
      <c r="H412" s="17"/>
      <c r="I412" s="63"/>
      <c r="J412" s="62"/>
      <c r="K412" s="62"/>
      <c r="L412" s="420" t="str">
        <f t="shared" si="26"/>
        <v/>
      </c>
      <c r="M412" s="401" t="str">
        <f t="shared" si="27"/>
        <v/>
      </c>
    </row>
    <row r="413" spans="2:13" x14ac:dyDescent="0.25">
      <c r="B413" s="58"/>
      <c r="C413" s="14"/>
      <c r="D413" s="15"/>
      <c r="E413" s="15"/>
      <c r="F413" s="24"/>
      <c r="G413" s="423"/>
      <c r="H413" s="17"/>
      <c r="I413" s="63"/>
      <c r="J413" s="61"/>
      <c r="K413" s="399"/>
      <c r="L413" s="420" t="str">
        <f t="shared" si="26"/>
        <v/>
      </c>
      <c r="M413" s="401" t="str">
        <f t="shared" si="27"/>
        <v/>
      </c>
    </row>
    <row r="414" spans="2:13" x14ac:dyDescent="0.25">
      <c r="B414" s="58"/>
      <c r="C414" s="14"/>
      <c r="D414" s="15"/>
      <c r="E414" s="15"/>
      <c r="F414" s="24"/>
      <c r="G414" s="423"/>
      <c r="H414" s="17"/>
      <c r="I414" s="63"/>
      <c r="J414" s="61"/>
      <c r="K414" s="62"/>
      <c r="L414" s="420" t="str">
        <f t="shared" si="26"/>
        <v/>
      </c>
      <c r="M414" s="401" t="str">
        <f t="shared" si="27"/>
        <v/>
      </c>
    </row>
    <row r="415" spans="2:13" x14ac:dyDescent="0.25">
      <c r="B415" s="58"/>
      <c r="C415" s="14"/>
      <c r="D415" s="15"/>
      <c r="E415" s="15"/>
      <c r="F415" s="24"/>
      <c r="G415" s="423"/>
      <c r="H415" s="17"/>
      <c r="I415" s="63"/>
      <c r="J415" s="61"/>
      <c r="K415" s="62"/>
      <c r="L415" s="420" t="str">
        <f t="shared" si="26"/>
        <v/>
      </c>
      <c r="M415" s="401" t="str">
        <f t="shared" si="27"/>
        <v/>
      </c>
    </row>
    <row r="416" spans="2:13" x14ac:dyDescent="0.25">
      <c r="B416" s="58"/>
      <c r="C416" s="14"/>
      <c r="D416" s="15"/>
      <c r="E416" s="15"/>
      <c r="F416" s="24"/>
      <c r="G416" s="423"/>
      <c r="H416" s="17"/>
      <c r="I416" s="63"/>
      <c r="J416" s="61"/>
      <c r="K416" s="696"/>
      <c r="L416" s="420" t="str">
        <f t="shared" si="26"/>
        <v/>
      </c>
      <c r="M416" s="401" t="str">
        <f t="shared" si="27"/>
        <v/>
      </c>
    </row>
    <row r="417" spans="2:13" s="28" customFormat="1" ht="25" customHeight="1" x14ac:dyDescent="0.25">
      <c r="B417" s="84" t="str">
        <f>$B$12</f>
        <v>C2.1</v>
      </c>
      <c r="C417" s="498" t="str">
        <f>"TOTAL CARRIED FORWARD"&amp;IF(H417=H$1," TO SUMMARY","")</f>
        <v>TOTAL CARRIED FORWARD TO SUMMARY</v>
      </c>
      <c r="D417" s="31"/>
      <c r="E417" s="31"/>
      <c r="F417" s="32"/>
      <c r="G417" s="31"/>
      <c r="H417" s="33">
        <f>SUM(H354:H416)</f>
        <v>289800.00000000006</v>
      </c>
      <c r="I417" s="34"/>
      <c r="J417" s="408"/>
      <c r="K417" s="406"/>
      <c r="L417" s="418">
        <f>SUM(L359:L416)</f>
        <v>117855.00000000003</v>
      </c>
      <c r="M417" s="407" t="str">
        <f>IF(F408="","",IF(SUM(I408)=0,"",L417/I403))</f>
        <v/>
      </c>
    </row>
  </sheetData>
  <mergeCells count="46">
    <mergeCell ref="F3:H3"/>
    <mergeCell ref="B6:G6"/>
    <mergeCell ref="H6:H9"/>
    <mergeCell ref="B7:G9"/>
    <mergeCell ref="B73:D73"/>
    <mergeCell ref="F73:H75"/>
    <mergeCell ref="B74:D74"/>
    <mergeCell ref="B75:D75"/>
    <mergeCell ref="B76:G76"/>
    <mergeCell ref="H76:H79"/>
    <mergeCell ref="B77:G79"/>
    <mergeCell ref="B134:D134"/>
    <mergeCell ref="F134:H136"/>
    <mergeCell ref="B135:D135"/>
    <mergeCell ref="B136:D136"/>
    <mergeCell ref="B137:G137"/>
    <mergeCell ref="H137:H140"/>
    <mergeCell ref="B138:G140"/>
    <mergeCell ref="B191:D191"/>
    <mergeCell ref="F191:H193"/>
    <mergeCell ref="B192:D192"/>
    <mergeCell ref="B193:D193"/>
    <mergeCell ref="B194:G194"/>
    <mergeCell ref="H194:H197"/>
    <mergeCell ref="B195:G197"/>
    <mergeCell ref="B245:D245"/>
    <mergeCell ref="F245:H247"/>
    <mergeCell ref="B246:D246"/>
    <mergeCell ref="B247:D247"/>
    <mergeCell ref="B248:G248"/>
    <mergeCell ref="H248:H251"/>
    <mergeCell ref="B249:G251"/>
    <mergeCell ref="B294:D294"/>
    <mergeCell ref="F294:H296"/>
    <mergeCell ref="B295:D295"/>
    <mergeCell ref="B296:D296"/>
    <mergeCell ref="B354:G354"/>
    <mergeCell ref="H354:H357"/>
    <mergeCell ref="B355:G357"/>
    <mergeCell ref="B297:G297"/>
    <mergeCell ref="H297:H300"/>
    <mergeCell ref="B298:G300"/>
    <mergeCell ref="B351:D351"/>
    <mergeCell ref="F351:H353"/>
    <mergeCell ref="B352:D352"/>
    <mergeCell ref="B353:D353"/>
  </mergeCells>
  <conditionalFormatting sqref="G11:H72 G81:H133 G142:H190 G199:H244 G253:H293 G302:H350 G359:H417">
    <cfRule type="expression" dxfId="29" priority="1">
      <formula>_Show_Price=FALSE</formula>
    </cfRule>
  </conditionalFormatting>
  <pageMargins left="0.43307086614173229" right="0.31496062992125984" top="0.43307086614173229" bottom="0.62992125984251968" header="0.35433070866141736" footer="0.31496062992125984"/>
  <pageSetup paperSize="9" scale="77" firstPageNumber="31"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72" max="7"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4">
    <tabColor rgb="FFFFFF00"/>
  </sheetPr>
  <dimension ref="A1:AO266"/>
  <sheetViews>
    <sheetView view="pageBreakPreview" topLeftCell="A34"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2.81640625" style="1" customWidth="1"/>
    <col min="12" max="12" width="14.1796875" style="1" customWidth="1"/>
    <col min="13" max="14" width="14.7265625" style="1" customWidth="1"/>
    <col min="15" max="15" width="11.7265625" style="1" bestFit="1" customWidth="1"/>
    <col min="16" max="16" width="12.81640625" style="1" bestFit="1" customWidth="1"/>
    <col min="17" max="16384" width="6.81640625" style="1"/>
  </cols>
  <sheetData>
    <row r="1" spans="1:41" s="242" customFormat="1" ht="11.5" x14ac:dyDescent="0.25">
      <c r="B1" s="243"/>
      <c r="C1" s="244" t="s">
        <v>993</v>
      </c>
      <c r="D1" s="245"/>
      <c r="E1" s="245"/>
      <c r="F1" s="246" t="s">
        <v>994</v>
      </c>
      <c r="G1" s="244">
        <v>2</v>
      </c>
      <c r="H1" s="247">
        <f>MAX(H2:H266)</f>
        <v>524300</v>
      </c>
      <c r="I1" s="247">
        <f>MAX(I2:I215)</f>
        <v>0</v>
      </c>
      <c r="J1" s="248"/>
      <c r="K1" s="255"/>
      <c r="L1" s="247">
        <f>MAX(L2:L266)</f>
        <v>128388.9</v>
      </c>
      <c r="M1" s="249"/>
      <c r="N1" s="250"/>
      <c r="O1" s="256"/>
      <c r="P1" s="257" t="s">
        <v>1001</v>
      </c>
      <c r="Q1" s="255">
        <f>K1</f>
        <v>0</v>
      </c>
      <c r="R1" s="256"/>
    </row>
    <row r="2" spans="1:41"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41" ht="13" x14ac:dyDescent="0.25">
      <c r="B3" s="2" t="str">
        <f>Client1</f>
        <v>Province of KwaZulu-Natal</v>
      </c>
      <c r="F3" s="1124" t="str">
        <f>"Contract No. "&amp;ContractNo</f>
        <v>Contract No. ZNB 00399/00000/HOD/INF/21/T</v>
      </c>
      <c r="G3" s="1124"/>
      <c r="H3" s="1124"/>
    </row>
    <row r="4" spans="1:41" ht="13" x14ac:dyDescent="0.25">
      <c r="B4" s="87" t="str">
        <f>Client2</f>
        <v>Department of Transport</v>
      </c>
    </row>
    <row r="5" spans="1:41" x14ac:dyDescent="0.25">
      <c r="B5" s="77"/>
      <c r="C5" s="77"/>
      <c r="D5" s="78"/>
      <c r="E5" s="78"/>
      <c r="F5" s="78"/>
      <c r="G5" s="79"/>
      <c r="H5" s="89"/>
    </row>
    <row r="6" spans="1:41" ht="13" x14ac:dyDescent="0.25">
      <c r="B6" s="1112" t="s">
        <v>8</v>
      </c>
      <c r="C6" s="1113"/>
      <c r="D6" s="1113"/>
      <c r="E6" s="1113"/>
      <c r="F6" s="1113"/>
      <c r="G6" s="1113"/>
      <c r="H6" s="1129" t="str">
        <f>"CHAPTER "&amp;B12</f>
        <v>CHAPTER C3.1</v>
      </c>
      <c r="I6" s="6"/>
    </row>
    <row r="7" spans="1:41"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0"/>
      <c r="I7" s="8"/>
    </row>
    <row r="8" spans="1:41" ht="12.75" customHeight="1" x14ac:dyDescent="0.25">
      <c r="B8" s="1117"/>
      <c r="C8" s="1118"/>
      <c r="D8" s="1118"/>
      <c r="E8" s="1118"/>
      <c r="F8" s="1118"/>
      <c r="G8" s="1118"/>
      <c r="H8" s="1130"/>
      <c r="I8" s="8"/>
    </row>
    <row r="9" spans="1:41" ht="7.5" customHeight="1" x14ac:dyDescent="0.25">
      <c r="B9" s="1119"/>
      <c r="C9" s="1120"/>
      <c r="D9" s="1120"/>
      <c r="E9" s="1120"/>
      <c r="F9" s="1120"/>
      <c r="G9" s="1120"/>
      <c r="H9" s="1131"/>
      <c r="I9" s="8"/>
    </row>
    <row r="10" spans="1:41"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c r="P10" s="460" t="s">
        <v>1098</v>
      </c>
      <c r="Q10" s="460" t="s">
        <v>1093</v>
      </c>
      <c r="R10" s="460" t="s">
        <v>1086</v>
      </c>
      <c r="S10" s="460" t="s">
        <v>1099</v>
      </c>
    </row>
    <row r="11" spans="1:41" x14ac:dyDescent="0.25">
      <c r="B11" s="58"/>
      <c r="C11" s="65"/>
      <c r="D11" s="15"/>
      <c r="E11" s="15"/>
      <c r="F11" s="580"/>
      <c r="G11" s="411"/>
      <c r="H11" s="17" t="str">
        <f t="shared" ref="H11:H58" si="0">IF(D11="","",F11*G11)</f>
        <v/>
      </c>
      <c r="I11" s="18"/>
      <c r="J11" s="61"/>
      <c r="K11" s="399"/>
      <c r="L11" s="420" t="str">
        <f t="shared" ref="L11:L58" si="1">IF(J11="","",F11*K11)</f>
        <v/>
      </c>
      <c r="M11" s="401" t="str">
        <f t="shared" ref="M11:M42" si="2">IF(J11="","",IF(SUM(H11)=0,"",L11/H11))</f>
        <v/>
      </c>
    </row>
    <row r="12" spans="1:41" ht="13" x14ac:dyDescent="0.25">
      <c r="B12" s="146" t="s">
        <v>453</v>
      </c>
      <c r="C12" s="672" t="s">
        <v>452</v>
      </c>
      <c r="D12" s="15"/>
      <c r="E12" s="15"/>
      <c r="F12" s="580"/>
      <c r="G12" s="411"/>
      <c r="H12" s="17" t="str">
        <f t="shared" si="0"/>
        <v/>
      </c>
      <c r="I12" s="18"/>
      <c r="J12" s="61"/>
      <c r="K12" s="399"/>
      <c r="L12" s="420" t="str">
        <f t="shared" si="1"/>
        <v/>
      </c>
      <c r="M12" s="401" t="str">
        <f t="shared" si="2"/>
        <v/>
      </c>
    </row>
    <row r="13" spans="1:41" x14ac:dyDescent="0.25">
      <c r="B13" s="58"/>
      <c r="C13" s="65"/>
      <c r="D13" s="15"/>
      <c r="E13" s="15"/>
      <c r="F13" s="580"/>
      <c r="G13" s="411"/>
      <c r="H13" s="17" t="str">
        <f t="shared" si="0"/>
        <v/>
      </c>
      <c r="I13" s="18"/>
      <c r="J13" s="61"/>
      <c r="K13" s="399"/>
      <c r="L13" s="420" t="str">
        <f t="shared" si="1"/>
        <v/>
      </c>
      <c r="M13" s="401" t="str">
        <f t="shared" si="2"/>
        <v/>
      </c>
    </row>
    <row r="14" spans="1:41" ht="13.5" thickBot="1" x14ac:dyDescent="0.3">
      <c r="B14" s="146" t="s">
        <v>451</v>
      </c>
      <c r="C14" s="672" t="s">
        <v>450</v>
      </c>
      <c r="D14" s="15"/>
      <c r="E14" s="15"/>
      <c r="F14" s="580"/>
      <c r="G14" s="411"/>
      <c r="H14" s="743" t="str">
        <f t="shared" si="0"/>
        <v/>
      </c>
      <c r="I14" s="18"/>
      <c r="J14" s="61"/>
      <c r="K14" s="399"/>
      <c r="L14" s="420" t="str">
        <f t="shared" si="1"/>
        <v/>
      </c>
      <c r="M14" s="401" t="str">
        <f t="shared" si="2"/>
        <v/>
      </c>
    </row>
    <row r="15" spans="1:41" ht="15.5" x14ac:dyDescent="0.35">
      <c r="B15" s="58"/>
      <c r="C15" s="65"/>
      <c r="D15" s="15"/>
      <c r="E15" s="15"/>
      <c r="F15" s="580"/>
      <c r="G15" s="411"/>
      <c r="H15" s="743" t="str">
        <f t="shared" si="0"/>
        <v/>
      </c>
      <c r="I15" s="18"/>
      <c r="J15" s="61"/>
      <c r="K15" s="399"/>
      <c r="L15" s="420" t="str">
        <f t="shared" si="1"/>
        <v/>
      </c>
      <c r="M15" s="401" t="str">
        <f t="shared" si="2"/>
        <v/>
      </c>
      <c r="V15" s="462"/>
      <c r="W15" s="463"/>
      <c r="X15" s="1180" t="s">
        <v>1100</v>
      </c>
      <c r="Y15" s="1181"/>
      <c r="Z15" s="464" t="s">
        <v>1101</v>
      </c>
      <c r="AA15" s="1182" t="s">
        <v>1102</v>
      </c>
      <c r="AB15" s="1183"/>
      <c r="AC15" s="1181"/>
      <c r="AD15" s="465"/>
      <c r="AE15" s="465"/>
      <c r="AF15" s="466"/>
      <c r="AG15" s="466"/>
      <c r="AH15" s="466" t="s">
        <v>1103</v>
      </c>
      <c r="AI15" s="466" t="s">
        <v>1104</v>
      </c>
      <c r="AJ15" s="466" t="s">
        <v>1105</v>
      </c>
      <c r="AK15" s="466" t="s">
        <v>1106</v>
      </c>
      <c r="AL15" s="466" t="s">
        <v>1107</v>
      </c>
      <c r="AM15" s="467" t="s">
        <v>1108</v>
      </c>
      <c r="AN15" s="466" t="s">
        <v>1109</v>
      </c>
      <c r="AO15" s="467" t="s">
        <v>1110</v>
      </c>
    </row>
    <row r="16" spans="1:41" ht="38" thickBot="1" x14ac:dyDescent="0.4">
      <c r="B16" s="58" t="s">
        <v>449</v>
      </c>
      <c r="C16" s="65" t="s">
        <v>448</v>
      </c>
      <c r="D16" s="15"/>
      <c r="E16" s="15"/>
      <c r="F16" s="647"/>
      <c r="G16" s="767"/>
      <c r="H16" s="743" t="str">
        <f t="shared" si="0"/>
        <v/>
      </c>
      <c r="I16" s="57"/>
      <c r="J16" s="61"/>
      <c r="K16" s="400"/>
      <c r="L16" s="420" t="str">
        <f t="shared" si="1"/>
        <v/>
      </c>
      <c r="M16" s="401" t="str">
        <f t="shared" si="2"/>
        <v/>
      </c>
      <c r="V16" s="462"/>
      <c r="W16" s="468"/>
      <c r="X16" s="469" t="s">
        <v>1111</v>
      </c>
      <c r="Y16" s="470" t="s">
        <v>1112</v>
      </c>
      <c r="Z16" s="470"/>
      <c r="AA16" s="470" t="s">
        <v>886</v>
      </c>
      <c r="AB16" s="470" t="s">
        <v>887</v>
      </c>
      <c r="AC16" s="470" t="s">
        <v>1113</v>
      </c>
      <c r="AD16" s="470" t="s">
        <v>1114</v>
      </c>
      <c r="AE16" s="470" t="s">
        <v>1115</v>
      </c>
      <c r="AF16" s="470" t="s">
        <v>1116</v>
      </c>
      <c r="AG16" s="470" t="s">
        <v>1117</v>
      </c>
      <c r="AH16" s="470" t="s">
        <v>1118</v>
      </c>
      <c r="AI16" s="470" t="s">
        <v>1119</v>
      </c>
      <c r="AJ16" s="470" t="s">
        <v>1120</v>
      </c>
      <c r="AK16" s="470" t="s">
        <v>1121</v>
      </c>
      <c r="AL16" s="470" t="s">
        <v>1122</v>
      </c>
      <c r="AM16" s="471" t="s">
        <v>1123</v>
      </c>
      <c r="AN16" s="470" t="s">
        <v>1124</v>
      </c>
      <c r="AO16" s="471" t="s">
        <v>1125</v>
      </c>
    </row>
    <row r="17" spans="2:41" x14ac:dyDescent="0.25">
      <c r="B17" s="58"/>
      <c r="C17" s="65"/>
      <c r="D17" s="15"/>
      <c r="E17" s="15"/>
      <c r="F17" s="647"/>
      <c r="G17" s="411"/>
      <c r="H17" s="743" t="str">
        <f t="shared" si="0"/>
        <v/>
      </c>
      <c r="I17" s="18"/>
      <c r="J17" s="61"/>
      <c r="K17" s="399"/>
      <c r="L17" s="420" t="str">
        <f t="shared" si="1"/>
        <v/>
      </c>
      <c r="M17" s="401" t="str">
        <f t="shared" si="2"/>
        <v/>
      </c>
      <c r="V17" s="1184" t="s">
        <v>1126</v>
      </c>
      <c r="W17" s="1185"/>
      <c r="X17" s="472">
        <v>0</v>
      </c>
      <c r="Y17" s="473">
        <v>12100</v>
      </c>
      <c r="Z17" s="473" t="s">
        <v>1127</v>
      </c>
      <c r="AA17" s="474">
        <f>SQRT((0.25)^2+(1)^2)</f>
        <v>1.0307764064044151</v>
      </c>
      <c r="AB17" s="474">
        <f>SQRT((0.25)^2+(0.5)^2)</f>
        <v>0.55901699437494745</v>
      </c>
      <c r="AC17" s="475">
        <f>AA17+AB17</f>
        <v>1.5897934007793626</v>
      </c>
      <c r="AD17" s="475">
        <v>4</v>
      </c>
      <c r="AE17" s="475">
        <v>0.1</v>
      </c>
      <c r="AF17" s="476">
        <f>AG17/AD17</f>
        <v>3025</v>
      </c>
      <c r="AG17" s="475">
        <f>Y17-X17</f>
        <v>12100</v>
      </c>
      <c r="AH17" s="475">
        <f>AF17*AD17*AC17*AE17</f>
        <v>1923.650014943029</v>
      </c>
      <c r="AI17" s="475">
        <f>AG17*AC17</f>
        <v>19236.500149430289</v>
      </c>
      <c r="AJ17" s="475">
        <f>((AF17/2)+1)*AC17*AE17</f>
        <v>240.61523120795655</v>
      </c>
      <c r="AK17" s="475">
        <f>AF17*AD17*AE17*2</f>
        <v>2420</v>
      </c>
      <c r="AL17" s="475">
        <f>(((AF17*AD17)/12)-1)*AC17</f>
        <v>1601.4518857184114</v>
      </c>
      <c r="AM17" s="477">
        <f>AI17*1.93</f>
        <v>37126.445288400457</v>
      </c>
      <c r="AN17" s="478">
        <f>AG17*AC17</f>
        <v>19236.500149430289</v>
      </c>
      <c r="AO17" s="475">
        <f>0.5*1.5*0.25*AG17</f>
        <v>2268.75</v>
      </c>
    </row>
    <row r="18" spans="2:41" ht="14.5" x14ac:dyDescent="0.25">
      <c r="B18" s="58" t="s">
        <v>39</v>
      </c>
      <c r="C18" s="65" t="s">
        <v>436</v>
      </c>
      <c r="D18" s="15" t="s">
        <v>23</v>
      </c>
      <c r="E18" s="15"/>
      <c r="F18" s="647">
        <v>80</v>
      </c>
      <c r="G18" s="424">
        <v>70</v>
      </c>
      <c r="H18" s="743">
        <f t="shared" si="0"/>
        <v>5600</v>
      </c>
      <c r="I18" s="18"/>
      <c r="J18" s="61" t="s">
        <v>1721</v>
      </c>
      <c r="K18" s="402">
        <f>Labour_perc_roads*G18</f>
        <v>2.0300000000000002</v>
      </c>
      <c r="L18" s="420">
        <f t="shared" si="1"/>
        <v>162.40000000000003</v>
      </c>
      <c r="M18" s="401">
        <f t="shared" si="2"/>
        <v>2.9000000000000005E-2</v>
      </c>
      <c r="P18" s="460">
        <f>_RoadLength*0.3*1000</f>
        <v>720.00000000000011</v>
      </c>
      <c r="Q18" s="460">
        <v>1.5</v>
      </c>
      <c r="R18" s="460">
        <v>0.5</v>
      </c>
      <c r="S18" s="460">
        <f>P18*Q18*R18</f>
        <v>540.00000000000011</v>
      </c>
      <c r="V18" s="1184" t="s">
        <v>1128</v>
      </c>
      <c r="W18" s="1185"/>
      <c r="X18" s="472">
        <v>0</v>
      </c>
      <c r="Y18" s="473">
        <v>4400</v>
      </c>
      <c r="Z18" s="473" t="s">
        <v>1127</v>
      </c>
      <c r="AA18" s="474">
        <v>1</v>
      </c>
      <c r="AB18" s="474">
        <v>0</v>
      </c>
      <c r="AC18" s="475">
        <f>AA18+AB18</f>
        <v>1</v>
      </c>
      <c r="AD18" s="475">
        <v>4</v>
      </c>
      <c r="AE18" s="475">
        <v>0.1</v>
      </c>
      <c r="AF18" s="476">
        <f>AG18/AD18</f>
        <v>1100</v>
      </c>
      <c r="AG18" s="475">
        <f>Y18-X18</f>
        <v>4400</v>
      </c>
      <c r="AH18" s="475">
        <f>AF18*AD18*AC18*AE18</f>
        <v>440</v>
      </c>
      <c r="AI18" s="475">
        <f>AG18*AC18</f>
        <v>4400</v>
      </c>
      <c r="AJ18" s="475">
        <f>((AF18/2)+1)*AC18*AE18</f>
        <v>55.1</v>
      </c>
      <c r="AK18" s="475">
        <f>AF18*AD18*AE18*2</f>
        <v>880</v>
      </c>
      <c r="AL18" s="475">
        <f>(((AF18*AD18)/12)-1)*AC18</f>
        <v>365.66666666666669</v>
      </c>
      <c r="AM18" s="477">
        <f>AI18*1.93</f>
        <v>8492</v>
      </c>
      <c r="AN18" s="478">
        <f>AG18*AC18</f>
        <v>4400</v>
      </c>
      <c r="AO18" s="475">
        <f>0.1*1*AG18</f>
        <v>440</v>
      </c>
    </row>
    <row r="19" spans="2:41" x14ac:dyDescent="0.25">
      <c r="B19" s="58"/>
      <c r="C19" s="65"/>
      <c r="D19" s="15"/>
      <c r="E19" s="15"/>
      <c r="F19" s="647"/>
      <c r="G19" s="411"/>
      <c r="H19" s="743" t="str">
        <f t="shared" si="0"/>
        <v/>
      </c>
      <c r="I19" s="60"/>
      <c r="J19" s="61"/>
      <c r="K19" s="399"/>
      <c r="L19" s="420" t="str">
        <f t="shared" si="1"/>
        <v/>
      </c>
      <c r="M19" s="401" t="str">
        <f t="shared" si="2"/>
        <v/>
      </c>
      <c r="P19" s="460"/>
      <c r="Q19" s="460"/>
      <c r="R19" s="460"/>
      <c r="S19" s="460"/>
      <c r="V19" s="1184" t="s">
        <v>1129</v>
      </c>
      <c r="W19" s="1185"/>
      <c r="X19" s="472">
        <v>0</v>
      </c>
      <c r="Y19" s="473">
        <v>4200</v>
      </c>
      <c r="Z19" s="473" t="s">
        <v>1127</v>
      </c>
      <c r="AA19" s="474">
        <f>SQRT((0.25)^2+(1)^2)</f>
        <v>1.0307764064044151</v>
      </c>
      <c r="AB19" s="474">
        <f>SQRT((0.25)^2+(0.5)^2)</f>
        <v>0.55901699437494745</v>
      </c>
      <c r="AC19" s="475">
        <f>AA19+AB19</f>
        <v>1.5897934007793626</v>
      </c>
      <c r="AD19" s="475">
        <v>4</v>
      </c>
      <c r="AE19" s="475">
        <v>0.1</v>
      </c>
      <c r="AF19" s="476">
        <f>AG19/AD19</f>
        <v>1050</v>
      </c>
      <c r="AG19" s="475">
        <f>Y19-X19</f>
        <v>4200</v>
      </c>
      <c r="AH19" s="475">
        <f>AF19*AD19*AC19*AE19</f>
        <v>667.71322832733233</v>
      </c>
      <c r="AI19" s="475">
        <f>AG19*AC19</f>
        <v>6677.1322832733231</v>
      </c>
      <c r="AJ19" s="475">
        <f>((AF19/2)+1)*AC19*AE19</f>
        <v>83.623132880994476</v>
      </c>
      <c r="AK19" s="475">
        <f>AF19*AD19*AE19*2</f>
        <v>840</v>
      </c>
      <c r="AL19" s="475">
        <f>(((AF19*AD19)/12)-1)*AC19</f>
        <v>554.8378968719976</v>
      </c>
      <c r="AM19" s="477">
        <f>AI19*1.93</f>
        <v>12886.865306717513</v>
      </c>
      <c r="AN19" s="478">
        <f>AG19*AC19</f>
        <v>6677.1322832733231</v>
      </c>
      <c r="AO19" s="475">
        <f>0.5*1.5*0.25*AG19</f>
        <v>787.5</v>
      </c>
    </row>
    <row r="20" spans="2:41" ht="25" x14ac:dyDescent="0.35">
      <c r="B20" s="58" t="s">
        <v>447</v>
      </c>
      <c r="C20" s="70" t="s">
        <v>446</v>
      </c>
      <c r="D20" s="15" t="s">
        <v>23</v>
      </c>
      <c r="E20" s="15"/>
      <c r="F20" s="647">
        <v>80</v>
      </c>
      <c r="G20" s="424">
        <v>250</v>
      </c>
      <c r="H20" s="743">
        <f t="shared" si="0"/>
        <v>20000</v>
      </c>
      <c r="I20" s="63"/>
      <c r="J20" s="61" t="s">
        <v>1721</v>
      </c>
      <c r="K20" s="402">
        <f>Labour_perc_roads*G20</f>
        <v>7.25</v>
      </c>
      <c r="L20" s="420">
        <f t="shared" si="1"/>
        <v>580</v>
      </c>
      <c r="M20" s="401">
        <f t="shared" si="2"/>
        <v>2.9000000000000001E-2</v>
      </c>
      <c r="P20" s="460">
        <v>4200</v>
      </c>
      <c r="Q20" s="460">
        <v>1.5</v>
      </c>
      <c r="R20" s="460">
        <v>3</v>
      </c>
      <c r="S20" s="460">
        <f>P20*Q20*R20</f>
        <v>18900</v>
      </c>
      <c r="V20" s="462"/>
      <c r="W20" s="479"/>
      <c r="X20" s="472"/>
      <c r="Y20" s="473"/>
      <c r="Z20" s="473"/>
      <c r="AA20" s="480"/>
      <c r="AB20" s="480"/>
      <c r="AC20" s="473"/>
      <c r="AD20" s="473"/>
      <c r="AE20" s="473"/>
      <c r="AF20" s="481"/>
      <c r="AG20" s="473"/>
      <c r="AH20" s="473"/>
      <c r="AI20" s="473"/>
      <c r="AJ20" s="473"/>
      <c r="AK20" s="473"/>
      <c r="AL20" s="473"/>
      <c r="AM20" s="482"/>
      <c r="AN20" s="479"/>
      <c r="AO20" s="473"/>
    </row>
    <row r="21" spans="2:41" ht="16" thickBot="1" x14ac:dyDescent="0.4">
      <c r="B21" s="58"/>
      <c r="C21" s="68"/>
      <c r="D21" s="61"/>
      <c r="E21" s="61"/>
      <c r="F21" s="647"/>
      <c r="G21" s="421"/>
      <c r="H21" s="743" t="str">
        <f t="shared" si="0"/>
        <v/>
      </c>
      <c r="I21" s="63"/>
      <c r="J21" s="61"/>
      <c r="K21" s="402"/>
      <c r="L21" s="420" t="str">
        <f t="shared" si="1"/>
        <v/>
      </c>
      <c r="M21" s="401" t="str">
        <f t="shared" si="2"/>
        <v/>
      </c>
      <c r="P21" s="460"/>
      <c r="Q21" s="460"/>
      <c r="R21" s="460"/>
      <c r="S21" s="460"/>
      <c r="V21" s="462"/>
      <c r="W21" s="462"/>
      <c r="X21" s="483" t="s">
        <v>1111</v>
      </c>
      <c r="Y21" s="484" t="s">
        <v>1112</v>
      </c>
      <c r="Z21" s="484"/>
      <c r="AA21" s="484" t="s">
        <v>1130</v>
      </c>
      <c r="AB21" s="484" t="s">
        <v>1115</v>
      </c>
      <c r="AC21" s="484" t="s">
        <v>1117</v>
      </c>
      <c r="AD21" s="485" t="s">
        <v>1131</v>
      </c>
      <c r="AE21" s="485" t="s">
        <v>1132</v>
      </c>
      <c r="AF21" s="485" t="s">
        <v>1133</v>
      </c>
      <c r="AG21" s="485" t="s">
        <v>1132</v>
      </c>
      <c r="AH21" s="486" t="s">
        <v>1134</v>
      </c>
      <c r="AI21" s="486" t="s">
        <v>1135</v>
      </c>
      <c r="AJ21" s="486" t="s">
        <v>1135</v>
      </c>
      <c r="AK21" s="486" t="s">
        <v>1135</v>
      </c>
      <c r="AL21" s="486" t="s">
        <v>1136</v>
      </c>
      <c r="AM21" s="486" t="s">
        <v>1137</v>
      </c>
      <c r="AN21" s="486" t="s">
        <v>1135</v>
      </c>
      <c r="AO21" s="462"/>
    </row>
    <row r="22" spans="2:41" ht="37.5" x14ac:dyDescent="0.35">
      <c r="B22" s="58" t="s">
        <v>445</v>
      </c>
      <c r="C22" s="65" t="s">
        <v>444</v>
      </c>
      <c r="D22" s="15" t="s">
        <v>23</v>
      </c>
      <c r="E22" s="15" t="s">
        <v>996</v>
      </c>
      <c r="F22" s="647">
        <v>80</v>
      </c>
      <c r="G22" s="424">
        <v>210</v>
      </c>
      <c r="H22" s="743">
        <f t="shared" si="0"/>
        <v>16800</v>
      </c>
      <c r="I22" s="63"/>
      <c r="J22" s="62" t="s">
        <v>996</v>
      </c>
      <c r="K22" s="577">
        <f>ROUND(_Excavation+_Haul,1)</f>
        <v>159.69999999999999</v>
      </c>
      <c r="L22" s="420">
        <f t="shared" si="1"/>
        <v>12776</v>
      </c>
      <c r="M22" s="401">
        <f t="shared" si="2"/>
        <v>0.76047619047619053</v>
      </c>
      <c r="V22" s="462"/>
      <c r="W22" s="462"/>
      <c r="X22" s="487"/>
      <c r="Y22" s="488"/>
      <c r="Z22" s="489" t="s">
        <v>1138</v>
      </c>
      <c r="AA22" s="488">
        <v>0.4</v>
      </c>
      <c r="AB22" s="490">
        <v>1.5</v>
      </c>
      <c r="AC22" s="488">
        <f>Y22-X22</f>
        <v>0</v>
      </c>
      <c r="AD22" s="491">
        <f>SUM(AC22/80)</f>
        <v>0</v>
      </c>
      <c r="AE22" s="491">
        <v>3</v>
      </c>
      <c r="AF22" s="491">
        <f>SUM(AC22/120)</f>
        <v>0</v>
      </c>
      <c r="AG22" s="491">
        <v>2</v>
      </c>
      <c r="AH22" s="490">
        <f>SUM(AA22*AC22*0.3)-(0.009503*AC22)</f>
        <v>0</v>
      </c>
      <c r="AI22" s="490">
        <f>SUM(AA22*AC22*0.2)</f>
        <v>0</v>
      </c>
      <c r="AJ22" s="490">
        <f>SUM(AA22*AC22*0.4)</f>
        <v>0</v>
      </c>
      <c r="AK22" s="490">
        <f>SUM(AA22*AC22*0.1)</f>
        <v>0</v>
      </c>
      <c r="AL22" s="490">
        <f>SUM(AC22)</f>
        <v>0</v>
      </c>
      <c r="AM22" s="492">
        <f>SUM(AC22*4)</f>
        <v>0</v>
      </c>
      <c r="AN22" s="490">
        <f>SUM(AA22*AB22*AC22)</f>
        <v>0</v>
      </c>
      <c r="AO22" s="462"/>
    </row>
    <row r="23" spans="2:41" ht="15.5" x14ac:dyDescent="0.35">
      <c r="B23" s="58"/>
      <c r="C23" s="68"/>
      <c r="D23" s="61"/>
      <c r="E23" s="61"/>
      <c r="F23" s="24"/>
      <c r="G23" s="421"/>
      <c r="H23" s="17" t="str">
        <f t="shared" si="0"/>
        <v/>
      </c>
      <c r="I23" s="63"/>
      <c r="J23" s="61"/>
      <c r="K23" s="402"/>
      <c r="L23" s="420" t="str">
        <f t="shared" si="1"/>
        <v/>
      </c>
      <c r="M23" s="401" t="str">
        <f t="shared" si="2"/>
        <v/>
      </c>
      <c r="V23" s="462"/>
      <c r="W23" s="462"/>
      <c r="X23" s="493"/>
      <c r="Y23" s="489"/>
      <c r="Z23" s="489" t="s">
        <v>1139</v>
      </c>
      <c r="AA23" s="488">
        <v>0.4</v>
      </c>
      <c r="AB23" s="490">
        <v>1.5</v>
      </c>
      <c r="AC23" s="488">
        <f t="shared" ref="AC23:AC29" si="3">Y23-X23</f>
        <v>0</v>
      </c>
      <c r="AD23" s="491">
        <f t="shared" ref="AD23:AD29" si="4">SUM(AC23/80)</f>
        <v>0</v>
      </c>
      <c r="AE23" s="491">
        <v>4</v>
      </c>
      <c r="AF23" s="491">
        <f t="shared" ref="AF23:AF29" si="5">SUM(AC23/120)</f>
        <v>0</v>
      </c>
      <c r="AG23" s="491">
        <v>3</v>
      </c>
      <c r="AH23" s="490">
        <f t="shared" ref="AH23:AH29" si="6">SUM(AA23*AC23*0.3)-(0.009503*AC23)</f>
        <v>0</v>
      </c>
      <c r="AI23" s="490">
        <f t="shared" ref="AI23:AI29" si="7">SUM(AA23*AC23*0.2)</f>
        <v>0</v>
      </c>
      <c r="AJ23" s="490">
        <f t="shared" ref="AJ23:AJ29" si="8">SUM(AA23*AC23*0.4)</f>
        <v>0</v>
      </c>
      <c r="AK23" s="490">
        <f t="shared" ref="AK23:AK29" si="9">SUM(AA23*AC23*0.1)</f>
        <v>0</v>
      </c>
      <c r="AL23" s="490">
        <f t="shared" ref="AL23:AL29" si="10">SUM(AC23)</f>
        <v>0</v>
      </c>
      <c r="AM23" s="492">
        <f t="shared" ref="AM23:AM29" si="11">SUM(AC23*4)</f>
        <v>0</v>
      </c>
      <c r="AN23" s="490">
        <f t="shared" ref="AN23:AN29" si="12">SUM(AA23*AB23*AC23)</f>
        <v>0</v>
      </c>
      <c r="AO23" s="462"/>
    </row>
    <row r="24" spans="2:41" ht="26" x14ac:dyDescent="0.35">
      <c r="B24" s="146" t="s">
        <v>443</v>
      </c>
      <c r="C24" s="672" t="s">
        <v>1988</v>
      </c>
      <c r="D24" s="15"/>
      <c r="E24" s="15"/>
      <c r="F24" s="24"/>
      <c r="G24" s="422"/>
      <c r="H24" s="17" t="str">
        <f t="shared" si="0"/>
        <v/>
      </c>
      <c r="I24" s="63"/>
      <c r="J24" s="61"/>
      <c r="K24" s="402"/>
      <c r="L24" s="420" t="str">
        <f t="shared" si="1"/>
        <v/>
      </c>
      <c r="M24" s="401" t="str">
        <f t="shared" si="2"/>
        <v/>
      </c>
      <c r="P24" s="460">
        <v>4200</v>
      </c>
      <c r="Q24" s="460">
        <v>1.5</v>
      </c>
      <c r="R24" s="460">
        <v>6</v>
      </c>
      <c r="S24" s="460">
        <f>P24*Q24*R24</f>
        <v>37800</v>
      </c>
      <c r="V24" s="462"/>
      <c r="W24" s="462"/>
      <c r="X24" s="493"/>
      <c r="Y24" s="489"/>
      <c r="Z24" s="489" t="s">
        <v>1138</v>
      </c>
      <c r="AA24" s="488">
        <v>0.4</v>
      </c>
      <c r="AB24" s="490">
        <v>1.5</v>
      </c>
      <c r="AC24" s="488">
        <f t="shared" si="3"/>
        <v>0</v>
      </c>
      <c r="AD24" s="491">
        <f t="shared" si="4"/>
        <v>0</v>
      </c>
      <c r="AE24" s="491">
        <v>5</v>
      </c>
      <c r="AF24" s="491">
        <f t="shared" si="5"/>
        <v>0</v>
      </c>
      <c r="AG24" s="491">
        <v>4</v>
      </c>
      <c r="AH24" s="490">
        <f t="shared" si="6"/>
        <v>0</v>
      </c>
      <c r="AI24" s="490">
        <f t="shared" si="7"/>
        <v>0</v>
      </c>
      <c r="AJ24" s="490">
        <f t="shared" si="8"/>
        <v>0</v>
      </c>
      <c r="AK24" s="490">
        <f t="shared" si="9"/>
        <v>0</v>
      </c>
      <c r="AL24" s="490">
        <f t="shared" si="10"/>
        <v>0</v>
      </c>
      <c r="AM24" s="492">
        <f t="shared" si="11"/>
        <v>0</v>
      </c>
      <c r="AN24" s="490">
        <f t="shared" si="12"/>
        <v>0</v>
      </c>
      <c r="AO24" s="462"/>
    </row>
    <row r="25" spans="2:41" ht="15.5" x14ac:dyDescent="0.35">
      <c r="B25" s="58"/>
      <c r="C25" s="68"/>
      <c r="D25" s="61"/>
      <c r="E25" s="61"/>
      <c r="F25" s="24"/>
      <c r="G25" s="421"/>
      <c r="H25" s="17" t="str">
        <f t="shared" si="0"/>
        <v/>
      </c>
      <c r="I25" s="63"/>
      <c r="J25" s="61"/>
      <c r="K25" s="402"/>
      <c r="L25" s="420" t="str">
        <f t="shared" si="1"/>
        <v/>
      </c>
      <c r="M25" s="401" t="str">
        <f t="shared" si="2"/>
        <v/>
      </c>
      <c r="V25" s="462"/>
      <c r="W25" s="462"/>
      <c r="X25" s="493"/>
      <c r="Y25" s="489"/>
      <c r="Z25" s="489" t="s">
        <v>1139</v>
      </c>
      <c r="AA25" s="488">
        <v>0.4</v>
      </c>
      <c r="AB25" s="490">
        <v>1.5</v>
      </c>
      <c r="AC25" s="488">
        <f t="shared" si="3"/>
        <v>0</v>
      </c>
      <c r="AD25" s="491">
        <f t="shared" si="4"/>
        <v>0</v>
      </c>
      <c r="AE25" s="491">
        <v>6</v>
      </c>
      <c r="AF25" s="491">
        <f t="shared" si="5"/>
        <v>0</v>
      </c>
      <c r="AG25" s="491">
        <v>5</v>
      </c>
      <c r="AH25" s="490">
        <f t="shared" si="6"/>
        <v>0</v>
      </c>
      <c r="AI25" s="490">
        <f t="shared" si="7"/>
        <v>0</v>
      </c>
      <c r="AJ25" s="490">
        <f t="shared" si="8"/>
        <v>0</v>
      </c>
      <c r="AK25" s="490">
        <f t="shared" si="9"/>
        <v>0</v>
      </c>
      <c r="AL25" s="490">
        <f t="shared" si="10"/>
        <v>0</v>
      </c>
      <c r="AM25" s="492">
        <f t="shared" si="11"/>
        <v>0</v>
      </c>
      <c r="AN25" s="490">
        <f t="shared" si="12"/>
        <v>0</v>
      </c>
      <c r="AO25" s="462"/>
    </row>
    <row r="26" spans="2:41" ht="15.5" x14ac:dyDescent="0.35">
      <c r="B26" s="58" t="s">
        <v>442</v>
      </c>
      <c r="C26" s="65" t="s">
        <v>441</v>
      </c>
      <c r="D26" s="15" t="s">
        <v>23</v>
      </c>
      <c r="E26" s="15" t="s">
        <v>996</v>
      </c>
      <c r="F26" s="24">
        <v>50</v>
      </c>
      <c r="G26" s="422">
        <v>125</v>
      </c>
      <c r="H26" s="17">
        <f t="shared" si="0"/>
        <v>6250</v>
      </c>
      <c r="I26" s="18"/>
      <c r="J26" s="62" t="s">
        <v>996</v>
      </c>
      <c r="K26" s="606">
        <f>G26*97/100</f>
        <v>121.25</v>
      </c>
      <c r="L26" s="420">
        <f t="shared" si="1"/>
        <v>6062.5</v>
      </c>
      <c r="M26" s="401">
        <f t="shared" si="2"/>
        <v>0.97</v>
      </c>
      <c r="V26" s="462"/>
      <c r="W26" s="462"/>
      <c r="X26" s="493"/>
      <c r="Y26" s="489"/>
      <c r="Z26" s="489" t="s">
        <v>1138</v>
      </c>
      <c r="AA26" s="488">
        <v>0.4</v>
      </c>
      <c r="AB26" s="490">
        <v>1.5</v>
      </c>
      <c r="AC26" s="488">
        <f t="shared" si="3"/>
        <v>0</v>
      </c>
      <c r="AD26" s="491">
        <f t="shared" si="4"/>
        <v>0</v>
      </c>
      <c r="AE26" s="491">
        <v>7</v>
      </c>
      <c r="AF26" s="491">
        <f t="shared" si="5"/>
        <v>0</v>
      </c>
      <c r="AG26" s="491">
        <v>6</v>
      </c>
      <c r="AH26" s="490">
        <f t="shared" si="6"/>
        <v>0</v>
      </c>
      <c r="AI26" s="490">
        <f t="shared" si="7"/>
        <v>0</v>
      </c>
      <c r="AJ26" s="490">
        <f t="shared" si="8"/>
        <v>0</v>
      </c>
      <c r="AK26" s="490">
        <f t="shared" si="9"/>
        <v>0</v>
      </c>
      <c r="AL26" s="490">
        <f t="shared" si="10"/>
        <v>0</v>
      </c>
      <c r="AM26" s="492">
        <f t="shared" si="11"/>
        <v>0</v>
      </c>
      <c r="AN26" s="490">
        <f t="shared" si="12"/>
        <v>0</v>
      </c>
      <c r="AO26" s="462"/>
    </row>
    <row r="27" spans="2:41" ht="15.5" x14ac:dyDescent="0.35">
      <c r="B27" s="58"/>
      <c r="C27" s="65"/>
      <c r="D27" s="15"/>
      <c r="E27" s="15"/>
      <c r="F27" s="24"/>
      <c r="G27" s="411"/>
      <c r="H27" s="17" t="str">
        <f t="shared" si="0"/>
        <v/>
      </c>
      <c r="I27" s="18"/>
      <c r="J27" s="62"/>
      <c r="K27" s="62"/>
      <c r="L27" s="420" t="str">
        <f t="shared" si="1"/>
        <v/>
      </c>
      <c r="M27" s="401" t="str">
        <f t="shared" si="2"/>
        <v/>
      </c>
      <c r="V27" s="462"/>
      <c r="W27" s="462"/>
      <c r="X27" s="493"/>
      <c r="Y27" s="489"/>
      <c r="Z27" s="489" t="s">
        <v>1139</v>
      </c>
      <c r="AA27" s="488">
        <v>0.4</v>
      </c>
      <c r="AB27" s="490">
        <v>1.5</v>
      </c>
      <c r="AC27" s="488">
        <f t="shared" si="3"/>
        <v>0</v>
      </c>
      <c r="AD27" s="491">
        <f t="shared" si="4"/>
        <v>0</v>
      </c>
      <c r="AE27" s="491">
        <v>8</v>
      </c>
      <c r="AF27" s="491">
        <f t="shared" si="5"/>
        <v>0</v>
      </c>
      <c r="AG27" s="491">
        <v>7</v>
      </c>
      <c r="AH27" s="490">
        <f t="shared" si="6"/>
        <v>0</v>
      </c>
      <c r="AI27" s="490">
        <f t="shared" si="7"/>
        <v>0</v>
      </c>
      <c r="AJ27" s="490">
        <f t="shared" si="8"/>
        <v>0</v>
      </c>
      <c r="AK27" s="490">
        <f t="shared" si="9"/>
        <v>0</v>
      </c>
      <c r="AL27" s="490">
        <f t="shared" si="10"/>
        <v>0</v>
      </c>
      <c r="AM27" s="492">
        <f t="shared" si="11"/>
        <v>0</v>
      </c>
      <c r="AN27" s="490">
        <f t="shared" si="12"/>
        <v>0</v>
      </c>
      <c r="AO27" s="462"/>
    </row>
    <row r="28" spans="2:41" ht="26" x14ac:dyDescent="0.35">
      <c r="B28" s="146" t="s">
        <v>440</v>
      </c>
      <c r="C28" s="672" t="s">
        <v>439</v>
      </c>
      <c r="D28" s="15"/>
      <c r="E28" s="15"/>
      <c r="F28" s="24"/>
      <c r="G28" s="411"/>
      <c r="H28" s="17" t="str">
        <f t="shared" si="0"/>
        <v/>
      </c>
      <c r="I28" s="57"/>
      <c r="J28" s="62"/>
      <c r="K28" s="399"/>
      <c r="L28" s="420" t="str">
        <f t="shared" si="1"/>
        <v/>
      </c>
      <c r="M28" s="401" t="str">
        <f t="shared" si="2"/>
        <v/>
      </c>
      <c r="P28" s="460">
        <v>4200</v>
      </c>
      <c r="Q28" s="460">
        <v>1.5</v>
      </c>
      <c r="R28" s="460">
        <v>6</v>
      </c>
      <c r="S28" s="460">
        <f>P28*Q28*R28</f>
        <v>37800</v>
      </c>
      <c r="V28" s="462"/>
      <c r="W28" s="462"/>
      <c r="X28" s="493"/>
      <c r="Y28" s="489"/>
      <c r="Z28" s="489" t="s">
        <v>1138</v>
      </c>
      <c r="AA28" s="488">
        <v>0.4</v>
      </c>
      <c r="AB28" s="490">
        <v>1.5</v>
      </c>
      <c r="AC28" s="488">
        <f t="shared" si="3"/>
        <v>0</v>
      </c>
      <c r="AD28" s="491">
        <f t="shared" si="4"/>
        <v>0</v>
      </c>
      <c r="AE28" s="491">
        <v>9</v>
      </c>
      <c r="AF28" s="491">
        <f t="shared" si="5"/>
        <v>0</v>
      </c>
      <c r="AG28" s="491">
        <v>8</v>
      </c>
      <c r="AH28" s="490">
        <f t="shared" si="6"/>
        <v>0</v>
      </c>
      <c r="AI28" s="490">
        <f t="shared" si="7"/>
        <v>0</v>
      </c>
      <c r="AJ28" s="490">
        <f t="shared" si="8"/>
        <v>0</v>
      </c>
      <c r="AK28" s="490">
        <f t="shared" si="9"/>
        <v>0</v>
      </c>
      <c r="AL28" s="490">
        <f t="shared" si="10"/>
        <v>0</v>
      </c>
      <c r="AM28" s="492">
        <f t="shared" si="11"/>
        <v>0</v>
      </c>
      <c r="AN28" s="490">
        <f t="shared" si="12"/>
        <v>0</v>
      </c>
      <c r="AO28" s="462"/>
    </row>
    <row r="29" spans="2:41" ht="16" thickBot="1" x14ac:dyDescent="0.4">
      <c r="B29" s="58"/>
      <c r="C29" s="70"/>
      <c r="D29" s="61"/>
      <c r="E29" s="61"/>
      <c r="F29" s="24"/>
      <c r="G29" s="421"/>
      <c r="H29" s="17" t="str">
        <f t="shared" si="0"/>
        <v/>
      </c>
      <c r="I29" s="18"/>
      <c r="J29" s="62"/>
      <c r="K29" s="62"/>
      <c r="L29" s="420" t="str">
        <f t="shared" si="1"/>
        <v/>
      </c>
      <c r="M29" s="401" t="str">
        <f t="shared" si="2"/>
        <v/>
      </c>
      <c r="P29" s="460"/>
      <c r="Q29" s="460"/>
      <c r="R29" s="460"/>
      <c r="S29" s="460"/>
      <c r="V29" s="462"/>
      <c r="W29" s="462"/>
      <c r="X29" s="487"/>
      <c r="Y29" s="488"/>
      <c r="Z29" s="489" t="s">
        <v>1139</v>
      </c>
      <c r="AA29" s="488">
        <v>0.4</v>
      </c>
      <c r="AB29" s="490">
        <v>1.5</v>
      </c>
      <c r="AC29" s="488">
        <f t="shared" si="3"/>
        <v>0</v>
      </c>
      <c r="AD29" s="491">
        <f t="shared" si="4"/>
        <v>0</v>
      </c>
      <c r="AE29" s="491">
        <v>10</v>
      </c>
      <c r="AF29" s="491">
        <f t="shared" si="5"/>
        <v>0</v>
      </c>
      <c r="AG29" s="491">
        <v>9</v>
      </c>
      <c r="AH29" s="490">
        <f t="shared" si="6"/>
        <v>0</v>
      </c>
      <c r="AI29" s="490">
        <f t="shared" si="7"/>
        <v>0</v>
      </c>
      <c r="AJ29" s="490">
        <f t="shared" si="8"/>
        <v>0</v>
      </c>
      <c r="AK29" s="490">
        <f t="shared" si="9"/>
        <v>0</v>
      </c>
      <c r="AL29" s="490">
        <f t="shared" si="10"/>
        <v>0</v>
      </c>
      <c r="AM29" s="492">
        <f t="shared" si="11"/>
        <v>0</v>
      </c>
      <c r="AN29" s="490">
        <f t="shared" si="12"/>
        <v>0</v>
      </c>
      <c r="AO29" s="462"/>
    </row>
    <row r="30" spans="2:41" ht="25.5" thickBot="1" x14ac:dyDescent="0.4">
      <c r="B30" s="58" t="s">
        <v>438</v>
      </c>
      <c r="C30" s="70" t="s">
        <v>437</v>
      </c>
      <c r="D30" s="15"/>
      <c r="E30" s="15"/>
      <c r="F30" s="24"/>
      <c r="G30" s="411"/>
      <c r="H30" s="17" t="str">
        <f t="shared" si="0"/>
        <v/>
      </c>
      <c r="I30" s="18"/>
      <c r="J30" s="62"/>
      <c r="K30" s="62"/>
      <c r="L30" s="420" t="str">
        <f t="shared" si="1"/>
        <v/>
      </c>
      <c r="M30" s="401" t="str">
        <f t="shared" si="2"/>
        <v/>
      </c>
      <c r="V30" s="462"/>
      <c r="W30" s="462"/>
      <c r="X30" s="1177" t="s">
        <v>1140</v>
      </c>
      <c r="Y30" s="1178"/>
      <c r="Z30" s="1178"/>
      <c r="AA30" s="1179"/>
      <c r="AB30" s="494" t="e">
        <f>SUM(AC30/#REF!)</f>
        <v>#REF!</v>
      </c>
      <c r="AC30" s="495">
        <f>SUM(AC22:AC29)</f>
        <v>0</v>
      </c>
      <c r="AD30" s="495"/>
      <c r="AE30" s="496">
        <f>SUM(AE22:AE29)</f>
        <v>52</v>
      </c>
      <c r="AF30" s="495"/>
      <c r="AG30" s="496">
        <f>SUM(AG22:AG29)</f>
        <v>44</v>
      </c>
      <c r="AH30" s="496">
        <f t="shared" ref="AH30:AN30" si="13">SUM(AH22:AH29)</f>
        <v>0</v>
      </c>
      <c r="AI30" s="496">
        <f t="shared" si="13"/>
        <v>0</v>
      </c>
      <c r="AJ30" s="496">
        <f t="shared" si="13"/>
        <v>0</v>
      </c>
      <c r="AK30" s="496">
        <f t="shared" si="13"/>
        <v>0</v>
      </c>
      <c r="AL30" s="496">
        <f t="shared" si="13"/>
        <v>0</v>
      </c>
      <c r="AM30" s="496">
        <f t="shared" si="13"/>
        <v>0</v>
      </c>
      <c r="AN30" s="496">
        <f t="shared" si="13"/>
        <v>0</v>
      </c>
      <c r="AO30" s="462"/>
    </row>
    <row r="31" spans="2:41" ht="15.5" x14ac:dyDescent="0.35">
      <c r="B31" s="58"/>
      <c r="C31" s="70"/>
      <c r="D31" s="61"/>
      <c r="E31" s="61"/>
      <c r="F31" s="24"/>
      <c r="G31" s="422"/>
      <c r="H31" s="17" t="str">
        <f t="shared" si="0"/>
        <v/>
      </c>
      <c r="I31" s="18"/>
      <c r="J31" s="62"/>
      <c r="K31" s="62"/>
      <c r="L31" s="420" t="str">
        <f t="shared" si="1"/>
        <v/>
      </c>
      <c r="M31" s="401" t="str">
        <f t="shared" si="2"/>
        <v/>
      </c>
      <c r="V31" s="462"/>
      <c r="W31" s="462"/>
      <c r="X31" s="462"/>
      <c r="Y31" s="462"/>
      <c r="Z31" s="462"/>
      <c r="AA31" s="462"/>
      <c r="AB31" s="462"/>
      <c r="AC31" s="462"/>
      <c r="AD31" s="462"/>
      <c r="AE31" s="462"/>
      <c r="AF31" s="462"/>
      <c r="AG31" s="462"/>
      <c r="AH31" s="462"/>
      <c r="AI31" s="462"/>
      <c r="AJ31" s="462"/>
      <c r="AK31" s="462"/>
      <c r="AL31" s="462"/>
      <c r="AM31" s="462"/>
      <c r="AN31" s="462"/>
      <c r="AO31" s="462"/>
    </row>
    <row r="32" spans="2:41" ht="14.5" x14ac:dyDescent="0.25">
      <c r="B32" s="58" t="s">
        <v>39</v>
      </c>
      <c r="C32" s="68" t="s">
        <v>436</v>
      </c>
      <c r="D32" s="15" t="s">
        <v>23</v>
      </c>
      <c r="E32" s="15"/>
      <c r="F32" s="24">
        <v>200</v>
      </c>
      <c r="G32" s="422">
        <v>70</v>
      </c>
      <c r="H32" s="17">
        <f t="shared" si="0"/>
        <v>14000</v>
      </c>
      <c r="I32" s="18"/>
      <c r="J32" s="62" t="s">
        <v>1721</v>
      </c>
      <c r="K32" s="402">
        <f>Labour_perc_roads*G32</f>
        <v>2.0300000000000002</v>
      </c>
      <c r="L32" s="420">
        <f t="shared" si="1"/>
        <v>406.00000000000006</v>
      </c>
      <c r="M32" s="401">
        <f t="shared" si="2"/>
        <v>2.9000000000000005E-2</v>
      </c>
    </row>
    <row r="33" spans="2:19" x14ac:dyDescent="0.25">
      <c r="B33" s="58"/>
      <c r="C33" s="70"/>
      <c r="D33" s="61"/>
      <c r="E33" s="61"/>
      <c r="F33" s="24"/>
      <c r="G33" s="423"/>
      <c r="H33" s="17" t="str">
        <f t="shared" si="0"/>
        <v/>
      </c>
      <c r="I33" s="18"/>
      <c r="J33" s="62"/>
      <c r="K33" s="62"/>
      <c r="L33" s="420" t="str">
        <f t="shared" si="1"/>
        <v/>
      </c>
      <c r="M33" s="401" t="str">
        <f t="shared" si="2"/>
        <v/>
      </c>
    </row>
    <row r="34" spans="2:19" ht="37.5" x14ac:dyDescent="0.25">
      <c r="B34" s="58" t="s">
        <v>434</v>
      </c>
      <c r="C34" s="65" t="s">
        <v>433</v>
      </c>
      <c r="D34" s="15" t="s">
        <v>23</v>
      </c>
      <c r="E34" s="15" t="s">
        <v>996</v>
      </c>
      <c r="F34" s="24">
        <v>190</v>
      </c>
      <c r="G34" s="422">
        <v>320</v>
      </c>
      <c r="H34" s="17">
        <f t="shared" si="0"/>
        <v>60800</v>
      </c>
      <c r="I34" s="57"/>
      <c r="J34" s="62" t="s">
        <v>996</v>
      </c>
      <c r="K34" s="577">
        <f>G34*97/100</f>
        <v>310.39999999999998</v>
      </c>
      <c r="L34" s="420">
        <f t="shared" si="1"/>
        <v>58975.999999999993</v>
      </c>
      <c r="M34" s="401">
        <f t="shared" si="2"/>
        <v>0.96999999999999986</v>
      </c>
    </row>
    <row r="35" spans="2:19" x14ac:dyDescent="0.25">
      <c r="B35" s="58"/>
      <c r="C35" s="65"/>
      <c r="D35" s="15"/>
      <c r="E35" s="15"/>
      <c r="F35" s="24"/>
      <c r="G35" s="411"/>
      <c r="H35" s="17" t="str">
        <f t="shared" si="0"/>
        <v/>
      </c>
      <c r="I35" s="18"/>
      <c r="J35" s="62"/>
      <c r="K35" s="62"/>
      <c r="L35" s="420" t="str">
        <f t="shared" si="1"/>
        <v/>
      </c>
      <c r="M35" s="401" t="str">
        <f t="shared" si="2"/>
        <v/>
      </c>
    </row>
    <row r="36" spans="2:19" ht="25" x14ac:dyDescent="0.3">
      <c r="B36" s="58" t="s">
        <v>432</v>
      </c>
      <c r="C36" s="65" t="s">
        <v>431</v>
      </c>
      <c r="D36" s="15" t="s">
        <v>23</v>
      </c>
      <c r="E36" s="15"/>
      <c r="F36" s="24">
        <v>180</v>
      </c>
      <c r="G36" s="422">
        <v>250</v>
      </c>
      <c r="H36" s="17">
        <f t="shared" si="0"/>
        <v>45000</v>
      </c>
      <c r="I36" s="18"/>
      <c r="J36" s="62" t="s">
        <v>1721</v>
      </c>
      <c r="K36" s="402">
        <f>Labour_perc_roads*G36</f>
        <v>7.25</v>
      </c>
      <c r="L36" s="420">
        <f t="shared" si="1"/>
        <v>1305</v>
      </c>
      <c r="M36" s="401">
        <f t="shared" si="2"/>
        <v>2.9000000000000001E-2</v>
      </c>
      <c r="N36" s="455" t="s">
        <v>1097</v>
      </c>
      <c r="P36" s="461">
        <f>_RoadLength*55%*1000</f>
        <v>1320.0000000000002</v>
      </c>
      <c r="Q36" s="460">
        <v>3</v>
      </c>
      <c r="R36" s="460">
        <v>0.35</v>
      </c>
      <c r="S36" s="460">
        <f>P36*Q36*R36</f>
        <v>1386.0000000000002</v>
      </c>
    </row>
    <row r="37" spans="2:19" x14ac:dyDescent="0.25">
      <c r="B37" s="58"/>
      <c r="C37" s="65"/>
      <c r="D37" s="15"/>
      <c r="E37" s="15"/>
      <c r="F37" s="24"/>
      <c r="G37" s="422"/>
      <c r="H37" s="17" t="str">
        <f t="shared" si="0"/>
        <v/>
      </c>
      <c r="I37" s="18"/>
      <c r="J37" s="62"/>
      <c r="K37" s="402"/>
      <c r="L37" s="420" t="str">
        <f t="shared" si="1"/>
        <v/>
      </c>
      <c r="M37" s="401" t="str">
        <f t="shared" si="2"/>
        <v/>
      </c>
    </row>
    <row r="38" spans="2:19" ht="13" x14ac:dyDescent="0.25">
      <c r="B38" s="146" t="s">
        <v>430</v>
      </c>
      <c r="C38" s="672" t="s">
        <v>429</v>
      </c>
      <c r="D38" s="15"/>
      <c r="E38" s="15"/>
      <c r="F38" s="580"/>
      <c r="G38" s="422"/>
      <c r="H38" s="17" t="str">
        <f t="shared" si="0"/>
        <v/>
      </c>
      <c r="I38" s="18"/>
      <c r="J38" s="62"/>
      <c r="K38" s="62"/>
      <c r="L38" s="420" t="str">
        <f t="shared" si="1"/>
        <v/>
      </c>
      <c r="M38" s="401" t="str">
        <f t="shared" si="2"/>
        <v/>
      </c>
    </row>
    <row r="39" spans="2:19" x14ac:dyDescent="0.25">
      <c r="B39" s="58"/>
      <c r="C39" s="65"/>
      <c r="D39" s="15"/>
      <c r="E39" s="15"/>
      <c r="F39" s="580"/>
      <c r="G39" s="422"/>
      <c r="H39" s="17" t="str">
        <f t="shared" si="0"/>
        <v/>
      </c>
      <c r="I39" s="18"/>
      <c r="J39" s="62"/>
      <c r="K39" s="62"/>
      <c r="L39" s="420" t="str">
        <f t="shared" si="1"/>
        <v/>
      </c>
      <c r="M39" s="401" t="str">
        <f t="shared" si="2"/>
        <v/>
      </c>
    </row>
    <row r="40" spans="2:19" ht="25" x14ac:dyDescent="0.25">
      <c r="B40" s="58" t="s">
        <v>428</v>
      </c>
      <c r="C40" s="65" t="s">
        <v>427</v>
      </c>
      <c r="D40" s="15" t="s">
        <v>23</v>
      </c>
      <c r="E40" s="15" t="s">
        <v>996</v>
      </c>
      <c r="F40" s="580">
        <f>Quantities!$S$253</f>
        <v>100</v>
      </c>
      <c r="G40" s="422">
        <v>90</v>
      </c>
      <c r="H40" s="17">
        <f t="shared" si="0"/>
        <v>9000</v>
      </c>
      <c r="I40" s="18"/>
      <c r="J40" s="62" t="s">
        <v>996</v>
      </c>
      <c r="K40" s="577">
        <f>_Backfill</f>
        <v>51</v>
      </c>
      <c r="L40" s="420">
        <f t="shared" si="1"/>
        <v>5100</v>
      </c>
      <c r="M40" s="401">
        <f t="shared" si="2"/>
        <v>0.56666666666666665</v>
      </c>
    </row>
    <row r="41" spans="2:19" x14ac:dyDescent="0.25">
      <c r="B41" s="58"/>
      <c r="C41" s="65"/>
      <c r="D41" s="15"/>
      <c r="E41" s="15"/>
      <c r="F41" s="24"/>
      <c r="G41" s="411"/>
      <c r="H41" s="17" t="str">
        <f t="shared" si="0"/>
        <v/>
      </c>
      <c r="I41" s="18"/>
      <c r="J41" s="62"/>
      <c r="K41" s="62"/>
      <c r="L41" s="420" t="str">
        <f t="shared" si="1"/>
        <v/>
      </c>
      <c r="M41" s="401" t="str">
        <f t="shared" si="2"/>
        <v/>
      </c>
    </row>
    <row r="42" spans="2:19" ht="26" x14ac:dyDescent="0.25">
      <c r="B42" s="146" t="s">
        <v>426</v>
      </c>
      <c r="C42" s="672" t="s">
        <v>2104</v>
      </c>
      <c r="D42" s="15"/>
      <c r="E42" s="15"/>
      <c r="F42" s="24"/>
      <c r="G42" s="422"/>
      <c r="H42" s="17" t="str">
        <f t="shared" si="0"/>
        <v/>
      </c>
      <c r="I42" s="18"/>
      <c r="J42" s="62"/>
      <c r="K42" s="62"/>
      <c r="L42" s="420" t="str">
        <f t="shared" si="1"/>
        <v/>
      </c>
      <c r="M42" s="401" t="str">
        <f t="shared" si="2"/>
        <v/>
      </c>
    </row>
    <row r="43" spans="2:19" x14ac:dyDescent="0.25">
      <c r="B43" s="58"/>
      <c r="C43" s="65"/>
      <c r="D43" s="15"/>
      <c r="E43" s="15"/>
      <c r="F43" s="24"/>
      <c r="G43" s="422"/>
      <c r="H43" s="17" t="str">
        <f t="shared" si="0"/>
        <v/>
      </c>
      <c r="I43" s="18"/>
      <c r="J43" s="62"/>
      <c r="K43" s="62"/>
      <c r="L43" s="420" t="str">
        <f t="shared" si="1"/>
        <v/>
      </c>
      <c r="M43" s="401" t="str">
        <f t="shared" ref="M43:M59" si="14">IF(J43="","",IF(SUM(H43)=0,"",L43/H43))</f>
        <v/>
      </c>
    </row>
    <row r="44" spans="2:19" ht="25" x14ac:dyDescent="0.25">
      <c r="B44" s="58" t="s">
        <v>794</v>
      </c>
      <c r="C44" s="65" t="s">
        <v>2102</v>
      </c>
      <c r="D44" s="15" t="s">
        <v>23</v>
      </c>
      <c r="E44" s="15" t="s">
        <v>996</v>
      </c>
      <c r="F44" s="580">
        <f>Quantities!$S$258</f>
        <v>100</v>
      </c>
      <c r="G44" s="411">
        <v>550</v>
      </c>
      <c r="H44" s="17">
        <f t="shared" si="0"/>
        <v>55000</v>
      </c>
      <c r="I44" s="18"/>
      <c r="J44" s="62" t="s">
        <v>996</v>
      </c>
      <c r="K44" s="402">
        <f>Labour_perc_roads*G44</f>
        <v>15.950000000000001</v>
      </c>
      <c r="L44" s="420">
        <f t="shared" si="1"/>
        <v>1595</v>
      </c>
      <c r="M44" s="401">
        <f t="shared" si="14"/>
        <v>2.9000000000000001E-2</v>
      </c>
    </row>
    <row r="45" spans="2:19" x14ac:dyDescent="0.25">
      <c r="B45" s="58"/>
      <c r="C45" s="65"/>
      <c r="D45" s="15"/>
      <c r="E45" s="15"/>
      <c r="F45" s="24"/>
      <c r="G45" s="423"/>
      <c r="H45" s="17" t="str">
        <f t="shared" si="0"/>
        <v/>
      </c>
      <c r="I45" s="18"/>
      <c r="J45" s="62"/>
      <c r="K45" s="62"/>
      <c r="L45" s="420" t="str">
        <f t="shared" si="1"/>
        <v/>
      </c>
      <c r="M45" s="401" t="str">
        <f t="shared" si="14"/>
        <v/>
      </c>
    </row>
    <row r="46" spans="2:19" ht="26" x14ac:dyDescent="0.25">
      <c r="B46" s="146" t="s">
        <v>425</v>
      </c>
      <c r="C46" s="672" t="s">
        <v>424</v>
      </c>
      <c r="D46" s="15"/>
      <c r="E46" s="15"/>
      <c r="F46" s="580"/>
      <c r="G46" s="411"/>
      <c r="H46" s="17" t="str">
        <f t="shared" si="0"/>
        <v/>
      </c>
      <c r="I46" s="63"/>
      <c r="J46" s="62"/>
      <c r="K46" s="62"/>
      <c r="L46" s="420" t="str">
        <f t="shared" si="1"/>
        <v/>
      </c>
      <c r="M46" s="401" t="str">
        <f t="shared" si="14"/>
        <v/>
      </c>
    </row>
    <row r="47" spans="2:19" x14ac:dyDescent="0.25">
      <c r="B47" s="58"/>
      <c r="C47" s="65"/>
      <c r="D47" s="15"/>
      <c r="E47" s="15"/>
      <c r="F47" s="580"/>
      <c r="G47" s="422"/>
      <c r="H47" s="17" t="str">
        <f t="shared" si="0"/>
        <v/>
      </c>
      <c r="I47" s="18"/>
      <c r="J47" s="62"/>
      <c r="K47" s="62"/>
      <c r="L47" s="420" t="str">
        <f t="shared" si="1"/>
        <v/>
      </c>
      <c r="M47" s="401" t="str">
        <f t="shared" si="14"/>
        <v/>
      </c>
    </row>
    <row r="48" spans="2:19" ht="14.5" x14ac:dyDescent="0.25">
      <c r="B48" s="58" t="s">
        <v>423</v>
      </c>
      <c r="C48" s="70" t="s">
        <v>1077</v>
      </c>
      <c r="D48" s="15" t="s">
        <v>23</v>
      </c>
      <c r="E48" s="15" t="s">
        <v>996</v>
      </c>
      <c r="F48" s="24">
        <f>Quantities!$S$263</f>
        <v>310</v>
      </c>
      <c r="G48" s="421">
        <v>400</v>
      </c>
      <c r="H48" s="17">
        <f t="shared" si="0"/>
        <v>124000</v>
      </c>
      <c r="I48" s="69"/>
      <c r="J48" s="62" t="s">
        <v>996</v>
      </c>
      <c r="K48" s="402">
        <f>Labour_perc_roads*G48</f>
        <v>11.600000000000001</v>
      </c>
      <c r="L48" s="420">
        <f t="shared" si="1"/>
        <v>3596.0000000000005</v>
      </c>
      <c r="M48" s="401">
        <f t="shared" si="14"/>
        <v>2.9000000000000005E-2</v>
      </c>
    </row>
    <row r="49" spans="2:13" x14ac:dyDescent="0.25">
      <c r="B49" s="58"/>
      <c r="C49" s="70"/>
      <c r="D49" s="61"/>
      <c r="E49" s="61"/>
      <c r="F49" s="24"/>
      <c r="G49" s="423"/>
      <c r="H49" s="17" t="str">
        <f t="shared" si="0"/>
        <v/>
      </c>
      <c r="I49" s="63"/>
      <c r="J49" s="62"/>
      <c r="K49" s="62"/>
      <c r="L49" s="420" t="str">
        <f t="shared" si="1"/>
        <v/>
      </c>
      <c r="M49" s="401" t="str">
        <f t="shared" si="14"/>
        <v/>
      </c>
    </row>
    <row r="50" spans="2:13" ht="13" x14ac:dyDescent="0.25">
      <c r="B50" s="146" t="s">
        <v>422</v>
      </c>
      <c r="C50" s="928" t="s">
        <v>421</v>
      </c>
      <c r="D50" s="61"/>
      <c r="E50" s="61"/>
      <c r="F50" s="24"/>
      <c r="G50" s="421"/>
      <c r="H50" s="17" t="str">
        <f t="shared" si="0"/>
        <v/>
      </c>
      <c r="I50" s="18"/>
      <c r="J50" s="62"/>
      <c r="K50" s="62"/>
      <c r="L50" s="420" t="str">
        <f t="shared" si="1"/>
        <v/>
      </c>
      <c r="M50" s="401" t="str">
        <f t="shared" si="14"/>
        <v/>
      </c>
    </row>
    <row r="51" spans="2:13" x14ac:dyDescent="0.25">
      <c r="B51" s="58"/>
      <c r="C51" s="65"/>
      <c r="D51" s="15"/>
      <c r="E51" s="15"/>
      <c r="F51" s="24"/>
      <c r="G51" s="411"/>
      <c r="H51" s="17" t="str">
        <f t="shared" si="0"/>
        <v/>
      </c>
      <c r="I51" s="18"/>
      <c r="J51" s="62"/>
      <c r="K51" s="62"/>
      <c r="L51" s="420" t="str">
        <f t="shared" si="1"/>
        <v/>
      </c>
      <c r="M51" s="401" t="str">
        <f t="shared" si="14"/>
        <v/>
      </c>
    </row>
    <row r="52" spans="2:13" ht="37.5" x14ac:dyDescent="0.25">
      <c r="B52" s="58" t="s">
        <v>420</v>
      </c>
      <c r="C52" s="65" t="s">
        <v>1078</v>
      </c>
      <c r="D52" s="15" t="s">
        <v>6</v>
      </c>
      <c r="E52" s="15" t="s">
        <v>996</v>
      </c>
      <c r="F52" s="24">
        <f>Quantities!$S$266</f>
        <v>960</v>
      </c>
      <c r="G52" s="411">
        <v>65</v>
      </c>
      <c r="H52" s="17">
        <f t="shared" si="0"/>
        <v>62400</v>
      </c>
      <c r="I52" s="18"/>
      <c r="J52" s="62" t="s">
        <v>996</v>
      </c>
      <c r="K52" s="577">
        <f>_Subsoil</f>
        <v>9</v>
      </c>
      <c r="L52" s="420">
        <f t="shared" si="1"/>
        <v>8640</v>
      </c>
      <c r="M52" s="401">
        <f t="shared" si="14"/>
        <v>0.13846153846153847</v>
      </c>
    </row>
    <row r="53" spans="2:13" x14ac:dyDescent="0.25">
      <c r="B53" s="58"/>
      <c r="C53" s="65"/>
      <c r="D53" s="15"/>
      <c r="E53" s="15"/>
      <c r="F53" s="24"/>
      <c r="G53" s="422"/>
      <c r="H53" s="17" t="str">
        <f t="shared" si="0"/>
        <v/>
      </c>
      <c r="I53" s="18"/>
      <c r="J53" s="62"/>
      <c r="K53" s="62"/>
      <c r="L53" s="420" t="str">
        <f t="shared" si="1"/>
        <v/>
      </c>
      <c r="M53" s="401" t="str">
        <f t="shared" si="14"/>
        <v/>
      </c>
    </row>
    <row r="54" spans="2:13" ht="14.5" x14ac:dyDescent="0.25">
      <c r="B54" s="146" t="s">
        <v>419</v>
      </c>
      <c r="C54" s="65" t="s">
        <v>2103</v>
      </c>
      <c r="D54" s="15" t="s">
        <v>61</v>
      </c>
      <c r="E54" s="15"/>
      <c r="F54" s="24">
        <f>Quantities!$S$272</f>
        <v>1450</v>
      </c>
      <c r="G54" s="411">
        <v>20</v>
      </c>
      <c r="H54" s="17">
        <f t="shared" si="0"/>
        <v>29000</v>
      </c>
      <c r="I54" s="18"/>
      <c r="J54" s="62" t="s">
        <v>996</v>
      </c>
      <c r="K54" s="399">
        <f>_Geofabric</f>
        <v>6</v>
      </c>
      <c r="L54" s="420">
        <f t="shared" si="1"/>
        <v>8700</v>
      </c>
      <c r="M54" s="401">
        <f t="shared" ref="M54" si="15">IF(J54="","",IF(SUM(H54)=0,"",L54/H54))</f>
        <v>0.3</v>
      </c>
    </row>
    <row r="55" spans="2:13" x14ac:dyDescent="0.25">
      <c r="B55" s="58"/>
      <c r="C55" s="70"/>
      <c r="D55" s="61"/>
      <c r="E55" s="61"/>
      <c r="F55" s="24"/>
      <c r="G55" s="421"/>
      <c r="H55" s="17" t="str">
        <f t="shared" si="0"/>
        <v/>
      </c>
      <c r="I55" s="18"/>
      <c r="J55" s="62"/>
      <c r="K55" s="62"/>
      <c r="L55" s="420" t="str">
        <f t="shared" si="1"/>
        <v/>
      </c>
      <c r="M55" s="401" t="str">
        <f t="shared" si="14"/>
        <v/>
      </c>
    </row>
    <row r="56" spans="2:13" x14ac:dyDescent="0.25">
      <c r="B56" s="58"/>
      <c r="C56" s="65"/>
      <c r="D56" s="15"/>
      <c r="E56" s="15"/>
      <c r="F56" s="580"/>
      <c r="G56" s="411"/>
      <c r="H56" s="17" t="str">
        <f t="shared" si="0"/>
        <v/>
      </c>
      <c r="I56" s="63"/>
      <c r="J56" s="62"/>
      <c r="K56" s="577"/>
      <c r="L56" s="420" t="str">
        <f t="shared" si="1"/>
        <v/>
      </c>
      <c r="M56" s="401" t="str">
        <f t="shared" si="14"/>
        <v/>
      </c>
    </row>
    <row r="57" spans="2:13" x14ac:dyDescent="0.25">
      <c r="B57" s="58"/>
      <c r="C57" s="65"/>
      <c r="D57" s="15"/>
      <c r="E57" s="15"/>
      <c r="F57" s="580"/>
      <c r="G57" s="411"/>
      <c r="H57" s="17" t="str">
        <f t="shared" si="0"/>
        <v/>
      </c>
      <c r="I57" s="63"/>
      <c r="J57" s="62"/>
      <c r="K57" s="62"/>
      <c r="L57" s="420" t="str">
        <f t="shared" si="1"/>
        <v/>
      </c>
      <c r="M57" s="401" t="str">
        <f t="shared" si="14"/>
        <v/>
      </c>
    </row>
    <row r="58" spans="2:13" x14ac:dyDescent="0.25">
      <c r="B58" s="58"/>
      <c r="C58" s="65"/>
      <c r="D58" s="15"/>
      <c r="E58" s="15"/>
      <c r="F58" s="24"/>
      <c r="G58" s="423"/>
      <c r="H58" s="17" t="str">
        <f t="shared" si="0"/>
        <v/>
      </c>
      <c r="I58" s="63"/>
      <c r="J58" s="711"/>
      <c r="K58" s="711"/>
      <c r="L58" s="420" t="str">
        <f t="shared" si="1"/>
        <v/>
      </c>
      <c r="M58" s="401" t="str">
        <f t="shared" si="14"/>
        <v/>
      </c>
    </row>
    <row r="59" spans="2:13" s="28" customFormat="1" ht="19.5" customHeight="1" x14ac:dyDescent="0.25">
      <c r="B59" s="135" t="str">
        <f>$B$12</f>
        <v>C3.1</v>
      </c>
      <c r="C59" s="30" t="str">
        <f>"TOTAL CARRIED FORWARD"&amp;IF(H59=H$1," TO SUMMARY","")</f>
        <v>TOTAL CARRIED FORWARD</v>
      </c>
      <c r="D59" s="31"/>
      <c r="E59" s="31"/>
      <c r="F59" s="32"/>
      <c r="G59" s="31"/>
      <c r="H59" s="33">
        <f>SUM(H11:H58)</f>
        <v>447850</v>
      </c>
      <c r="I59" s="34"/>
      <c r="J59" s="408"/>
      <c r="K59" s="406"/>
      <c r="L59" s="418">
        <f>SUM(L11:L58)</f>
        <v>107898.9</v>
      </c>
      <c r="M59" s="407" t="str">
        <f t="shared" si="14"/>
        <v/>
      </c>
    </row>
    <row r="60" spans="2:13" ht="13" x14ac:dyDescent="0.25">
      <c r="B60" s="1108" t="str">
        <f>Client1</f>
        <v>Province of KwaZulu-Natal</v>
      </c>
      <c r="C60" s="1108"/>
      <c r="D60" s="1108"/>
      <c r="E60" s="87"/>
      <c r="F60" s="1109" t="str">
        <f>"Contract No. "&amp;ContractNo</f>
        <v>Contract No. ZNB 00399/00000/HOD/INF/21/T</v>
      </c>
      <c r="G60" s="1109"/>
      <c r="H60" s="1109"/>
    </row>
    <row r="61" spans="2:13" ht="13" x14ac:dyDescent="0.25">
      <c r="B61" s="1108" t="str">
        <f>Client2</f>
        <v>Department of Transport</v>
      </c>
      <c r="C61" s="1108"/>
      <c r="D61" s="1108"/>
      <c r="E61" s="87"/>
      <c r="F61" s="1109"/>
      <c r="G61" s="1109"/>
      <c r="H61" s="1109"/>
    </row>
    <row r="62" spans="2:13" x14ac:dyDescent="0.25">
      <c r="B62" s="1111"/>
      <c r="C62" s="1111"/>
      <c r="D62" s="1111"/>
      <c r="E62" s="78"/>
      <c r="F62" s="1110"/>
      <c r="G62" s="1110"/>
      <c r="H62" s="1110"/>
    </row>
    <row r="63" spans="2:13" ht="13" x14ac:dyDescent="0.25">
      <c r="B63" s="1112" t="s">
        <v>8</v>
      </c>
      <c r="C63" s="1113"/>
      <c r="D63" s="1113"/>
      <c r="E63" s="1113"/>
      <c r="F63" s="1113"/>
      <c r="G63" s="1113"/>
      <c r="H63" s="1114" t="str">
        <f>$H$6</f>
        <v>CHAPTER C3.1</v>
      </c>
      <c r="I63" s="6"/>
    </row>
    <row r="64" spans="2:13" ht="13" x14ac:dyDescent="0.25">
      <c r="B64" s="1117" t="str">
        <f>ContractDescription</f>
        <v>THE CONSTRUCTION OF EARTHWORKS, LAYERWORKS, SURFACING, CULVERTS AND CWAKA RIVER BRIDGE FROM KM 11.600 TO KM 14.000 ON MAIN ROAD P494 IN THE KING CETSHWAYO DISTRICT UNDER EMPANGENI REGION</v>
      </c>
      <c r="C64" s="1118"/>
      <c r="D64" s="1118"/>
      <c r="E64" s="1118"/>
      <c r="F64" s="1118"/>
      <c r="G64" s="1118"/>
      <c r="H64" s="1115"/>
      <c r="I64" s="8"/>
    </row>
    <row r="65" spans="2:16" ht="13" x14ac:dyDescent="0.25">
      <c r="B65" s="1117"/>
      <c r="C65" s="1118"/>
      <c r="D65" s="1118"/>
      <c r="E65" s="1118"/>
      <c r="F65" s="1118"/>
      <c r="G65" s="1118"/>
      <c r="H65" s="1115"/>
      <c r="I65" s="8"/>
    </row>
    <row r="66" spans="2:16" ht="13" x14ac:dyDescent="0.25">
      <c r="B66" s="1119"/>
      <c r="C66" s="1120"/>
      <c r="D66" s="1120"/>
      <c r="E66" s="1120"/>
      <c r="F66" s="1120"/>
      <c r="G66" s="1120"/>
      <c r="H66" s="1116"/>
      <c r="I66" s="8"/>
    </row>
    <row r="67" spans="2:16" s="9" customFormat="1" ht="25" customHeight="1" x14ac:dyDescent="0.25">
      <c r="B67" s="74" t="s">
        <v>0</v>
      </c>
      <c r="C67" s="11" t="s">
        <v>1</v>
      </c>
      <c r="D67" s="11" t="s">
        <v>2</v>
      </c>
      <c r="E67" s="11"/>
      <c r="F67" s="11" t="s">
        <v>3</v>
      </c>
      <c r="G67" s="11" t="s">
        <v>4</v>
      </c>
      <c r="H67" s="11" t="s">
        <v>5</v>
      </c>
      <c r="I67" s="12"/>
      <c r="J67" s="408" t="s">
        <v>996</v>
      </c>
      <c r="K67" s="253" t="s">
        <v>997</v>
      </c>
      <c r="L67" s="253" t="s">
        <v>998</v>
      </c>
      <c r="M67" s="253" t="s">
        <v>999</v>
      </c>
    </row>
    <row r="68" spans="2:16" s="28" customFormat="1" ht="20.149999999999999" customHeight="1" x14ac:dyDescent="0.25">
      <c r="B68" s="80"/>
      <c r="C68" s="30" t="s">
        <v>27</v>
      </c>
      <c r="D68" s="31"/>
      <c r="E68" s="31"/>
      <c r="F68" s="32"/>
      <c r="G68" s="31"/>
      <c r="H68" s="33">
        <f>H59</f>
        <v>447850</v>
      </c>
      <c r="I68" s="34"/>
      <c r="J68" s="416"/>
      <c r="K68" s="409"/>
      <c r="L68" s="419">
        <f>L59</f>
        <v>107898.9</v>
      </c>
      <c r="M68" s="410" t="str">
        <f>IF(F68="","",IF(SUM(I68)=0,"",L68/I68))</f>
        <v/>
      </c>
    </row>
    <row r="69" spans="2:16" x14ac:dyDescent="0.25">
      <c r="B69" s="58"/>
      <c r="C69" s="65"/>
      <c r="D69" s="15"/>
      <c r="E69" s="15"/>
      <c r="F69" s="24"/>
      <c r="G69" s="423"/>
      <c r="H69" s="17" t="str">
        <f t="shared" ref="H69:H131" si="16">IF(D69="","",F69*G69)</f>
        <v/>
      </c>
      <c r="I69" s="63"/>
      <c r="J69" s="61"/>
      <c r="K69" s="399"/>
      <c r="L69" s="420" t="str">
        <f t="shared" ref="L69" si="17">IF(J69="","",F69*K69)</f>
        <v/>
      </c>
      <c r="M69" s="401" t="str">
        <f t="shared" ref="M69" si="18">IF(J69="","",IF(SUM(H69)=0,"",L69/H69))</f>
        <v/>
      </c>
    </row>
    <row r="70" spans="2:16" ht="39" x14ac:dyDescent="0.25">
      <c r="B70" s="146" t="s">
        <v>418</v>
      </c>
      <c r="C70" s="672" t="s">
        <v>417</v>
      </c>
      <c r="D70" s="15"/>
      <c r="E70" s="15"/>
      <c r="F70" s="580"/>
      <c r="G70" s="422"/>
      <c r="H70" s="17" t="str">
        <f t="shared" si="16"/>
        <v/>
      </c>
      <c r="I70" s="63"/>
      <c r="J70" s="62"/>
      <c r="K70" s="62"/>
      <c r="L70" s="420" t="str">
        <f t="shared" ref="L70:L131" si="19">IF(J70="","",F70*K70)</f>
        <v/>
      </c>
      <c r="M70" s="401" t="str">
        <f t="shared" ref="M70:M132" si="20">IF(J70="","",IF(SUM(H70)=0,"",L70/H70))</f>
        <v/>
      </c>
    </row>
    <row r="71" spans="2:16" x14ac:dyDescent="0.25">
      <c r="B71" s="58"/>
      <c r="C71" s="68"/>
      <c r="D71" s="61"/>
      <c r="E71" s="61"/>
      <c r="F71" s="697"/>
      <c r="G71" s="422"/>
      <c r="H71" s="17" t="str">
        <f t="shared" si="16"/>
        <v/>
      </c>
      <c r="I71" s="63"/>
      <c r="J71" s="62"/>
      <c r="K71" s="62"/>
      <c r="L71" s="420" t="str">
        <f t="shared" si="19"/>
        <v/>
      </c>
      <c r="M71" s="401" t="str">
        <f t="shared" si="20"/>
        <v/>
      </c>
      <c r="O71" s="456"/>
      <c r="P71" s="456" t="s">
        <v>1095</v>
      </c>
    </row>
    <row r="72" spans="2:16" x14ac:dyDescent="0.25">
      <c r="B72" s="58" t="s">
        <v>416</v>
      </c>
      <c r="C72" s="70" t="s">
        <v>1851</v>
      </c>
      <c r="D72" s="15" t="s">
        <v>34</v>
      </c>
      <c r="E72" s="15" t="s">
        <v>996</v>
      </c>
      <c r="F72" s="580">
        <v>10</v>
      </c>
      <c r="G72" s="422">
        <v>2500</v>
      </c>
      <c r="H72" s="17">
        <f t="shared" si="16"/>
        <v>25000</v>
      </c>
      <c r="I72" s="63"/>
      <c r="J72" s="62" t="s">
        <v>1721</v>
      </c>
      <c r="K72" s="606">
        <f>ROUND(O73*(_Haul+_Mix+_Place+_Excavation)+(_Brickwork)*P73,-1)</f>
        <v>1800</v>
      </c>
      <c r="L72" s="420">
        <f t="shared" si="19"/>
        <v>18000</v>
      </c>
      <c r="M72" s="401">
        <f t="shared" si="20"/>
        <v>0.72</v>
      </c>
      <c r="O72" s="457" t="s">
        <v>891</v>
      </c>
      <c r="P72" s="457" t="s">
        <v>1096</v>
      </c>
    </row>
    <row r="73" spans="2:16" s="5" customFormat="1" x14ac:dyDescent="0.25">
      <c r="B73" s="58"/>
      <c r="C73" s="65"/>
      <c r="D73" s="15"/>
      <c r="E73" s="15"/>
      <c r="F73" s="24"/>
      <c r="G73" s="411"/>
      <c r="H73" s="17" t="str">
        <f t="shared" si="16"/>
        <v/>
      </c>
      <c r="I73" s="63"/>
      <c r="J73" s="62"/>
      <c r="K73" s="62"/>
      <c r="L73" s="420" t="str">
        <f t="shared" si="19"/>
        <v/>
      </c>
      <c r="M73" s="401" t="str">
        <f t="shared" si="20"/>
        <v/>
      </c>
      <c r="O73" s="458">
        <f>ROUND((((1.61+3.3)*0.5*1.35)+(3.3*0.6))*0.15,0)</f>
        <v>1</v>
      </c>
      <c r="P73" s="459">
        <f>ROUND(0.935*(3.3),0)</f>
        <v>3</v>
      </c>
    </row>
    <row r="74" spans="2:16" s="5" customFormat="1" x14ac:dyDescent="0.25">
      <c r="B74" s="58" t="s">
        <v>415</v>
      </c>
      <c r="C74" s="929" t="s">
        <v>1852</v>
      </c>
      <c r="D74" s="15" t="s">
        <v>34</v>
      </c>
      <c r="E74" s="15" t="s">
        <v>996</v>
      </c>
      <c r="F74" s="580">
        <v>10</v>
      </c>
      <c r="G74" s="411">
        <v>3500</v>
      </c>
      <c r="H74" s="17">
        <f t="shared" si="16"/>
        <v>35000</v>
      </c>
      <c r="I74" s="63"/>
      <c r="J74" s="62" t="s">
        <v>1721</v>
      </c>
      <c r="K74" s="577">
        <f>ROUND(_LabourRate*5,0)</f>
        <v>224</v>
      </c>
      <c r="L74" s="420">
        <f t="shared" si="19"/>
        <v>2240</v>
      </c>
      <c r="M74" s="401">
        <f t="shared" si="20"/>
        <v>6.4000000000000001E-2</v>
      </c>
    </row>
    <row r="75" spans="2:16" s="5" customFormat="1" x14ac:dyDescent="0.25">
      <c r="B75" s="58"/>
      <c r="C75" s="65"/>
      <c r="D75" s="15"/>
      <c r="E75" s="15"/>
      <c r="F75" s="580"/>
      <c r="G75" s="411"/>
      <c r="H75" s="17" t="str">
        <f t="shared" si="16"/>
        <v/>
      </c>
      <c r="I75" s="63"/>
      <c r="J75" s="62"/>
      <c r="K75" s="62"/>
      <c r="L75" s="420" t="str">
        <f t="shared" si="19"/>
        <v/>
      </c>
      <c r="M75" s="401" t="str">
        <f t="shared" si="20"/>
        <v/>
      </c>
    </row>
    <row r="76" spans="2:16" s="5" customFormat="1" ht="13" x14ac:dyDescent="0.25">
      <c r="B76" s="146" t="s">
        <v>414</v>
      </c>
      <c r="C76" s="672" t="s">
        <v>413</v>
      </c>
      <c r="D76" s="15"/>
      <c r="E76" s="15"/>
      <c r="F76" s="580"/>
      <c r="G76" s="411"/>
      <c r="H76" s="17" t="str">
        <f t="shared" ref="H76:H82" si="21">IF(D76="","",F76*G76)</f>
        <v/>
      </c>
      <c r="I76" s="63"/>
      <c r="J76" s="61"/>
      <c r="K76" s="399"/>
      <c r="L76" s="420" t="str">
        <f t="shared" ref="L76:L82" si="22">IF(J76="","",F76*K76)</f>
        <v/>
      </c>
      <c r="M76" s="401" t="str">
        <f t="shared" si="20"/>
        <v/>
      </c>
    </row>
    <row r="77" spans="2:16" s="5" customFormat="1" x14ac:dyDescent="0.25">
      <c r="B77" s="58"/>
      <c r="C77" s="65"/>
      <c r="D77" s="15"/>
      <c r="E77" s="15"/>
      <c r="F77" s="580"/>
      <c r="G77" s="411"/>
      <c r="H77" s="17" t="str">
        <f t="shared" si="21"/>
        <v/>
      </c>
      <c r="I77" s="63"/>
      <c r="J77" s="61"/>
      <c r="K77" s="399"/>
      <c r="L77" s="420" t="str">
        <f t="shared" si="22"/>
        <v/>
      </c>
      <c r="M77" s="401" t="str">
        <f t="shared" si="20"/>
        <v/>
      </c>
    </row>
    <row r="78" spans="2:16" s="5" customFormat="1" x14ac:dyDescent="0.25">
      <c r="B78" s="58" t="s">
        <v>412</v>
      </c>
      <c r="C78" s="65" t="s">
        <v>411</v>
      </c>
      <c r="D78" s="15" t="s">
        <v>34</v>
      </c>
      <c r="E78" s="15" t="s">
        <v>996</v>
      </c>
      <c r="F78" s="580">
        <v>10</v>
      </c>
      <c r="G78" s="411">
        <v>65</v>
      </c>
      <c r="H78" s="17">
        <f t="shared" si="21"/>
        <v>650</v>
      </c>
      <c r="I78" s="63"/>
      <c r="J78" s="61" t="s">
        <v>1721</v>
      </c>
      <c r="K78" s="399">
        <f>ROUND(Labour_perc_roads*G78,0)</f>
        <v>2</v>
      </c>
      <c r="L78" s="420">
        <f t="shared" si="22"/>
        <v>20</v>
      </c>
      <c r="M78" s="401">
        <f t="shared" si="20"/>
        <v>3.0769230769230771E-2</v>
      </c>
    </row>
    <row r="79" spans="2:16" s="5" customFormat="1" x14ac:dyDescent="0.25">
      <c r="B79" s="58"/>
      <c r="C79" s="65"/>
      <c r="D79" s="15"/>
      <c r="E79" s="15"/>
      <c r="F79" s="24"/>
      <c r="G79" s="423"/>
      <c r="H79" s="17" t="str">
        <f t="shared" si="21"/>
        <v/>
      </c>
      <c r="I79" s="63"/>
      <c r="J79" s="61"/>
      <c r="K79" s="400"/>
      <c r="L79" s="420" t="str">
        <f t="shared" si="22"/>
        <v/>
      </c>
      <c r="M79" s="401" t="str">
        <f t="shared" si="20"/>
        <v/>
      </c>
    </row>
    <row r="80" spans="2:16" s="5" customFormat="1" ht="14.5" x14ac:dyDescent="0.25">
      <c r="B80" s="146" t="s">
        <v>410</v>
      </c>
      <c r="C80" s="789" t="s">
        <v>409</v>
      </c>
      <c r="D80" s="15" t="s">
        <v>510</v>
      </c>
      <c r="E80" s="15"/>
      <c r="F80" s="24">
        <v>1000</v>
      </c>
      <c r="G80" s="421">
        <v>8</v>
      </c>
      <c r="H80" s="17">
        <f t="shared" si="21"/>
        <v>8000</v>
      </c>
      <c r="I80" s="63"/>
      <c r="J80" s="61"/>
      <c r="K80" s="399"/>
      <c r="L80" s="420" t="str">
        <f t="shared" si="22"/>
        <v/>
      </c>
      <c r="M80" s="401" t="str">
        <f t="shared" si="20"/>
        <v/>
      </c>
    </row>
    <row r="81" spans="2:13" s="5" customFormat="1" x14ac:dyDescent="0.25">
      <c r="B81" s="58"/>
      <c r="C81" s="65"/>
      <c r="D81" s="15"/>
      <c r="E81" s="15"/>
      <c r="F81" s="24"/>
      <c r="G81" s="423"/>
      <c r="H81" s="17" t="str">
        <f t="shared" si="21"/>
        <v/>
      </c>
      <c r="I81" s="63"/>
      <c r="J81" s="61"/>
      <c r="K81" s="399"/>
      <c r="L81" s="420" t="str">
        <f t="shared" si="22"/>
        <v/>
      </c>
      <c r="M81" s="401" t="str">
        <f t="shared" si="20"/>
        <v/>
      </c>
    </row>
    <row r="82" spans="2:13" s="5" customFormat="1" ht="13" x14ac:dyDescent="0.25">
      <c r="B82" s="146" t="s">
        <v>408</v>
      </c>
      <c r="C82" s="672" t="s">
        <v>407</v>
      </c>
      <c r="D82" s="15" t="s">
        <v>34</v>
      </c>
      <c r="E82" s="15"/>
      <c r="F82" s="580">
        <v>10</v>
      </c>
      <c r="G82" s="422">
        <v>780</v>
      </c>
      <c r="H82" s="17">
        <f t="shared" si="21"/>
        <v>7800</v>
      </c>
      <c r="I82" s="63"/>
      <c r="J82" s="61" t="s">
        <v>1721</v>
      </c>
      <c r="K82" s="399">
        <f>ROUND(Labour_perc_roads*G82,0)</f>
        <v>23</v>
      </c>
      <c r="L82" s="420">
        <f t="shared" si="22"/>
        <v>230</v>
      </c>
      <c r="M82" s="401">
        <f t="shared" si="20"/>
        <v>2.9487179487179487E-2</v>
      </c>
    </row>
    <row r="83" spans="2:13" s="5" customFormat="1" x14ac:dyDescent="0.25">
      <c r="B83" s="58"/>
      <c r="C83" s="65"/>
      <c r="D83" s="15"/>
      <c r="E83" s="15"/>
      <c r="F83" s="24"/>
      <c r="G83" s="423"/>
      <c r="H83" s="17" t="str">
        <f t="shared" si="16"/>
        <v/>
      </c>
      <c r="I83" s="63"/>
      <c r="J83" s="61"/>
      <c r="K83" s="399"/>
      <c r="L83" s="420" t="str">
        <f t="shared" si="19"/>
        <v/>
      </c>
      <c r="M83" s="401" t="str">
        <f t="shared" si="20"/>
        <v/>
      </c>
    </row>
    <row r="84" spans="2:13" s="5" customFormat="1" ht="13" x14ac:dyDescent="0.25">
      <c r="B84" s="146"/>
      <c r="C84" s="672"/>
      <c r="D84" s="15"/>
      <c r="E84" s="15"/>
      <c r="F84" s="580"/>
      <c r="G84" s="422"/>
      <c r="H84" s="17" t="str">
        <f t="shared" si="16"/>
        <v/>
      </c>
      <c r="I84" s="63"/>
      <c r="J84" s="61"/>
      <c r="K84" s="399"/>
      <c r="L84" s="420" t="str">
        <f t="shared" si="19"/>
        <v/>
      </c>
      <c r="M84" s="401" t="str">
        <f t="shared" si="20"/>
        <v/>
      </c>
    </row>
    <row r="85" spans="2:13" s="5" customFormat="1" x14ac:dyDescent="0.25">
      <c r="B85" s="58"/>
      <c r="C85" s="70"/>
      <c r="D85" s="61"/>
      <c r="E85" s="61"/>
      <c r="F85" s="647"/>
      <c r="G85" s="421"/>
      <c r="H85" s="743" t="str">
        <f t="shared" si="16"/>
        <v/>
      </c>
      <c r="I85" s="63"/>
      <c r="J85" s="61"/>
      <c r="K85" s="402"/>
      <c r="L85" s="420" t="str">
        <f t="shared" si="19"/>
        <v/>
      </c>
      <c r="M85" s="401" t="str">
        <f t="shared" si="20"/>
        <v/>
      </c>
    </row>
    <row r="86" spans="2:13" s="5" customFormat="1" ht="13" x14ac:dyDescent="0.25">
      <c r="B86" s="146"/>
      <c r="C86" s="672"/>
      <c r="D86" s="15"/>
      <c r="E86" s="15"/>
      <c r="F86" s="647"/>
      <c r="G86" s="753"/>
      <c r="H86" s="743" t="str">
        <f t="shared" si="16"/>
        <v/>
      </c>
      <c r="I86" s="63"/>
      <c r="J86" s="61"/>
      <c r="K86" s="402"/>
      <c r="L86" s="420" t="str">
        <f t="shared" si="19"/>
        <v/>
      </c>
      <c r="M86" s="401" t="str">
        <f t="shared" si="20"/>
        <v/>
      </c>
    </row>
    <row r="87" spans="2:13" s="5" customFormat="1" x14ac:dyDescent="0.25">
      <c r="B87" s="58"/>
      <c r="C87" s="65"/>
      <c r="D87" s="15"/>
      <c r="E87" s="15"/>
      <c r="F87" s="647"/>
      <c r="G87" s="753"/>
      <c r="H87" s="743" t="str">
        <f t="shared" si="16"/>
        <v/>
      </c>
      <c r="I87" s="63"/>
      <c r="J87" s="61"/>
      <c r="K87" s="402"/>
      <c r="L87" s="420" t="str">
        <f t="shared" si="19"/>
        <v/>
      </c>
      <c r="M87" s="401" t="str">
        <f t="shared" si="20"/>
        <v/>
      </c>
    </row>
    <row r="88" spans="2:13" s="5" customFormat="1" x14ac:dyDescent="0.25">
      <c r="B88" s="58"/>
      <c r="C88" s="65"/>
      <c r="D88" s="15"/>
      <c r="E88" s="15"/>
      <c r="F88" s="647"/>
      <c r="G88" s="753"/>
      <c r="H88" s="743" t="str">
        <f t="shared" si="16"/>
        <v/>
      </c>
      <c r="I88" s="63"/>
      <c r="J88" s="61"/>
      <c r="K88" s="402"/>
      <c r="L88" s="420" t="str">
        <f t="shared" si="19"/>
        <v/>
      </c>
      <c r="M88" s="401" t="str">
        <f t="shared" si="20"/>
        <v/>
      </c>
    </row>
    <row r="89" spans="2:13" s="5" customFormat="1" x14ac:dyDescent="0.25">
      <c r="B89" s="58"/>
      <c r="C89" s="65"/>
      <c r="D89" s="15"/>
      <c r="E89" s="15"/>
      <c r="F89" s="647"/>
      <c r="G89" s="753"/>
      <c r="H89" s="743" t="str">
        <f t="shared" si="16"/>
        <v/>
      </c>
      <c r="I89" s="63"/>
      <c r="J89" s="61"/>
      <c r="K89" s="402"/>
      <c r="L89" s="420" t="str">
        <f t="shared" si="19"/>
        <v/>
      </c>
      <c r="M89" s="401" t="str">
        <f t="shared" si="20"/>
        <v/>
      </c>
    </row>
    <row r="90" spans="2:13" s="5" customFormat="1" x14ac:dyDescent="0.25">
      <c r="B90" s="58"/>
      <c r="C90" s="65"/>
      <c r="D90" s="15"/>
      <c r="E90" s="15"/>
      <c r="F90" s="647"/>
      <c r="G90" s="753"/>
      <c r="H90" s="743" t="str">
        <f t="shared" si="16"/>
        <v/>
      </c>
      <c r="I90" s="63"/>
      <c r="J90" s="61"/>
      <c r="K90" s="399"/>
      <c r="L90" s="420" t="str">
        <f t="shared" si="19"/>
        <v/>
      </c>
      <c r="M90" s="401" t="str">
        <f t="shared" si="20"/>
        <v/>
      </c>
    </row>
    <row r="91" spans="2:13" s="5" customFormat="1" x14ac:dyDescent="0.25">
      <c r="B91" s="58"/>
      <c r="C91" s="68"/>
      <c r="D91" s="61"/>
      <c r="E91" s="61"/>
      <c r="F91" s="697"/>
      <c r="G91" s="424"/>
      <c r="H91" s="743" t="str">
        <f t="shared" si="16"/>
        <v/>
      </c>
      <c r="I91" s="63"/>
      <c r="J91" s="62"/>
      <c r="K91" s="62"/>
      <c r="L91" s="420" t="str">
        <f t="shared" si="19"/>
        <v/>
      </c>
      <c r="M91" s="401" t="str">
        <f t="shared" si="20"/>
        <v/>
      </c>
    </row>
    <row r="92" spans="2:13" s="5" customFormat="1" x14ac:dyDescent="0.25">
      <c r="B92" s="58"/>
      <c r="C92" s="65"/>
      <c r="D92" s="15"/>
      <c r="E92" s="15"/>
      <c r="F92" s="647"/>
      <c r="G92" s="753"/>
      <c r="H92" s="743" t="str">
        <f t="shared" si="16"/>
        <v/>
      </c>
      <c r="I92" s="63"/>
      <c r="J92" s="61"/>
      <c r="K92" s="402"/>
      <c r="L92" s="420" t="str">
        <f t="shared" si="19"/>
        <v/>
      </c>
      <c r="M92" s="401" t="str">
        <f t="shared" si="20"/>
        <v/>
      </c>
    </row>
    <row r="93" spans="2:13" s="5" customFormat="1" x14ac:dyDescent="0.25">
      <c r="B93" s="58"/>
      <c r="C93" s="65"/>
      <c r="D93" s="15"/>
      <c r="E93" s="15"/>
      <c r="F93" s="647"/>
      <c r="G93" s="753"/>
      <c r="H93" s="743" t="str">
        <f t="shared" si="16"/>
        <v/>
      </c>
      <c r="I93" s="63"/>
      <c r="J93" s="61"/>
      <c r="K93" s="402"/>
      <c r="L93" s="420" t="str">
        <f t="shared" si="19"/>
        <v/>
      </c>
      <c r="M93" s="401" t="str">
        <f t="shared" si="20"/>
        <v/>
      </c>
    </row>
    <row r="94" spans="2:13" s="5" customFormat="1" x14ac:dyDescent="0.25">
      <c r="B94" s="58"/>
      <c r="C94" s="65"/>
      <c r="D94" s="15"/>
      <c r="E94" s="15"/>
      <c r="F94" s="647"/>
      <c r="G94" s="753"/>
      <c r="H94" s="743" t="str">
        <f t="shared" si="16"/>
        <v/>
      </c>
      <c r="I94" s="63"/>
      <c r="J94" s="61"/>
      <c r="K94" s="402"/>
      <c r="L94" s="420" t="str">
        <f t="shared" si="19"/>
        <v/>
      </c>
      <c r="M94" s="401" t="str">
        <f t="shared" si="20"/>
        <v/>
      </c>
    </row>
    <row r="95" spans="2:13" s="5" customFormat="1" x14ac:dyDescent="0.25">
      <c r="B95" s="58"/>
      <c r="C95" s="65"/>
      <c r="D95" s="15"/>
      <c r="E95" s="15"/>
      <c r="F95" s="647"/>
      <c r="G95" s="753"/>
      <c r="H95" s="743" t="str">
        <f t="shared" si="16"/>
        <v/>
      </c>
      <c r="I95" s="63"/>
      <c r="J95" s="61"/>
      <c r="K95" s="402"/>
      <c r="L95" s="420" t="str">
        <f t="shared" si="19"/>
        <v/>
      </c>
      <c r="M95" s="401" t="str">
        <f t="shared" si="20"/>
        <v/>
      </c>
    </row>
    <row r="96" spans="2:13" s="5" customFormat="1" x14ac:dyDescent="0.25">
      <c r="B96" s="58"/>
      <c r="C96" s="65"/>
      <c r="D96" s="15"/>
      <c r="E96" s="15"/>
      <c r="F96" s="647"/>
      <c r="G96" s="753"/>
      <c r="H96" s="743" t="str">
        <f t="shared" si="16"/>
        <v/>
      </c>
      <c r="I96" s="63"/>
      <c r="J96" s="61"/>
      <c r="K96" s="399"/>
      <c r="L96" s="420" t="str">
        <f t="shared" si="19"/>
        <v/>
      </c>
      <c r="M96" s="401" t="str">
        <f t="shared" si="20"/>
        <v/>
      </c>
    </row>
    <row r="97" spans="2:13" s="5" customFormat="1" x14ac:dyDescent="0.25">
      <c r="B97" s="58"/>
      <c r="C97" s="68"/>
      <c r="D97" s="61"/>
      <c r="E97" s="61"/>
      <c r="F97" s="697"/>
      <c r="G97" s="424"/>
      <c r="H97" s="743" t="str">
        <f t="shared" si="16"/>
        <v/>
      </c>
      <c r="I97" s="63"/>
      <c r="J97" s="62"/>
      <c r="K97" s="62"/>
      <c r="L97" s="420" t="str">
        <f t="shared" si="19"/>
        <v/>
      </c>
      <c r="M97" s="401" t="str">
        <f t="shared" si="20"/>
        <v/>
      </c>
    </row>
    <row r="98" spans="2:13" s="5" customFormat="1" x14ac:dyDescent="0.25">
      <c r="B98" s="58"/>
      <c r="C98" s="65"/>
      <c r="D98" s="15"/>
      <c r="E98" s="15"/>
      <c r="F98" s="580"/>
      <c r="G98" s="424"/>
      <c r="H98" s="743" t="str">
        <f t="shared" si="16"/>
        <v/>
      </c>
      <c r="I98" s="63"/>
      <c r="J98" s="62"/>
      <c r="K98" s="62"/>
      <c r="L98" s="420" t="str">
        <f t="shared" si="19"/>
        <v/>
      </c>
      <c r="M98" s="401" t="str">
        <f t="shared" si="20"/>
        <v/>
      </c>
    </row>
    <row r="99" spans="2:13" s="5" customFormat="1" x14ac:dyDescent="0.25">
      <c r="B99" s="58"/>
      <c r="C99" s="68"/>
      <c r="D99" s="61"/>
      <c r="E99" s="61"/>
      <c r="F99" s="697"/>
      <c r="G99" s="424"/>
      <c r="H99" s="743" t="str">
        <f t="shared" si="16"/>
        <v/>
      </c>
      <c r="I99" s="63"/>
      <c r="J99" s="62"/>
      <c r="K99" s="62"/>
      <c r="L99" s="420" t="str">
        <f t="shared" si="19"/>
        <v/>
      </c>
      <c r="M99" s="401" t="str">
        <f t="shared" si="20"/>
        <v/>
      </c>
    </row>
    <row r="100" spans="2:13" s="5" customFormat="1" x14ac:dyDescent="0.25">
      <c r="B100" s="58"/>
      <c r="C100" s="70"/>
      <c r="D100" s="15"/>
      <c r="E100" s="15"/>
      <c r="F100" s="580"/>
      <c r="G100" s="424"/>
      <c r="H100" s="743" t="str">
        <f t="shared" si="16"/>
        <v/>
      </c>
      <c r="I100" s="63"/>
      <c r="J100" s="62"/>
      <c r="K100" s="62"/>
      <c r="L100" s="420" t="str">
        <f t="shared" si="19"/>
        <v/>
      </c>
      <c r="M100" s="401" t="str">
        <f t="shared" si="20"/>
        <v/>
      </c>
    </row>
    <row r="101" spans="2:13" s="5" customFormat="1" x14ac:dyDescent="0.25">
      <c r="B101" s="58"/>
      <c r="C101" s="65"/>
      <c r="D101" s="15"/>
      <c r="E101" s="15"/>
      <c r="F101" s="580"/>
      <c r="G101" s="424"/>
      <c r="H101" s="743" t="str">
        <f t="shared" si="16"/>
        <v/>
      </c>
      <c r="I101" s="63"/>
      <c r="J101" s="62"/>
      <c r="K101" s="62"/>
      <c r="L101" s="420" t="str">
        <f t="shared" si="19"/>
        <v/>
      </c>
      <c r="M101" s="401" t="str">
        <f t="shared" si="20"/>
        <v/>
      </c>
    </row>
    <row r="102" spans="2:13" s="5" customFormat="1" x14ac:dyDescent="0.25">
      <c r="B102" s="58"/>
      <c r="C102" s="65"/>
      <c r="D102" s="15"/>
      <c r="E102" s="15"/>
      <c r="F102" s="580"/>
      <c r="G102" s="424"/>
      <c r="H102" s="743" t="str">
        <f t="shared" si="16"/>
        <v/>
      </c>
      <c r="I102" s="63"/>
      <c r="J102" s="62"/>
      <c r="K102" s="62"/>
      <c r="L102" s="420" t="str">
        <f t="shared" si="19"/>
        <v/>
      </c>
      <c r="M102" s="401" t="str">
        <f t="shared" si="20"/>
        <v/>
      </c>
    </row>
    <row r="103" spans="2:13" s="5" customFormat="1" x14ac:dyDescent="0.25">
      <c r="B103" s="58"/>
      <c r="C103" s="65"/>
      <c r="D103" s="15"/>
      <c r="E103" s="15"/>
      <c r="F103" s="580"/>
      <c r="G103" s="424"/>
      <c r="H103" s="743" t="str">
        <f t="shared" si="16"/>
        <v/>
      </c>
      <c r="I103" s="63"/>
      <c r="J103" s="62"/>
      <c r="K103" s="62"/>
      <c r="L103" s="420" t="str">
        <f t="shared" si="19"/>
        <v/>
      </c>
      <c r="M103" s="401" t="str">
        <f t="shared" si="20"/>
        <v/>
      </c>
    </row>
    <row r="104" spans="2:13" s="5" customFormat="1" x14ac:dyDescent="0.25">
      <c r="B104" s="58"/>
      <c r="C104" s="65"/>
      <c r="D104" s="15"/>
      <c r="E104" s="15"/>
      <c r="F104" s="580"/>
      <c r="G104" s="424"/>
      <c r="H104" s="743" t="str">
        <f t="shared" si="16"/>
        <v/>
      </c>
      <c r="I104" s="63"/>
      <c r="J104" s="62"/>
      <c r="K104" s="62"/>
      <c r="L104" s="420" t="str">
        <f t="shared" si="19"/>
        <v/>
      </c>
      <c r="M104" s="401" t="str">
        <f t="shared" si="20"/>
        <v/>
      </c>
    </row>
    <row r="105" spans="2:13" x14ac:dyDescent="0.25">
      <c r="B105" s="58"/>
      <c r="C105" s="65"/>
      <c r="D105" s="712"/>
      <c r="E105" s="712"/>
      <c r="F105" s="580"/>
      <c r="G105" s="411"/>
      <c r="H105" s="743" t="str">
        <f t="shared" si="16"/>
        <v/>
      </c>
      <c r="I105" s="63"/>
      <c r="J105" s="62"/>
      <c r="K105" s="62"/>
      <c r="L105" s="420" t="str">
        <f t="shared" si="19"/>
        <v/>
      </c>
      <c r="M105" s="401" t="str">
        <f t="shared" si="20"/>
        <v/>
      </c>
    </row>
    <row r="106" spans="2:13" x14ac:dyDescent="0.25">
      <c r="B106" s="58"/>
      <c r="C106" s="65"/>
      <c r="D106" s="15"/>
      <c r="E106" s="15"/>
      <c r="F106" s="580"/>
      <c r="G106" s="411"/>
      <c r="H106" s="743" t="str">
        <f t="shared" si="16"/>
        <v/>
      </c>
      <c r="I106" s="63"/>
      <c r="J106" s="62"/>
      <c r="K106" s="62"/>
      <c r="L106" s="420" t="str">
        <f t="shared" si="19"/>
        <v/>
      </c>
      <c r="M106" s="401" t="str">
        <f t="shared" si="20"/>
        <v/>
      </c>
    </row>
    <row r="107" spans="2:13" x14ac:dyDescent="0.25">
      <c r="B107" s="58"/>
      <c r="C107" s="65"/>
      <c r="D107" s="15"/>
      <c r="E107" s="15"/>
      <c r="F107" s="580"/>
      <c r="G107" s="411"/>
      <c r="H107" s="743" t="str">
        <f t="shared" ref="H107:H127" si="23">IF(D107="","",F107*G107)</f>
        <v/>
      </c>
      <c r="I107" s="63"/>
      <c r="J107" s="62"/>
      <c r="K107" s="62"/>
      <c r="L107" s="420" t="str">
        <f t="shared" ref="L107:L127" si="24">IF(J107="","",F107*K107)</f>
        <v/>
      </c>
      <c r="M107" s="401" t="str">
        <f t="shared" ref="M107:M127" si="25">IF(J107="","",IF(SUM(H107)=0,"",L107/H107))</f>
        <v/>
      </c>
    </row>
    <row r="108" spans="2:13" x14ac:dyDescent="0.25">
      <c r="B108" s="58"/>
      <c r="C108" s="65"/>
      <c r="D108" s="15"/>
      <c r="E108" s="15"/>
      <c r="F108" s="580"/>
      <c r="G108" s="411"/>
      <c r="H108" s="743" t="str">
        <f t="shared" si="23"/>
        <v/>
      </c>
      <c r="I108" s="63"/>
      <c r="J108" s="62"/>
      <c r="K108" s="62"/>
      <c r="L108" s="420" t="str">
        <f t="shared" si="24"/>
        <v/>
      </c>
      <c r="M108" s="401" t="str">
        <f t="shared" si="25"/>
        <v/>
      </c>
    </row>
    <row r="109" spans="2:13" x14ac:dyDescent="0.25">
      <c r="B109" s="58"/>
      <c r="C109" s="65"/>
      <c r="D109" s="15"/>
      <c r="E109" s="15"/>
      <c r="F109" s="580"/>
      <c r="G109" s="411"/>
      <c r="H109" s="743" t="str">
        <f t="shared" si="23"/>
        <v/>
      </c>
      <c r="I109" s="63"/>
      <c r="J109" s="62"/>
      <c r="K109" s="62"/>
      <c r="L109" s="420" t="str">
        <f t="shared" si="24"/>
        <v/>
      </c>
      <c r="M109" s="401" t="str">
        <f t="shared" si="25"/>
        <v/>
      </c>
    </row>
    <row r="110" spans="2:13" x14ac:dyDescent="0.25">
      <c r="B110" s="58"/>
      <c r="C110" s="65"/>
      <c r="D110" s="15"/>
      <c r="E110" s="15"/>
      <c r="F110" s="580"/>
      <c r="G110" s="411"/>
      <c r="H110" s="743" t="str">
        <f t="shared" si="23"/>
        <v/>
      </c>
      <c r="I110" s="63"/>
      <c r="J110" s="62"/>
      <c r="K110" s="62"/>
      <c r="L110" s="420" t="str">
        <f t="shared" si="24"/>
        <v/>
      </c>
      <c r="M110" s="401" t="str">
        <f t="shared" si="25"/>
        <v/>
      </c>
    </row>
    <row r="111" spans="2:13" x14ac:dyDescent="0.25">
      <c r="B111" s="58"/>
      <c r="C111" s="65"/>
      <c r="D111" s="15"/>
      <c r="E111" s="15"/>
      <c r="F111" s="580"/>
      <c r="G111" s="411"/>
      <c r="H111" s="743" t="str">
        <f t="shared" si="23"/>
        <v/>
      </c>
      <c r="I111" s="63"/>
      <c r="J111" s="62"/>
      <c r="K111" s="62"/>
      <c r="L111" s="420" t="str">
        <f t="shared" si="24"/>
        <v/>
      </c>
      <c r="M111" s="401" t="str">
        <f t="shared" si="25"/>
        <v/>
      </c>
    </row>
    <row r="112" spans="2:13" x14ac:dyDescent="0.25">
      <c r="B112" s="58"/>
      <c r="C112" s="65"/>
      <c r="D112" s="15"/>
      <c r="E112" s="15"/>
      <c r="F112" s="580"/>
      <c r="G112" s="411"/>
      <c r="H112" s="743" t="str">
        <f t="shared" si="23"/>
        <v/>
      </c>
      <c r="I112" s="63"/>
      <c r="J112" s="62"/>
      <c r="K112" s="62"/>
      <c r="L112" s="420" t="str">
        <f t="shared" si="24"/>
        <v/>
      </c>
      <c r="M112" s="401" t="str">
        <f t="shared" si="25"/>
        <v/>
      </c>
    </row>
    <row r="113" spans="2:13" x14ac:dyDescent="0.25">
      <c r="B113" s="58"/>
      <c r="C113" s="65"/>
      <c r="D113" s="15"/>
      <c r="E113" s="15"/>
      <c r="F113" s="580"/>
      <c r="G113" s="411"/>
      <c r="H113" s="743" t="str">
        <f t="shared" si="23"/>
        <v/>
      </c>
      <c r="I113" s="63"/>
      <c r="J113" s="62"/>
      <c r="K113" s="62"/>
      <c r="L113" s="420" t="str">
        <f t="shared" si="24"/>
        <v/>
      </c>
      <c r="M113" s="401" t="str">
        <f t="shared" si="25"/>
        <v/>
      </c>
    </row>
    <row r="114" spans="2:13" x14ac:dyDescent="0.25">
      <c r="B114" s="58"/>
      <c r="C114" s="65"/>
      <c r="D114" s="15"/>
      <c r="E114" s="15"/>
      <c r="F114" s="580"/>
      <c r="G114" s="411"/>
      <c r="H114" s="743" t="str">
        <f t="shared" si="23"/>
        <v/>
      </c>
      <c r="I114" s="63"/>
      <c r="J114" s="62"/>
      <c r="K114" s="62"/>
      <c r="L114" s="420" t="str">
        <f t="shared" si="24"/>
        <v/>
      </c>
      <c r="M114" s="401" t="str">
        <f t="shared" si="25"/>
        <v/>
      </c>
    </row>
    <row r="115" spans="2:13" x14ac:dyDescent="0.25">
      <c r="B115" s="58"/>
      <c r="C115" s="65"/>
      <c r="D115" s="15"/>
      <c r="E115" s="15"/>
      <c r="F115" s="580"/>
      <c r="G115" s="411"/>
      <c r="H115" s="743" t="str">
        <f t="shared" si="23"/>
        <v/>
      </c>
      <c r="I115" s="63"/>
      <c r="J115" s="62"/>
      <c r="K115" s="62"/>
      <c r="L115" s="420" t="str">
        <f t="shared" si="24"/>
        <v/>
      </c>
      <c r="M115" s="401" t="str">
        <f t="shared" si="25"/>
        <v/>
      </c>
    </row>
    <row r="116" spans="2:13" x14ac:dyDescent="0.25">
      <c r="B116" s="58"/>
      <c r="C116" s="65"/>
      <c r="D116" s="15"/>
      <c r="E116" s="15"/>
      <c r="F116" s="580"/>
      <c r="G116" s="411"/>
      <c r="H116" s="743" t="str">
        <f t="shared" si="23"/>
        <v/>
      </c>
      <c r="I116" s="63"/>
      <c r="J116" s="62"/>
      <c r="K116" s="62"/>
      <c r="L116" s="420" t="str">
        <f t="shared" si="24"/>
        <v/>
      </c>
      <c r="M116" s="401" t="str">
        <f t="shared" si="25"/>
        <v/>
      </c>
    </row>
    <row r="117" spans="2:13" x14ac:dyDescent="0.25">
      <c r="B117" s="58"/>
      <c r="C117" s="65"/>
      <c r="D117" s="15"/>
      <c r="E117" s="15"/>
      <c r="F117" s="580"/>
      <c r="G117" s="411"/>
      <c r="H117" s="743" t="str">
        <f t="shared" si="23"/>
        <v/>
      </c>
      <c r="I117" s="63"/>
      <c r="J117" s="62"/>
      <c r="K117" s="62"/>
      <c r="L117" s="420" t="str">
        <f t="shared" si="24"/>
        <v/>
      </c>
      <c r="M117" s="401" t="str">
        <f t="shared" si="25"/>
        <v/>
      </c>
    </row>
    <row r="118" spans="2:13" x14ac:dyDescent="0.25">
      <c r="B118" s="58"/>
      <c r="C118" s="65"/>
      <c r="D118" s="15"/>
      <c r="E118" s="15"/>
      <c r="F118" s="580"/>
      <c r="G118" s="411"/>
      <c r="H118" s="743" t="str">
        <f t="shared" si="23"/>
        <v/>
      </c>
      <c r="I118" s="63"/>
      <c r="J118" s="62"/>
      <c r="K118" s="62"/>
      <c r="L118" s="420" t="str">
        <f t="shared" si="24"/>
        <v/>
      </c>
      <c r="M118" s="401" t="str">
        <f t="shared" si="25"/>
        <v/>
      </c>
    </row>
    <row r="119" spans="2:13" x14ac:dyDescent="0.25">
      <c r="B119" s="58"/>
      <c r="C119" s="65"/>
      <c r="D119" s="15"/>
      <c r="E119" s="15"/>
      <c r="F119" s="580"/>
      <c r="G119" s="411"/>
      <c r="H119" s="743" t="str">
        <f t="shared" si="23"/>
        <v/>
      </c>
      <c r="I119" s="63"/>
      <c r="J119" s="62"/>
      <c r="K119" s="62"/>
      <c r="L119" s="420" t="str">
        <f t="shared" si="24"/>
        <v/>
      </c>
      <c r="M119" s="401" t="str">
        <f t="shared" si="25"/>
        <v/>
      </c>
    </row>
    <row r="120" spans="2:13" x14ac:dyDescent="0.25">
      <c r="B120" s="58"/>
      <c r="C120" s="65"/>
      <c r="D120" s="15"/>
      <c r="E120" s="15"/>
      <c r="F120" s="580"/>
      <c r="G120" s="411"/>
      <c r="H120" s="743" t="str">
        <f t="shared" si="23"/>
        <v/>
      </c>
      <c r="I120" s="63"/>
      <c r="J120" s="62"/>
      <c r="K120" s="62"/>
      <c r="L120" s="420" t="str">
        <f t="shared" si="24"/>
        <v/>
      </c>
      <c r="M120" s="401" t="str">
        <f t="shared" si="25"/>
        <v/>
      </c>
    </row>
    <row r="121" spans="2:13" x14ac:dyDescent="0.25">
      <c r="B121" s="58"/>
      <c r="C121" s="65"/>
      <c r="D121" s="15"/>
      <c r="E121" s="15"/>
      <c r="F121" s="580"/>
      <c r="G121" s="411"/>
      <c r="H121" s="743" t="str">
        <f t="shared" si="23"/>
        <v/>
      </c>
      <c r="I121" s="63"/>
      <c r="J121" s="62"/>
      <c r="K121" s="62"/>
      <c r="L121" s="420" t="str">
        <f t="shared" si="24"/>
        <v/>
      </c>
      <c r="M121" s="401" t="str">
        <f t="shared" si="25"/>
        <v/>
      </c>
    </row>
    <row r="122" spans="2:13" x14ac:dyDescent="0.25">
      <c r="B122" s="58"/>
      <c r="C122" s="65"/>
      <c r="D122" s="15"/>
      <c r="E122" s="15"/>
      <c r="F122" s="580"/>
      <c r="G122" s="411"/>
      <c r="H122" s="743" t="str">
        <f t="shared" si="23"/>
        <v/>
      </c>
      <c r="I122" s="63"/>
      <c r="J122" s="62"/>
      <c r="K122" s="62"/>
      <c r="L122" s="420" t="str">
        <f t="shared" si="24"/>
        <v/>
      </c>
      <c r="M122" s="401" t="str">
        <f t="shared" si="25"/>
        <v/>
      </c>
    </row>
    <row r="123" spans="2:13" x14ac:dyDescent="0.25">
      <c r="B123" s="58"/>
      <c r="C123" s="65"/>
      <c r="D123" s="15"/>
      <c r="E123" s="15"/>
      <c r="F123" s="580"/>
      <c r="G123" s="411"/>
      <c r="H123" s="743" t="str">
        <f t="shared" si="23"/>
        <v/>
      </c>
      <c r="I123" s="63"/>
      <c r="J123" s="62"/>
      <c r="K123" s="62"/>
      <c r="L123" s="420" t="str">
        <f t="shared" si="24"/>
        <v/>
      </c>
      <c r="M123" s="401" t="str">
        <f t="shared" si="25"/>
        <v/>
      </c>
    </row>
    <row r="124" spans="2:13" x14ac:dyDescent="0.25">
      <c r="B124" s="58"/>
      <c r="C124" s="65"/>
      <c r="D124" s="15"/>
      <c r="E124" s="15"/>
      <c r="F124" s="580"/>
      <c r="G124" s="411"/>
      <c r="H124" s="743" t="str">
        <f t="shared" si="23"/>
        <v/>
      </c>
      <c r="I124" s="63"/>
      <c r="J124" s="62"/>
      <c r="K124" s="62"/>
      <c r="L124" s="420" t="str">
        <f t="shared" si="24"/>
        <v/>
      </c>
      <c r="M124" s="401" t="str">
        <f t="shared" si="25"/>
        <v/>
      </c>
    </row>
    <row r="125" spans="2:13" x14ac:dyDescent="0.25">
      <c r="B125" s="58"/>
      <c r="C125" s="65"/>
      <c r="D125" s="15"/>
      <c r="E125" s="15"/>
      <c r="F125" s="24"/>
      <c r="G125" s="703"/>
      <c r="H125" s="743" t="str">
        <f t="shared" si="23"/>
        <v/>
      </c>
      <c r="I125" s="63"/>
      <c r="J125" s="62"/>
      <c r="K125" s="62"/>
      <c r="L125" s="420" t="str">
        <f t="shared" si="24"/>
        <v/>
      </c>
      <c r="M125" s="401" t="str">
        <f t="shared" si="25"/>
        <v/>
      </c>
    </row>
    <row r="126" spans="2:13" x14ac:dyDescent="0.25">
      <c r="B126" s="58"/>
      <c r="C126" s="65"/>
      <c r="D126" s="15"/>
      <c r="E126" s="15"/>
      <c r="F126" s="580"/>
      <c r="G126" s="411"/>
      <c r="H126" s="743" t="str">
        <f t="shared" si="23"/>
        <v/>
      </c>
      <c r="I126" s="63"/>
      <c r="J126" s="62"/>
      <c r="K126" s="62"/>
      <c r="L126" s="420" t="str">
        <f t="shared" si="24"/>
        <v/>
      </c>
      <c r="M126" s="401" t="str">
        <f t="shared" si="25"/>
        <v/>
      </c>
    </row>
    <row r="127" spans="2:13" x14ac:dyDescent="0.25">
      <c r="B127" s="58"/>
      <c r="C127" s="65"/>
      <c r="D127" s="15"/>
      <c r="E127" s="15"/>
      <c r="F127" s="24"/>
      <c r="G127" s="411"/>
      <c r="H127" s="743" t="str">
        <f t="shared" si="23"/>
        <v/>
      </c>
      <c r="I127" s="63"/>
      <c r="J127" s="62"/>
      <c r="K127" s="62"/>
      <c r="L127" s="420" t="str">
        <f t="shared" si="24"/>
        <v/>
      </c>
      <c r="M127" s="401" t="str">
        <f t="shared" si="25"/>
        <v/>
      </c>
    </row>
    <row r="128" spans="2:13" x14ac:dyDescent="0.25">
      <c r="B128" s="58"/>
      <c r="C128" s="65"/>
      <c r="D128" s="15"/>
      <c r="E128" s="15"/>
      <c r="F128" s="24"/>
      <c r="G128" s="411"/>
      <c r="H128" s="17" t="str">
        <f t="shared" si="16"/>
        <v/>
      </c>
      <c r="I128" s="63"/>
      <c r="J128" s="62"/>
      <c r="K128" s="62"/>
      <c r="L128" s="420" t="str">
        <f t="shared" si="19"/>
        <v/>
      </c>
      <c r="M128" s="401" t="str">
        <f t="shared" si="20"/>
        <v/>
      </c>
    </row>
    <row r="129" spans="2:13" x14ac:dyDescent="0.25">
      <c r="B129" s="58"/>
      <c r="C129" s="65"/>
      <c r="D129" s="15"/>
      <c r="E129" s="15"/>
      <c r="F129" s="24"/>
      <c r="G129" s="411"/>
      <c r="H129" s="17" t="str">
        <f t="shared" si="16"/>
        <v/>
      </c>
      <c r="I129" s="63"/>
      <c r="J129" s="61"/>
      <c r="K129" s="62"/>
      <c r="L129" s="420" t="str">
        <f t="shared" si="19"/>
        <v/>
      </c>
      <c r="M129" s="401" t="str">
        <f t="shared" si="20"/>
        <v/>
      </c>
    </row>
    <row r="130" spans="2:13" x14ac:dyDescent="0.25">
      <c r="B130" s="58"/>
      <c r="C130" s="65"/>
      <c r="D130" s="15"/>
      <c r="E130" s="15"/>
      <c r="F130" s="24"/>
      <c r="G130" s="423"/>
      <c r="H130" s="17" t="str">
        <f t="shared" si="16"/>
        <v/>
      </c>
      <c r="I130" s="63"/>
      <c r="J130" s="62"/>
      <c r="K130" s="62"/>
      <c r="L130" s="420" t="str">
        <f t="shared" si="19"/>
        <v/>
      </c>
      <c r="M130" s="401" t="str">
        <f t="shared" si="20"/>
        <v/>
      </c>
    </row>
    <row r="131" spans="2:13" x14ac:dyDescent="0.25">
      <c r="B131" s="58"/>
      <c r="C131" s="65"/>
      <c r="D131" s="15"/>
      <c r="E131" s="15"/>
      <c r="F131" s="24"/>
      <c r="G131" s="423"/>
      <c r="H131" s="17" t="str">
        <f t="shared" si="16"/>
        <v/>
      </c>
      <c r="I131" s="63"/>
      <c r="J131" s="711"/>
      <c r="K131" s="711"/>
      <c r="L131" s="420" t="str">
        <f t="shared" si="19"/>
        <v/>
      </c>
      <c r="M131" s="401" t="str">
        <f t="shared" si="20"/>
        <v/>
      </c>
    </row>
    <row r="132" spans="2:13" s="28" customFormat="1" ht="19.5" customHeight="1" x14ac:dyDescent="0.25">
      <c r="B132" s="135" t="str">
        <f>$B$12</f>
        <v>C3.1</v>
      </c>
      <c r="C132" s="30" t="str">
        <f>"TOTAL CARRIED FORWARD"&amp;IF(H132=H$1," TO SUMMARY","")</f>
        <v>TOTAL CARRIED FORWARD TO SUMMARY</v>
      </c>
      <c r="D132" s="31"/>
      <c r="E132" s="31"/>
      <c r="F132" s="32"/>
      <c r="G132" s="31"/>
      <c r="H132" s="33">
        <f>SUM(H68:H131)</f>
        <v>524300</v>
      </c>
      <c r="I132" s="34"/>
      <c r="J132" s="408"/>
      <c r="K132" s="406"/>
      <c r="L132" s="418">
        <f>SUM(L68:L131)</f>
        <v>128388.9</v>
      </c>
      <c r="M132" s="407" t="str">
        <f t="shared" si="20"/>
        <v/>
      </c>
    </row>
    <row r="133" spans="2:13" ht="13" x14ac:dyDescent="0.25">
      <c r="B133" s="1108" t="str">
        <f>Client1</f>
        <v>Province of KwaZulu-Natal</v>
      </c>
      <c r="C133" s="1108"/>
      <c r="D133" s="1108"/>
      <c r="E133" s="87"/>
      <c r="F133" s="1109" t="str">
        <f>"Contract No. "&amp;ContractNo</f>
        <v>Contract No. ZNB 00399/00000/HOD/INF/21/T</v>
      </c>
      <c r="G133" s="1109"/>
      <c r="H133" s="1109"/>
    </row>
    <row r="134" spans="2:13" ht="13" x14ac:dyDescent="0.25">
      <c r="B134" s="1108" t="str">
        <f>Client2</f>
        <v>Department of Transport</v>
      </c>
      <c r="C134" s="1108"/>
      <c r="D134" s="1108"/>
      <c r="E134" s="87"/>
      <c r="F134" s="1109"/>
      <c r="G134" s="1109"/>
      <c r="H134" s="1109"/>
    </row>
    <row r="135" spans="2:13" x14ac:dyDescent="0.25">
      <c r="B135" s="1111"/>
      <c r="C135" s="1111"/>
      <c r="D135" s="1111"/>
      <c r="E135" s="78"/>
      <c r="F135" s="1110"/>
      <c r="G135" s="1110"/>
      <c r="H135" s="1110"/>
    </row>
    <row r="136" spans="2:13" ht="13" x14ac:dyDescent="0.25">
      <c r="B136" s="1112" t="s">
        <v>8</v>
      </c>
      <c r="C136" s="1113"/>
      <c r="D136" s="1113"/>
      <c r="E136" s="1113"/>
      <c r="F136" s="1113"/>
      <c r="G136" s="1113"/>
      <c r="H136" s="1114" t="str">
        <f>$H$6</f>
        <v>CHAPTER C3.1</v>
      </c>
      <c r="I136" s="6"/>
    </row>
    <row r="137" spans="2:13" ht="13" x14ac:dyDescent="0.25">
      <c r="B137" s="1117" t="str">
        <f>ContractDescription</f>
        <v>THE CONSTRUCTION OF EARTHWORKS, LAYERWORKS, SURFACING, CULVERTS AND CWAKA RIVER BRIDGE FROM KM 11.600 TO KM 14.000 ON MAIN ROAD P494 IN THE KING CETSHWAYO DISTRICT UNDER EMPANGENI REGION</v>
      </c>
      <c r="C137" s="1118"/>
      <c r="D137" s="1118"/>
      <c r="E137" s="1118"/>
      <c r="F137" s="1118"/>
      <c r="G137" s="1118"/>
      <c r="H137" s="1115"/>
      <c r="I137" s="8"/>
    </row>
    <row r="138" spans="2:13" ht="13" x14ac:dyDescent="0.25">
      <c r="B138" s="1117"/>
      <c r="C138" s="1118"/>
      <c r="D138" s="1118"/>
      <c r="E138" s="1118"/>
      <c r="F138" s="1118"/>
      <c r="G138" s="1118"/>
      <c r="H138" s="1115"/>
      <c r="I138" s="8"/>
    </row>
    <row r="139" spans="2:13" ht="13" x14ac:dyDescent="0.25">
      <c r="B139" s="1119"/>
      <c r="C139" s="1120"/>
      <c r="D139" s="1120"/>
      <c r="E139" s="1120"/>
      <c r="F139" s="1120"/>
      <c r="G139" s="1120"/>
      <c r="H139" s="1116"/>
      <c r="I139" s="8"/>
    </row>
    <row r="140" spans="2:13" s="9" customFormat="1" ht="25" customHeight="1" x14ac:dyDescent="0.25">
      <c r="B140" s="74" t="s">
        <v>0</v>
      </c>
      <c r="C140" s="11" t="s">
        <v>1</v>
      </c>
      <c r="D140" s="11" t="s">
        <v>2</v>
      </c>
      <c r="E140" s="11"/>
      <c r="F140" s="11" t="s">
        <v>3</v>
      </c>
      <c r="G140" s="11" t="s">
        <v>4</v>
      </c>
      <c r="H140" s="11" t="s">
        <v>5</v>
      </c>
      <c r="I140" s="12"/>
      <c r="J140" s="408" t="s">
        <v>996</v>
      </c>
      <c r="K140" s="253" t="s">
        <v>997</v>
      </c>
      <c r="L140" s="253" t="s">
        <v>998</v>
      </c>
      <c r="M140" s="253" t="s">
        <v>999</v>
      </c>
    </row>
    <row r="141" spans="2:13" s="28" customFormat="1" ht="20.149999999999999" customHeight="1" x14ac:dyDescent="0.25">
      <c r="B141" s="80"/>
      <c r="C141" s="30" t="s">
        <v>27</v>
      </c>
      <c r="D141" s="31"/>
      <c r="E141" s="31"/>
      <c r="F141" s="32"/>
      <c r="G141" s="31"/>
      <c r="H141" s="33">
        <f>H132</f>
        <v>524300</v>
      </c>
      <c r="I141" s="34"/>
      <c r="J141" s="416"/>
      <c r="K141" s="409"/>
      <c r="L141" s="419">
        <f>L132</f>
        <v>128388.9</v>
      </c>
      <c r="M141" s="410" t="str">
        <f>IF(F141="","",IF(SUM(I141)=0,"",L141/I141))</f>
        <v/>
      </c>
    </row>
    <row r="142" spans="2:13" x14ac:dyDescent="0.25">
      <c r="B142" s="58"/>
      <c r="C142" s="14"/>
      <c r="D142" s="15"/>
      <c r="E142" s="15"/>
      <c r="F142" s="24"/>
      <c r="G142" s="423"/>
      <c r="H142" s="17"/>
      <c r="I142" s="63"/>
      <c r="J142" s="61"/>
      <c r="K142" s="399"/>
      <c r="L142" s="420" t="str">
        <f t="shared" ref="L142:L192" si="26">IF(J142="","",F142*K142)</f>
        <v/>
      </c>
      <c r="M142" s="401" t="str">
        <f t="shared" ref="M142:M173" si="27">IF(J142="","",IF(SUM(H142)=0,"",L142/H142))</f>
        <v/>
      </c>
    </row>
    <row r="143" spans="2:13" x14ac:dyDescent="0.25">
      <c r="B143" s="58"/>
      <c r="C143" s="14"/>
      <c r="D143" s="15"/>
      <c r="E143" s="15"/>
      <c r="F143" s="24"/>
      <c r="G143" s="411"/>
      <c r="H143" s="17" t="str">
        <f t="shared" ref="H143:H192" si="28">IF(D143="","",F143*G143)</f>
        <v/>
      </c>
      <c r="I143" s="63"/>
      <c r="J143" s="61"/>
      <c r="K143" s="399"/>
      <c r="L143" s="420" t="str">
        <f t="shared" si="26"/>
        <v/>
      </c>
      <c r="M143" s="401" t="str">
        <f t="shared" si="27"/>
        <v/>
      </c>
    </row>
    <row r="144" spans="2:13" x14ac:dyDescent="0.25">
      <c r="B144" s="58"/>
      <c r="C144" s="26"/>
      <c r="D144" s="61"/>
      <c r="E144" s="61"/>
      <c r="F144" s="24"/>
      <c r="G144" s="421"/>
      <c r="H144" s="17" t="str">
        <f t="shared" si="28"/>
        <v/>
      </c>
      <c r="I144" s="63"/>
      <c r="J144" s="61"/>
      <c r="K144" s="399"/>
      <c r="L144" s="420" t="str">
        <f t="shared" si="26"/>
        <v/>
      </c>
      <c r="M144" s="401" t="str">
        <f t="shared" si="27"/>
        <v/>
      </c>
    </row>
    <row r="145" spans="2:13" x14ac:dyDescent="0.25">
      <c r="B145" s="58"/>
      <c r="C145" s="70"/>
      <c r="D145" s="15"/>
      <c r="E145" s="15"/>
      <c r="F145" s="24"/>
      <c r="G145" s="411"/>
      <c r="H145" s="17" t="str">
        <f t="shared" si="28"/>
        <v/>
      </c>
      <c r="I145" s="63"/>
      <c r="J145" s="61"/>
      <c r="K145" s="399"/>
      <c r="L145" s="420" t="str">
        <f t="shared" si="26"/>
        <v/>
      </c>
      <c r="M145" s="401" t="str">
        <f t="shared" si="27"/>
        <v/>
      </c>
    </row>
    <row r="146" spans="2:13" x14ac:dyDescent="0.25">
      <c r="B146" s="58"/>
      <c r="C146" s="26"/>
      <c r="D146" s="61"/>
      <c r="E146" s="61"/>
      <c r="F146" s="24"/>
      <c r="G146" s="422"/>
      <c r="H146" s="17" t="str">
        <f t="shared" si="28"/>
        <v/>
      </c>
      <c r="I146" s="63"/>
      <c r="J146" s="61"/>
      <c r="K146" s="400"/>
      <c r="L146" s="420" t="str">
        <f t="shared" si="26"/>
        <v/>
      </c>
      <c r="M146" s="401" t="str">
        <f t="shared" si="27"/>
        <v/>
      </c>
    </row>
    <row r="147" spans="2:13" x14ac:dyDescent="0.25">
      <c r="B147" s="58"/>
      <c r="C147" s="26"/>
      <c r="D147" s="15"/>
      <c r="E147" s="15"/>
      <c r="F147" s="24"/>
      <c r="G147" s="421"/>
      <c r="H147" s="17" t="str">
        <f t="shared" si="28"/>
        <v/>
      </c>
      <c r="I147" s="63"/>
      <c r="J147" s="61"/>
      <c r="K147" s="399"/>
      <c r="L147" s="420" t="str">
        <f t="shared" si="26"/>
        <v/>
      </c>
      <c r="M147" s="401" t="str">
        <f t="shared" si="27"/>
        <v/>
      </c>
    </row>
    <row r="148" spans="2:13" x14ac:dyDescent="0.25">
      <c r="B148" s="58"/>
      <c r="C148" s="26"/>
      <c r="D148" s="61"/>
      <c r="E148" s="61"/>
      <c r="F148" s="24"/>
      <c r="G148" s="423"/>
      <c r="H148" s="17" t="str">
        <f t="shared" si="28"/>
        <v/>
      </c>
      <c r="I148" s="63"/>
      <c r="J148" s="61"/>
      <c r="K148" s="399"/>
      <c r="L148" s="420" t="str">
        <f t="shared" si="26"/>
        <v/>
      </c>
      <c r="M148" s="401" t="str">
        <f t="shared" si="27"/>
        <v/>
      </c>
    </row>
    <row r="149" spans="2:13" s="5" customFormat="1" x14ac:dyDescent="0.25">
      <c r="B149" s="58"/>
      <c r="C149" s="25"/>
      <c r="D149" s="61"/>
      <c r="E149" s="61"/>
      <c r="F149" s="24"/>
      <c r="G149" s="421"/>
      <c r="H149" s="17" t="str">
        <f t="shared" si="28"/>
        <v/>
      </c>
      <c r="I149" s="63"/>
      <c r="J149" s="61"/>
      <c r="K149" s="400"/>
      <c r="L149" s="420" t="str">
        <f t="shared" si="26"/>
        <v/>
      </c>
      <c r="M149" s="401" t="str">
        <f t="shared" si="27"/>
        <v/>
      </c>
    </row>
    <row r="150" spans="2:13" s="5" customFormat="1" x14ac:dyDescent="0.25">
      <c r="B150" s="58"/>
      <c r="C150" s="14"/>
      <c r="D150" s="15"/>
      <c r="E150" s="15"/>
      <c r="F150" s="24"/>
      <c r="G150" s="411"/>
      <c r="H150" s="17" t="str">
        <f t="shared" si="28"/>
        <v/>
      </c>
      <c r="I150" s="63"/>
      <c r="J150" s="61"/>
      <c r="K150" s="399"/>
      <c r="L150" s="420" t="str">
        <f t="shared" si="26"/>
        <v/>
      </c>
      <c r="M150" s="401" t="str">
        <f t="shared" si="27"/>
        <v/>
      </c>
    </row>
    <row r="151" spans="2:13" s="5" customFormat="1" x14ac:dyDescent="0.25">
      <c r="B151" s="58"/>
      <c r="C151" s="14"/>
      <c r="D151" s="15"/>
      <c r="E151" s="15"/>
      <c r="F151" s="24"/>
      <c r="G151" s="411"/>
      <c r="H151" s="17" t="str">
        <f t="shared" si="28"/>
        <v/>
      </c>
      <c r="I151" s="63"/>
      <c r="J151" s="61"/>
      <c r="K151" s="399"/>
      <c r="L151" s="420" t="str">
        <f t="shared" si="26"/>
        <v/>
      </c>
      <c r="M151" s="401" t="str">
        <f t="shared" si="27"/>
        <v/>
      </c>
    </row>
    <row r="152" spans="2:13" s="5" customFormat="1" x14ac:dyDescent="0.25">
      <c r="B152" s="58"/>
      <c r="C152" s="14"/>
      <c r="D152" s="15"/>
      <c r="E152" s="15"/>
      <c r="F152" s="24"/>
      <c r="G152" s="422"/>
      <c r="H152" s="17" t="str">
        <f t="shared" si="28"/>
        <v/>
      </c>
      <c r="I152" s="63"/>
      <c r="J152" s="61"/>
      <c r="K152" s="402"/>
      <c r="L152" s="420" t="str">
        <f t="shared" si="26"/>
        <v/>
      </c>
      <c r="M152" s="401" t="str">
        <f t="shared" si="27"/>
        <v/>
      </c>
    </row>
    <row r="153" spans="2:13" s="5" customFormat="1" x14ac:dyDescent="0.25">
      <c r="B153" s="58"/>
      <c r="C153" s="14"/>
      <c r="D153" s="15"/>
      <c r="E153" s="15"/>
      <c r="F153" s="24"/>
      <c r="G153" s="422"/>
      <c r="H153" s="17" t="str">
        <f t="shared" si="28"/>
        <v/>
      </c>
      <c r="I153" s="63"/>
      <c r="J153" s="61"/>
      <c r="K153" s="402"/>
      <c r="L153" s="420" t="str">
        <f t="shared" si="26"/>
        <v/>
      </c>
      <c r="M153" s="401" t="str">
        <f t="shared" si="27"/>
        <v/>
      </c>
    </row>
    <row r="154" spans="2:13" s="5" customFormat="1" x14ac:dyDescent="0.25">
      <c r="B154" s="58"/>
      <c r="C154" s="14"/>
      <c r="D154" s="15"/>
      <c r="E154" s="15"/>
      <c r="F154" s="24"/>
      <c r="G154" s="423"/>
      <c r="H154" s="17" t="str">
        <f t="shared" si="28"/>
        <v/>
      </c>
      <c r="I154" s="63"/>
      <c r="J154" s="61"/>
      <c r="K154" s="402"/>
      <c r="L154" s="420" t="str">
        <f t="shared" si="26"/>
        <v/>
      </c>
      <c r="M154" s="401" t="str">
        <f t="shared" si="27"/>
        <v/>
      </c>
    </row>
    <row r="155" spans="2:13" s="5" customFormat="1" x14ac:dyDescent="0.25">
      <c r="B155" s="58"/>
      <c r="C155" s="65"/>
      <c r="D155" s="15"/>
      <c r="E155" s="15"/>
      <c r="F155" s="24"/>
      <c r="G155" s="411"/>
      <c r="H155" s="17" t="str">
        <f t="shared" si="28"/>
        <v/>
      </c>
      <c r="I155" s="63"/>
      <c r="J155" s="61"/>
      <c r="K155" s="402"/>
      <c r="L155" s="420" t="str">
        <f t="shared" si="26"/>
        <v/>
      </c>
      <c r="M155" s="401" t="str">
        <f t="shared" si="27"/>
        <v/>
      </c>
    </row>
    <row r="156" spans="2:13" s="5" customFormat="1" x14ac:dyDescent="0.25">
      <c r="B156" s="58"/>
      <c r="C156" s="14"/>
      <c r="D156" s="15"/>
      <c r="E156" s="15"/>
      <c r="F156" s="24"/>
      <c r="G156" s="411"/>
      <c r="H156" s="17" t="str">
        <f t="shared" si="28"/>
        <v/>
      </c>
      <c r="I156" s="63"/>
      <c r="J156" s="62"/>
      <c r="K156" s="62"/>
      <c r="L156" s="420" t="str">
        <f t="shared" si="26"/>
        <v/>
      </c>
      <c r="M156" s="401" t="str">
        <f t="shared" si="27"/>
        <v/>
      </c>
    </row>
    <row r="157" spans="2:13" s="5" customFormat="1" x14ac:dyDescent="0.25">
      <c r="B157" s="58"/>
      <c r="C157" s="14"/>
      <c r="D157" s="15"/>
      <c r="E157" s="15"/>
      <c r="F157" s="24"/>
      <c r="G157" s="411"/>
      <c r="H157" s="17" t="str">
        <f t="shared" si="28"/>
        <v/>
      </c>
      <c r="I157" s="63"/>
      <c r="J157" s="62"/>
      <c r="K157" s="62"/>
      <c r="L157" s="420" t="str">
        <f t="shared" si="26"/>
        <v/>
      </c>
      <c r="M157" s="401" t="str">
        <f t="shared" si="27"/>
        <v/>
      </c>
    </row>
    <row r="158" spans="2:13" s="5" customFormat="1" x14ac:dyDescent="0.25">
      <c r="B158" s="46"/>
      <c r="C158" s="14"/>
      <c r="D158" s="15"/>
      <c r="E158" s="15"/>
      <c r="F158" s="24"/>
      <c r="G158" s="422"/>
      <c r="H158" s="17" t="str">
        <f t="shared" si="28"/>
        <v/>
      </c>
      <c r="I158" s="63"/>
      <c r="J158" s="62"/>
      <c r="K158" s="62"/>
      <c r="L158" s="420" t="str">
        <f t="shared" si="26"/>
        <v/>
      </c>
      <c r="M158" s="401" t="str">
        <f t="shared" si="27"/>
        <v/>
      </c>
    </row>
    <row r="159" spans="2:13" s="5" customFormat="1" x14ac:dyDescent="0.25">
      <c r="B159" s="58"/>
      <c r="C159" s="14"/>
      <c r="D159" s="15"/>
      <c r="E159" s="15"/>
      <c r="F159" s="24"/>
      <c r="G159" s="411"/>
      <c r="H159" s="17" t="str">
        <f t="shared" si="28"/>
        <v/>
      </c>
      <c r="I159" s="63"/>
      <c r="J159" s="62"/>
      <c r="K159" s="399"/>
      <c r="L159" s="420" t="str">
        <f t="shared" si="26"/>
        <v/>
      </c>
      <c r="M159" s="401" t="str">
        <f t="shared" si="27"/>
        <v/>
      </c>
    </row>
    <row r="160" spans="2:13" s="5" customFormat="1" x14ac:dyDescent="0.25">
      <c r="B160" s="58"/>
      <c r="C160" s="65"/>
      <c r="D160" s="15"/>
      <c r="E160" s="15"/>
      <c r="F160" s="24"/>
      <c r="G160" s="423"/>
      <c r="H160" s="17" t="str">
        <f t="shared" si="28"/>
        <v/>
      </c>
      <c r="I160" s="63"/>
      <c r="J160" s="62"/>
      <c r="K160" s="62"/>
      <c r="L160" s="420" t="str">
        <f t="shared" si="26"/>
        <v/>
      </c>
      <c r="M160" s="401" t="str">
        <f t="shared" si="27"/>
        <v/>
      </c>
    </row>
    <row r="161" spans="2:16" s="5" customFormat="1" x14ac:dyDescent="0.25">
      <c r="B161" s="58"/>
      <c r="C161" s="14"/>
      <c r="D161" s="15"/>
      <c r="E161" s="15"/>
      <c r="F161" s="15"/>
      <c r="G161" s="411"/>
      <c r="H161" s="17" t="str">
        <f t="shared" si="28"/>
        <v/>
      </c>
      <c r="I161" s="63"/>
      <c r="J161" s="62"/>
      <c r="K161" s="62"/>
      <c r="L161" s="420" t="str">
        <f t="shared" si="26"/>
        <v/>
      </c>
      <c r="M161" s="401" t="str">
        <f t="shared" si="27"/>
        <v/>
      </c>
    </row>
    <row r="162" spans="2:16" s="5" customFormat="1" x14ac:dyDescent="0.25">
      <c r="B162" s="58"/>
      <c r="C162" s="14"/>
      <c r="D162" s="15"/>
      <c r="E162" s="15"/>
      <c r="F162" s="15"/>
      <c r="G162" s="422"/>
      <c r="H162" s="17" t="str">
        <f t="shared" si="28"/>
        <v/>
      </c>
      <c r="I162" s="63"/>
      <c r="J162" s="62"/>
      <c r="K162" s="62"/>
      <c r="L162" s="420" t="str">
        <f t="shared" si="26"/>
        <v/>
      </c>
      <c r="M162" s="401" t="str">
        <f t="shared" si="27"/>
        <v/>
      </c>
    </row>
    <row r="163" spans="2:16" s="5" customFormat="1" x14ac:dyDescent="0.25">
      <c r="B163" s="58"/>
      <c r="C163" s="14"/>
      <c r="D163" s="15"/>
      <c r="E163" s="15"/>
      <c r="F163" s="15"/>
      <c r="G163" s="422"/>
      <c r="H163" s="17" t="str">
        <f t="shared" si="28"/>
        <v/>
      </c>
      <c r="I163" s="63"/>
      <c r="J163" s="62"/>
      <c r="K163" s="62"/>
      <c r="L163" s="420" t="str">
        <f t="shared" si="26"/>
        <v/>
      </c>
      <c r="M163" s="401" t="str">
        <f t="shared" si="27"/>
        <v/>
      </c>
    </row>
    <row r="164" spans="2:16" s="5" customFormat="1" x14ac:dyDescent="0.25">
      <c r="B164" s="58"/>
      <c r="C164" s="65"/>
      <c r="D164" s="15"/>
      <c r="E164" s="15"/>
      <c r="F164" s="15"/>
      <c r="G164" s="422"/>
      <c r="H164" s="17" t="str">
        <f t="shared" si="28"/>
        <v/>
      </c>
      <c r="I164" s="63"/>
      <c r="J164" s="62"/>
      <c r="K164" s="62"/>
      <c r="L164" s="420" t="str">
        <f t="shared" si="26"/>
        <v/>
      </c>
      <c r="M164" s="401" t="str">
        <f t="shared" si="27"/>
        <v/>
      </c>
    </row>
    <row r="165" spans="2:16" s="5" customFormat="1" x14ac:dyDescent="0.25">
      <c r="B165" s="58"/>
      <c r="C165" s="14"/>
      <c r="D165" s="15"/>
      <c r="E165" s="15"/>
      <c r="F165" s="15"/>
      <c r="G165" s="422"/>
      <c r="H165" s="17" t="str">
        <f t="shared" si="28"/>
        <v/>
      </c>
      <c r="I165" s="63"/>
      <c r="J165" s="62"/>
      <c r="K165" s="62"/>
      <c r="L165" s="420" t="str">
        <f t="shared" si="26"/>
        <v/>
      </c>
      <c r="M165" s="401" t="str">
        <f t="shared" si="27"/>
        <v/>
      </c>
    </row>
    <row r="166" spans="2:16" s="5" customFormat="1" x14ac:dyDescent="0.25">
      <c r="B166" s="58"/>
      <c r="C166" s="14"/>
      <c r="D166" s="15"/>
      <c r="E166" s="15"/>
      <c r="F166" s="15"/>
      <c r="G166" s="424"/>
      <c r="H166" s="17" t="str">
        <f t="shared" si="28"/>
        <v/>
      </c>
      <c r="I166" s="63"/>
      <c r="J166" s="62"/>
      <c r="K166" s="62"/>
      <c r="L166" s="420" t="str">
        <f t="shared" si="26"/>
        <v/>
      </c>
      <c r="M166" s="401" t="str">
        <f t="shared" si="27"/>
        <v/>
      </c>
    </row>
    <row r="167" spans="2:16" s="5" customFormat="1" x14ac:dyDescent="0.25">
      <c r="B167" s="58"/>
      <c r="C167" s="14"/>
      <c r="D167" s="15"/>
      <c r="E167" s="15"/>
      <c r="F167" s="15"/>
      <c r="G167" s="422"/>
      <c r="H167" s="17" t="str">
        <f t="shared" si="28"/>
        <v/>
      </c>
      <c r="I167" s="63"/>
      <c r="J167" s="62"/>
      <c r="K167" s="62"/>
      <c r="L167" s="420" t="str">
        <f t="shared" si="26"/>
        <v/>
      </c>
      <c r="M167" s="401" t="str">
        <f t="shared" si="27"/>
        <v/>
      </c>
    </row>
    <row r="168" spans="2:16" s="5" customFormat="1" x14ac:dyDescent="0.25">
      <c r="B168" s="58"/>
      <c r="C168" s="14"/>
      <c r="D168" s="15"/>
      <c r="E168" s="15"/>
      <c r="F168" s="15"/>
      <c r="G168" s="422"/>
      <c r="H168" s="17" t="str">
        <f t="shared" si="28"/>
        <v/>
      </c>
      <c r="I168" s="63"/>
      <c r="J168" s="62"/>
      <c r="K168" s="62"/>
      <c r="L168" s="420" t="str">
        <f t="shared" si="26"/>
        <v/>
      </c>
      <c r="M168" s="401" t="str">
        <f t="shared" si="27"/>
        <v/>
      </c>
    </row>
    <row r="169" spans="2:16" s="5" customFormat="1" x14ac:dyDescent="0.25">
      <c r="B169" s="58"/>
      <c r="C169" s="14"/>
      <c r="D169" s="15"/>
      <c r="E169" s="15"/>
      <c r="F169" s="15"/>
      <c r="G169" s="422"/>
      <c r="H169" s="17" t="str">
        <f t="shared" si="28"/>
        <v/>
      </c>
      <c r="I169" s="63"/>
      <c r="J169" s="62"/>
      <c r="K169" s="62"/>
      <c r="L169" s="420" t="str">
        <f t="shared" si="26"/>
        <v/>
      </c>
      <c r="M169" s="401" t="str">
        <f t="shared" si="27"/>
        <v/>
      </c>
    </row>
    <row r="170" spans="2:16" s="5" customFormat="1" x14ac:dyDescent="0.25">
      <c r="B170" s="58"/>
      <c r="C170" s="25"/>
      <c r="D170" s="61"/>
      <c r="E170" s="61"/>
      <c r="F170" s="61"/>
      <c r="G170" s="422"/>
      <c r="H170" s="17" t="str">
        <f t="shared" si="28"/>
        <v/>
      </c>
      <c r="I170" s="63"/>
      <c r="J170" s="62"/>
      <c r="K170" s="62"/>
      <c r="L170" s="420" t="str">
        <f t="shared" si="26"/>
        <v/>
      </c>
      <c r="M170" s="401" t="str">
        <f t="shared" si="27"/>
        <v/>
      </c>
    </row>
    <row r="171" spans="2:16" s="5" customFormat="1" x14ac:dyDescent="0.25">
      <c r="B171" s="58"/>
      <c r="C171" s="65"/>
      <c r="D171" s="15"/>
      <c r="E171" s="15"/>
      <c r="F171" s="15"/>
      <c r="G171" s="422"/>
      <c r="H171" s="17" t="str">
        <f t="shared" si="28"/>
        <v/>
      </c>
      <c r="I171" s="63"/>
      <c r="J171" s="62"/>
      <c r="K171" s="62"/>
      <c r="L171" s="420" t="str">
        <f t="shared" si="26"/>
        <v/>
      </c>
      <c r="M171" s="401" t="str">
        <f t="shared" si="27"/>
        <v/>
      </c>
    </row>
    <row r="172" spans="2:16" s="5" customFormat="1" x14ac:dyDescent="0.25">
      <c r="B172" s="58"/>
      <c r="C172" s="68"/>
      <c r="D172" s="61"/>
      <c r="E172" s="61"/>
      <c r="F172" s="61"/>
      <c r="G172" s="422"/>
      <c r="H172" s="17" t="str">
        <f t="shared" si="28"/>
        <v/>
      </c>
      <c r="I172" s="63"/>
      <c r="J172" s="62"/>
      <c r="K172" s="62"/>
      <c r="L172" s="420" t="str">
        <f t="shared" si="26"/>
        <v/>
      </c>
      <c r="M172" s="401" t="str">
        <f t="shared" si="27"/>
        <v/>
      </c>
      <c r="O172" s="456"/>
      <c r="P172" s="456" t="s">
        <v>1095</v>
      </c>
    </row>
    <row r="173" spans="2:16" s="5" customFormat="1" x14ac:dyDescent="0.25">
      <c r="B173" s="58"/>
      <c r="C173" s="26"/>
      <c r="D173" s="15"/>
      <c r="E173" s="15"/>
      <c r="F173" s="15"/>
      <c r="G173" s="422"/>
      <c r="H173" s="17" t="str">
        <f t="shared" si="28"/>
        <v/>
      </c>
      <c r="I173" s="63"/>
      <c r="J173" s="62"/>
      <c r="K173" s="402"/>
      <c r="L173" s="420" t="str">
        <f t="shared" si="26"/>
        <v/>
      </c>
      <c r="M173" s="401" t="str">
        <f t="shared" si="27"/>
        <v/>
      </c>
      <c r="O173" s="457" t="s">
        <v>891</v>
      </c>
      <c r="P173" s="457" t="s">
        <v>1096</v>
      </c>
    </row>
    <row r="174" spans="2:16" s="5" customFormat="1" x14ac:dyDescent="0.25">
      <c r="B174" s="58"/>
      <c r="C174" s="14"/>
      <c r="D174" s="15"/>
      <c r="E174" s="15"/>
      <c r="F174" s="15"/>
      <c r="G174" s="422"/>
      <c r="H174" s="17" t="str">
        <f t="shared" si="28"/>
        <v/>
      </c>
      <c r="I174" s="63"/>
      <c r="J174" s="62"/>
      <c r="K174" s="402"/>
      <c r="L174" s="420" t="str">
        <f t="shared" si="26"/>
        <v/>
      </c>
      <c r="M174" s="401" t="str">
        <f t="shared" ref="M174:M192" si="29">IF(J174="","",IF(SUM(H174)=0,"",L174/H174))</f>
        <v/>
      </c>
      <c r="O174" s="458">
        <f>ROUND((((1.61+3.3)*0.5*1.35)+(3.3*0.6))*0.15,0)</f>
        <v>1</v>
      </c>
      <c r="P174" s="459">
        <f>ROUND(0.935*(3.3),0)</f>
        <v>3</v>
      </c>
    </row>
    <row r="175" spans="2:16" s="5" customFormat="1" x14ac:dyDescent="0.25">
      <c r="B175" s="58"/>
      <c r="C175" s="14"/>
      <c r="D175" s="15"/>
      <c r="E175" s="15"/>
      <c r="F175" s="15"/>
      <c r="G175" s="422"/>
      <c r="H175" s="17" t="str">
        <f t="shared" si="28"/>
        <v/>
      </c>
      <c r="I175" s="63"/>
      <c r="J175" s="62"/>
      <c r="K175" s="402"/>
      <c r="L175" s="420" t="str">
        <f t="shared" si="26"/>
        <v/>
      </c>
      <c r="M175" s="401" t="str">
        <f t="shared" si="29"/>
        <v/>
      </c>
    </row>
    <row r="176" spans="2:16" s="5" customFormat="1" x14ac:dyDescent="0.25">
      <c r="B176" s="58"/>
      <c r="C176" s="14"/>
      <c r="D176" s="15"/>
      <c r="E176" s="15"/>
      <c r="F176" s="15"/>
      <c r="G176" s="422"/>
      <c r="H176" s="17" t="str">
        <f t="shared" si="28"/>
        <v/>
      </c>
      <c r="I176" s="63"/>
      <c r="J176" s="62"/>
      <c r="K176" s="402"/>
      <c r="L176" s="420" t="str">
        <f t="shared" si="26"/>
        <v/>
      </c>
      <c r="M176" s="401" t="str">
        <f t="shared" si="29"/>
        <v/>
      </c>
    </row>
    <row r="177" spans="2:13" s="5" customFormat="1" x14ac:dyDescent="0.25">
      <c r="B177" s="58"/>
      <c r="C177" s="65"/>
      <c r="D177" s="712"/>
      <c r="E177" s="712"/>
      <c r="F177" s="15"/>
      <c r="G177" s="422"/>
      <c r="H177" s="17" t="str">
        <f t="shared" si="28"/>
        <v/>
      </c>
      <c r="I177" s="63"/>
      <c r="J177" s="62"/>
      <c r="K177" s="402"/>
      <c r="L177" s="420" t="str">
        <f t="shared" si="26"/>
        <v/>
      </c>
      <c r="M177" s="401" t="str">
        <f t="shared" si="29"/>
        <v/>
      </c>
    </row>
    <row r="178" spans="2:13" s="5" customFormat="1" x14ac:dyDescent="0.25">
      <c r="B178" s="58"/>
      <c r="C178" s="14"/>
      <c r="D178" s="712"/>
      <c r="E178" s="712"/>
      <c r="F178" s="15"/>
      <c r="G178" s="411"/>
      <c r="H178" s="17" t="str">
        <f t="shared" si="28"/>
        <v/>
      </c>
      <c r="I178" s="63"/>
      <c r="J178" s="62"/>
      <c r="K178" s="402"/>
      <c r="L178" s="420" t="str">
        <f t="shared" si="26"/>
        <v/>
      </c>
      <c r="M178" s="401" t="str">
        <f t="shared" si="29"/>
        <v/>
      </c>
    </row>
    <row r="179" spans="2:13" s="5" customFormat="1" x14ac:dyDescent="0.25">
      <c r="B179" s="46"/>
      <c r="C179" s="14"/>
      <c r="D179" s="15"/>
      <c r="E179" s="15"/>
      <c r="F179" s="15"/>
      <c r="G179" s="411"/>
      <c r="H179" s="17" t="str">
        <f t="shared" si="28"/>
        <v/>
      </c>
      <c r="I179" s="63"/>
      <c r="J179" s="62"/>
      <c r="K179" s="399"/>
      <c r="L179" s="420" t="str">
        <f t="shared" si="26"/>
        <v/>
      </c>
      <c r="M179" s="401" t="str">
        <f t="shared" si="29"/>
        <v/>
      </c>
    </row>
    <row r="180" spans="2:13" s="5" customFormat="1" x14ac:dyDescent="0.25">
      <c r="B180" s="46"/>
      <c r="C180" s="14"/>
      <c r="D180" s="15"/>
      <c r="E180" s="15"/>
      <c r="F180" s="15"/>
      <c r="G180" s="411"/>
      <c r="H180" s="17" t="str">
        <f t="shared" si="28"/>
        <v/>
      </c>
      <c r="I180" s="63"/>
      <c r="J180" s="62"/>
      <c r="K180" s="62"/>
      <c r="L180" s="420" t="str">
        <f t="shared" si="26"/>
        <v/>
      </c>
      <c r="M180" s="401" t="str">
        <f t="shared" si="29"/>
        <v/>
      </c>
    </row>
    <row r="181" spans="2:13" x14ac:dyDescent="0.25">
      <c r="B181" s="46"/>
      <c r="C181" s="14"/>
      <c r="D181" s="15"/>
      <c r="E181" s="15"/>
      <c r="F181" s="15"/>
      <c r="G181" s="411"/>
      <c r="H181" s="17" t="str">
        <f t="shared" si="28"/>
        <v/>
      </c>
      <c r="I181" s="63"/>
      <c r="J181" s="62"/>
      <c r="K181" s="62"/>
      <c r="L181" s="420" t="str">
        <f t="shared" si="26"/>
        <v/>
      </c>
      <c r="M181" s="401" t="str">
        <f t="shared" si="29"/>
        <v/>
      </c>
    </row>
    <row r="182" spans="2:13" x14ac:dyDescent="0.25">
      <c r="B182" s="58"/>
      <c r="C182" s="14"/>
      <c r="D182" s="15"/>
      <c r="E182" s="15"/>
      <c r="F182" s="15"/>
      <c r="G182" s="411"/>
      <c r="H182" s="17" t="str">
        <f t="shared" si="28"/>
        <v/>
      </c>
      <c r="I182" s="63"/>
      <c r="J182" s="62"/>
      <c r="K182" s="62"/>
      <c r="L182" s="420" t="str">
        <f t="shared" si="26"/>
        <v/>
      </c>
      <c r="M182" s="401" t="str">
        <f t="shared" si="29"/>
        <v/>
      </c>
    </row>
    <row r="183" spans="2:13" x14ac:dyDescent="0.25">
      <c r="B183" s="58"/>
      <c r="C183" s="65"/>
      <c r="D183" s="15"/>
      <c r="E183" s="15"/>
      <c r="F183" s="15"/>
      <c r="G183" s="411"/>
      <c r="H183" s="17" t="str">
        <f t="shared" si="28"/>
        <v/>
      </c>
      <c r="I183" s="63"/>
      <c r="J183" s="62"/>
      <c r="K183" s="62"/>
      <c r="L183" s="420" t="str">
        <f t="shared" si="26"/>
        <v/>
      </c>
      <c r="M183" s="401" t="str">
        <f t="shared" si="29"/>
        <v/>
      </c>
    </row>
    <row r="184" spans="2:13" x14ac:dyDescent="0.25">
      <c r="B184" s="46"/>
      <c r="C184" s="14"/>
      <c r="D184" s="15"/>
      <c r="E184" s="15"/>
      <c r="F184" s="24"/>
      <c r="G184" s="703"/>
      <c r="H184" s="17" t="str">
        <f t="shared" si="28"/>
        <v/>
      </c>
      <c r="I184" s="63"/>
      <c r="J184" s="62"/>
      <c r="K184" s="62"/>
      <c r="L184" s="420" t="str">
        <f t="shared" si="26"/>
        <v/>
      </c>
      <c r="M184" s="401" t="str">
        <f t="shared" si="29"/>
        <v/>
      </c>
    </row>
    <row r="185" spans="2:13" x14ac:dyDescent="0.25">
      <c r="B185" s="58"/>
      <c r="C185" s="65"/>
      <c r="D185" s="15"/>
      <c r="E185" s="15"/>
      <c r="F185" s="24"/>
      <c r="G185" s="411"/>
      <c r="H185" s="17" t="str">
        <f t="shared" si="28"/>
        <v/>
      </c>
      <c r="I185" s="63"/>
      <c r="J185" s="62"/>
      <c r="K185" s="62"/>
      <c r="L185" s="420" t="str">
        <f t="shared" si="26"/>
        <v/>
      </c>
      <c r="M185" s="401" t="str">
        <f t="shared" si="29"/>
        <v/>
      </c>
    </row>
    <row r="186" spans="2:13" x14ac:dyDescent="0.25">
      <c r="B186" s="58"/>
      <c r="C186" s="14"/>
      <c r="D186" s="15"/>
      <c r="E186" s="15"/>
      <c r="F186" s="24"/>
      <c r="G186" s="423"/>
      <c r="H186" s="17" t="str">
        <f t="shared" si="28"/>
        <v/>
      </c>
      <c r="I186" s="63"/>
      <c r="J186" s="62"/>
      <c r="K186" s="62"/>
      <c r="L186" s="420" t="str">
        <f t="shared" si="26"/>
        <v/>
      </c>
      <c r="M186" s="401" t="str">
        <f t="shared" si="29"/>
        <v/>
      </c>
    </row>
    <row r="187" spans="2:13" x14ac:dyDescent="0.25">
      <c r="B187" s="58"/>
      <c r="C187" s="65"/>
      <c r="D187" s="15"/>
      <c r="E187" s="15"/>
      <c r="F187" s="24"/>
      <c r="G187" s="411"/>
      <c r="H187" s="17" t="str">
        <f t="shared" si="28"/>
        <v/>
      </c>
      <c r="I187" s="63"/>
      <c r="J187" s="62"/>
      <c r="K187" s="62"/>
      <c r="L187" s="420" t="str">
        <f t="shared" si="26"/>
        <v/>
      </c>
      <c r="M187" s="401" t="str">
        <f t="shared" si="29"/>
        <v/>
      </c>
    </row>
    <row r="188" spans="2:13" x14ac:dyDescent="0.25">
      <c r="B188" s="58"/>
      <c r="C188" s="26"/>
      <c r="D188" s="61"/>
      <c r="E188" s="61"/>
      <c r="F188" s="24"/>
      <c r="G188" s="421"/>
      <c r="H188" s="17" t="str">
        <f t="shared" si="28"/>
        <v/>
      </c>
      <c r="I188" s="63"/>
      <c r="J188" s="61"/>
      <c r="K188" s="62"/>
      <c r="L188" s="420" t="str">
        <f t="shared" si="26"/>
        <v/>
      </c>
      <c r="M188" s="401" t="str">
        <f t="shared" si="29"/>
        <v/>
      </c>
    </row>
    <row r="189" spans="2:13" x14ac:dyDescent="0.25">
      <c r="B189" s="58"/>
      <c r="C189" s="70"/>
      <c r="D189" s="15"/>
      <c r="E189" s="15"/>
      <c r="F189" s="24"/>
      <c r="G189" s="411"/>
      <c r="H189" s="17" t="str">
        <f t="shared" si="28"/>
        <v/>
      </c>
      <c r="I189" s="63"/>
      <c r="J189" s="62"/>
      <c r="K189" s="62"/>
      <c r="L189" s="420" t="str">
        <f t="shared" si="26"/>
        <v/>
      </c>
      <c r="M189" s="401" t="str">
        <f t="shared" si="29"/>
        <v/>
      </c>
    </row>
    <row r="190" spans="2:13" x14ac:dyDescent="0.25">
      <c r="B190" s="58"/>
      <c r="C190" s="26"/>
      <c r="D190" s="61"/>
      <c r="E190" s="61"/>
      <c r="F190" s="24"/>
      <c r="G190" s="422"/>
      <c r="H190" s="17" t="str">
        <f t="shared" si="28"/>
        <v/>
      </c>
      <c r="I190" s="63"/>
      <c r="J190" s="62"/>
      <c r="K190" s="62"/>
      <c r="L190" s="420" t="str">
        <f t="shared" si="26"/>
        <v/>
      </c>
      <c r="M190" s="401" t="str">
        <f t="shared" si="29"/>
        <v/>
      </c>
    </row>
    <row r="191" spans="2:13" x14ac:dyDescent="0.25">
      <c r="B191" s="58"/>
      <c r="C191" s="26"/>
      <c r="D191" s="15"/>
      <c r="E191" s="15"/>
      <c r="F191" s="24"/>
      <c r="G191" s="421"/>
      <c r="H191" s="17" t="str">
        <f t="shared" si="28"/>
        <v/>
      </c>
      <c r="I191" s="63"/>
      <c r="J191" s="62"/>
      <c r="K191" s="62"/>
      <c r="L191" s="420" t="str">
        <f t="shared" si="26"/>
        <v/>
      </c>
      <c r="M191" s="401" t="str">
        <f t="shared" si="29"/>
        <v/>
      </c>
    </row>
    <row r="192" spans="2:13" x14ac:dyDescent="0.25">
      <c r="B192" s="58"/>
      <c r="C192" s="26"/>
      <c r="D192" s="61"/>
      <c r="E192" s="61"/>
      <c r="F192" s="24"/>
      <c r="G192" s="423"/>
      <c r="H192" s="17" t="str">
        <f t="shared" si="28"/>
        <v/>
      </c>
      <c r="I192" s="63"/>
      <c r="J192" s="711"/>
      <c r="K192" s="711"/>
      <c r="L192" s="420" t="str">
        <f t="shared" si="26"/>
        <v/>
      </c>
      <c r="M192" s="401" t="str">
        <f t="shared" si="29"/>
        <v/>
      </c>
    </row>
    <row r="193" spans="2:13" s="28" customFormat="1" ht="19.5" customHeight="1" x14ac:dyDescent="0.25">
      <c r="B193" s="135" t="str">
        <f>$B$12</f>
        <v>C3.1</v>
      </c>
      <c r="C193" s="30" t="str">
        <f>"TOTAL CARRIED FORWARD"&amp;IF(H193=H$1," TO SUMMARY","")</f>
        <v>TOTAL CARRIED FORWARD TO SUMMARY</v>
      </c>
      <c r="D193" s="31"/>
      <c r="E193" s="31"/>
      <c r="F193" s="32"/>
      <c r="G193" s="31"/>
      <c r="H193" s="33">
        <f>SUM(H141:H192)</f>
        <v>524300</v>
      </c>
      <c r="I193" s="34"/>
      <c r="J193" s="408"/>
      <c r="K193" s="406"/>
      <c r="L193" s="418">
        <f>SUM(L141:L192)</f>
        <v>128388.9</v>
      </c>
      <c r="M193" s="407" t="str">
        <f>IF(F195="","",IF(SUM(I195)=0,"",L193/I185))</f>
        <v/>
      </c>
    </row>
    <row r="194" spans="2:13" ht="13" x14ac:dyDescent="0.25">
      <c r="B194" s="1108" t="str">
        <f>Client1</f>
        <v>Province of KwaZulu-Natal</v>
      </c>
      <c r="C194" s="1108"/>
      <c r="D194" s="1108"/>
      <c r="E194" s="87"/>
      <c r="F194" s="1109" t="str">
        <f>"Contract No. "&amp;ContractNo</f>
        <v>Contract No. ZNB 00399/00000/HOD/INF/21/T</v>
      </c>
      <c r="G194" s="1109"/>
      <c r="H194" s="1109"/>
    </row>
    <row r="195" spans="2:13" ht="13" x14ac:dyDescent="0.25">
      <c r="B195" s="1108" t="str">
        <f>Client2</f>
        <v>Department of Transport</v>
      </c>
      <c r="C195" s="1108"/>
      <c r="D195" s="1108"/>
      <c r="E195" s="87"/>
      <c r="F195" s="1109"/>
      <c r="G195" s="1109"/>
      <c r="H195" s="1109"/>
    </row>
    <row r="196" spans="2:13" x14ac:dyDescent="0.25">
      <c r="B196" s="1111"/>
      <c r="C196" s="1111"/>
      <c r="D196" s="1111"/>
      <c r="E196" s="78"/>
      <c r="F196" s="1110"/>
      <c r="G196" s="1110"/>
      <c r="H196" s="1110"/>
    </row>
    <row r="197" spans="2:13" ht="13" x14ac:dyDescent="0.25">
      <c r="B197" s="1112" t="s">
        <v>8</v>
      </c>
      <c r="C197" s="1113"/>
      <c r="D197" s="1113"/>
      <c r="E197" s="1113"/>
      <c r="F197" s="1113"/>
      <c r="G197" s="1113"/>
      <c r="H197" s="1114" t="str">
        <f>$H$6</f>
        <v>CHAPTER C3.1</v>
      </c>
      <c r="I197" s="6"/>
    </row>
    <row r="198" spans="2:13" ht="13" x14ac:dyDescent="0.25">
      <c r="B198" s="1117" t="str">
        <f>ContractDescription</f>
        <v>THE CONSTRUCTION OF EARTHWORKS, LAYERWORKS, SURFACING, CULVERTS AND CWAKA RIVER BRIDGE FROM KM 11.600 TO KM 14.000 ON MAIN ROAD P494 IN THE KING CETSHWAYO DISTRICT UNDER EMPANGENI REGION</v>
      </c>
      <c r="C198" s="1118"/>
      <c r="D198" s="1118"/>
      <c r="E198" s="1118"/>
      <c r="F198" s="1118"/>
      <c r="G198" s="1118"/>
      <c r="H198" s="1115"/>
      <c r="I198" s="8"/>
    </row>
    <row r="199" spans="2:13" ht="13" x14ac:dyDescent="0.25">
      <c r="B199" s="1117"/>
      <c r="C199" s="1118"/>
      <c r="D199" s="1118"/>
      <c r="E199" s="1118"/>
      <c r="F199" s="1118"/>
      <c r="G199" s="1118"/>
      <c r="H199" s="1115"/>
      <c r="I199" s="8"/>
    </row>
    <row r="200" spans="2:13" ht="13" x14ac:dyDescent="0.25">
      <c r="B200" s="1119"/>
      <c r="C200" s="1120"/>
      <c r="D200" s="1120"/>
      <c r="E200" s="1120"/>
      <c r="F200" s="1120"/>
      <c r="G200" s="1120"/>
      <c r="H200" s="1116"/>
      <c r="I200" s="8"/>
    </row>
    <row r="201" spans="2:13" s="9" customFormat="1" ht="25" customHeight="1" x14ac:dyDescent="0.25">
      <c r="B201" s="74" t="s">
        <v>0</v>
      </c>
      <c r="C201" s="11" t="s">
        <v>1</v>
      </c>
      <c r="D201" s="11" t="s">
        <v>2</v>
      </c>
      <c r="E201" s="11"/>
      <c r="F201" s="11" t="s">
        <v>3</v>
      </c>
      <c r="G201" s="11" t="s">
        <v>4</v>
      </c>
      <c r="H201" s="11" t="s">
        <v>5</v>
      </c>
      <c r="I201" s="12"/>
      <c r="J201" s="408" t="s">
        <v>996</v>
      </c>
      <c r="K201" s="253" t="s">
        <v>997</v>
      </c>
      <c r="L201" s="253" t="s">
        <v>998</v>
      </c>
      <c r="M201" s="253" t="s">
        <v>999</v>
      </c>
    </row>
    <row r="202" spans="2:13" s="28" customFormat="1" ht="20.149999999999999" customHeight="1" x14ac:dyDescent="0.25">
      <c r="B202" s="80"/>
      <c r="C202" s="30" t="s">
        <v>27</v>
      </c>
      <c r="D202" s="31"/>
      <c r="E202" s="31"/>
      <c r="F202" s="32"/>
      <c r="G202" s="31"/>
      <c r="H202" s="33">
        <f>H193</f>
        <v>524300</v>
      </c>
      <c r="I202" s="34"/>
      <c r="J202" s="416"/>
      <c r="K202" s="409"/>
      <c r="L202" s="419">
        <f>L193</f>
        <v>128388.9</v>
      </c>
      <c r="M202" s="410" t="str">
        <f>IF(F202="","",IF(SUM(I202)=0,"",L202/I202))</f>
        <v/>
      </c>
    </row>
    <row r="203" spans="2:13" x14ac:dyDescent="0.25">
      <c r="B203" s="46"/>
      <c r="C203" s="134"/>
      <c r="D203" s="61"/>
      <c r="E203" s="61"/>
      <c r="F203" s="24"/>
      <c r="G203" s="423"/>
      <c r="H203" s="17"/>
      <c r="I203" s="63"/>
      <c r="J203" s="61"/>
      <c r="K203" s="399"/>
      <c r="L203" s="420" t="str">
        <f t="shared" ref="L203:L215" si="30">IF(J203="","",F203*K203)</f>
        <v/>
      </c>
      <c r="M203" s="401" t="str">
        <f t="shared" ref="M203:M234" si="31">IF(J203="","",IF(SUM(H203)=0,"",L203/H203))</f>
        <v/>
      </c>
    </row>
    <row r="204" spans="2:13" x14ac:dyDescent="0.25">
      <c r="B204" s="46"/>
      <c r="C204" s="25"/>
      <c r="D204" s="15"/>
      <c r="E204" s="15"/>
      <c r="F204" s="24"/>
      <c r="G204" s="421"/>
      <c r="H204" s="17" t="str">
        <f t="shared" ref="H204:H222" si="32">IF(D204="","",F204*G204)</f>
        <v/>
      </c>
      <c r="I204" s="63"/>
      <c r="J204" s="61"/>
      <c r="K204" s="399"/>
      <c r="L204" s="420" t="str">
        <f t="shared" si="30"/>
        <v/>
      </c>
      <c r="M204" s="401" t="str">
        <f t="shared" si="31"/>
        <v/>
      </c>
    </row>
    <row r="205" spans="2:13" x14ac:dyDescent="0.25">
      <c r="B205" s="46"/>
      <c r="C205" s="14"/>
      <c r="D205" s="15"/>
      <c r="E205" s="15"/>
      <c r="F205" s="24"/>
      <c r="G205" s="411"/>
      <c r="H205" s="17" t="str">
        <f t="shared" si="32"/>
        <v/>
      </c>
      <c r="I205" s="63"/>
      <c r="J205" s="61"/>
      <c r="K205" s="399"/>
      <c r="L205" s="420" t="str">
        <f t="shared" si="30"/>
        <v/>
      </c>
      <c r="M205" s="401" t="str">
        <f t="shared" si="31"/>
        <v/>
      </c>
    </row>
    <row r="206" spans="2:13" x14ac:dyDescent="0.25">
      <c r="B206" s="46"/>
      <c r="C206" s="14"/>
      <c r="D206" s="15"/>
      <c r="E206" s="15"/>
      <c r="F206" s="24"/>
      <c r="G206" s="411"/>
      <c r="H206" s="17" t="str">
        <f t="shared" si="32"/>
        <v/>
      </c>
      <c r="I206" s="63"/>
      <c r="J206" s="61"/>
      <c r="K206" s="399"/>
      <c r="L206" s="420" t="str">
        <f t="shared" si="30"/>
        <v/>
      </c>
      <c r="M206" s="401" t="str">
        <f t="shared" si="31"/>
        <v/>
      </c>
    </row>
    <row r="207" spans="2:13" x14ac:dyDescent="0.25">
      <c r="B207" s="46"/>
      <c r="C207" s="14"/>
      <c r="D207" s="15"/>
      <c r="E207" s="15"/>
      <c r="F207" s="24"/>
      <c r="G207" s="422"/>
      <c r="H207" s="17" t="str">
        <f t="shared" si="32"/>
        <v/>
      </c>
      <c r="I207" s="63"/>
      <c r="J207" s="61"/>
      <c r="K207" s="400"/>
      <c r="L207" s="420" t="str">
        <f t="shared" si="30"/>
        <v/>
      </c>
      <c r="M207" s="401" t="str">
        <f t="shared" si="31"/>
        <v/>
      </c>
    </row>
    <row r="208" spans="2:13" x14ac:dyDescent="0.25">
      <c r="B208" s="46"/>
      <c r="C208" s="14"/>
      <c r="D208" s="15"/>
      <c r="E208" s="15"/>
      <c r="F208" s="24"/>
      <c r="G208" s="422"/>
      <c r="H208" s="17" t="str">
        <f t="shared" si="32"/>
        <v/>
      </c>
      <c r="I208" s="63"/>
      <c r="J208" s="61"/>
      <c r="K208" s="399"/>
      <c r="L208" s="420" t="str">
        <f t="shared" si="30"/>
        <v/>
      </c>
      <c r="M208" s="401" t="str">
        <f t="shared" si="31"/>
        <v/>
      </c>
    </row>
    <row r="209" spans="2:13" x14ac:dyDescent="0.25">
      <c r="B209" s="46"/>
      <c r="C209" s="14"/>
      <c r="D209" s="15"/>
      <c r="E209" s="15"/>
      <c r="F209" s="24"/>
      <c r="G209" s="423"/>
      <c r="H209" s="17" t="str">
        <f t="shared" si="32"/>
        <v/>
      </c>
      <c r="I209" s="63"/>
      <c r="J209" s="61"/>
      <c r="K209" s="399"/>
      <c r="L209" s="420" t="str">
        <f t="shared" si="30"/>
        <v/>
      </c>
      <c r="M209" s="401" t="str">
        <f t="shared" si="31"/>
        <v/>
      </c>
    </row>
    <row r="210" spans="2:13" x14ac:dyDescent="0.25">
      <c r="B210" s="46"/>
      <c r="C210" s="65"/>
      <c r="D210" s="15"/>
      <c r="E210" s="15"/>
      <c r="F210" s="24"/>
      <c r="G210" s="411"/>
      <c r="H210" s="17" t="str">
        <f t="shared" si="32"/>
        <v/>
      </c>
      <c r="I210" s="63"/>
      <c r="J210" s="61"/>
      <c r="K210" s="399"/>
      <c r="L210" s="420" t="str">
        <f t="shared" si="30"/>
        <v/>
      </c>
      <c r="M210" s="401" t="str">
        <f t="shared" si="31"/>
        <v/>
      </c>
    </row>
    <row r="211" spans="2:13" x14ac:dyDescent="0.25">
      <c r="B211" s="46"/>
      <c r="C211" s="14"/>
      <c r="D211" s="15"/>
      <c r="E211" s="15"/>
      <c r="F211" s="24"/>
      <c r="G211" s="411"/>
      <c r="H211" s="17" t="str">
        <f t="shared" si="32"/>
        <v/>
      </c>
      <c r="I211" s="63"/>
      <c r="J211" s="61"/>
      <c r="K211" s="402"/>
      <c r="L211" s="420" t="str">
        <f t="shared" si="30"/>
        <v/>
      </c>
      <c r="M211" s="401" t="str">
        <f t="shared" si="31"/>
        <v/>
      </c>
    </row>
    <row r="212" spans="2:13" x14ac:dyDescent="0.25">
      <c r="B212" s="46"/>
      <c r="C212" s="14"/>
      <c r="D212" s="15"/>
      <c r="E212" s="15"/>
      <c r="F212" s="24"/>
      <c r="G212" s="411"/>
      <c r="H212" s="17" t="str">
        <f t="shared" si="32"/>
        <v/>
      </c>
      <c r="I212" s="63"/>
      <c r="J212" s="61"/>
      <c r="K212" s="402"/>
      <c r="L212" s="420" t="str">
        <f t="shared" si="30"/>
        <v/>
      </c>
      <c r="M212" s="401" t="str">
        <f t="shared" si="31"/>
        <v/>
      </c>
    </row>
    <row r="213" spans="2:13" s="5" customFormat="1" x14ac:dyDescent="0.25">
      <c r="B213" s="46"/>
      <c r="C213" s="14"/>
      <c r="D213" s="15"/>
      <c r="E213" s="15"/>
      <c r="F213" s="24"/>
      <c r="G213" s="422"/>
      <c r="H213" s="17" t="str">
        <f t="shared" si="32"/>
        <v/>
      </c>
      <c r="I213" s="63"/>
      <c r="J213" s="61"/>
      <c r="K213" s="402"/>
      <c r="L213" s="420" t="str">
        <f t="shared" si="30"/>
        <v/>
      </c>
      <c r="M213" s="401" t="str">
        <f t="shared" si="31"/>
        <v/>
      </c>
    </row>
    <row r="214" spans="2:13" s="5" customFormat="1" x14ac:dyDescent="0.25">
      <c r="B214" s="46"/>
      <c r="C214" s="14"/>
      <c r="D214" s="15"/>
      <c r="E214" s="15"/>
      <c r="F214" s="24"/>
      <c r="G214" s="411"/>
      <c r="H214" s="17" t="str">
        <f t="shared" si="32"/>
        <v/>
      </c>
      <c r="I214" s="63"/>
      <c r="J214" s="61"/>
      <c r="K214" s="402"/>
      <c r="L214" s="420" t="str">
        <f t="shared" si="30"/>
        <v/>
      </c>
      <c r="M214" s="401" t="str">
        <f t="shared" si="31"/>
        <v/>
      </c>
    </row>
    <row r="215" spans="2:13" s="5" customFormat="1" x14ac:dyDescent="0.25">
      <c r="B215" s="46"/>
      <c r="C215" s="65"/>
      <c r="D215" s="15"/>
      <c r="E215" s="15"/>
      <c r="F215" s="24"/>
      <c r="G215" s="423"/>
      <c r="H215" s="17" t="str">
        <f t="shared" si="32"/>
        <v/>
      </c>
      <c r="I215" s="63"/>
      <c r="J215" s="61"/>
      <c r="K215" s="402"/>
      <c r="L215" s="420" t="str">
        <f t="shared" si="30"/>
        <v/>
      </c>
      <c r="M215" s="401" t="str">
        <f t="shared" si="31"/>
        <v/>
      </c>
    </row>
    <row r="216" spans="2:13" s="5" customFormat="1" x14ac:dyDescent="0.25">
      <c r="B216" s="46"/>
      <c r="C216" s="14"/>
      <c r="D216" s="15"/>
      <c r="E216" s="15"/>
      <c r="F216" s="15"/>
      <c r="G216" s="411"/>
      <c r="H216" s="17" t="str">
        <f t="shared" si="32"/>
        <v/>
      </c>
      <c r="I216" s="63"/>
      <c r="J216" s="61"/>
      <c r="K216" s="402"/>
      <c r="L216" s="420" t="str">
        <f>IF(J216="","",F239*K216)</f>
        <v/>
      </c>
      <c r="M216" s="401" t="str">
        <f t="shared" si="31"/>
        <v/>
      </c>
    </row>
    <row r="217" spans="2:13" s="5" customFormat="1" x14ac:dyDescent="0.25">
      <c r="B217" s="46"/>
      <c r="C217" s="14"/>
      <c r="D217" s="15"/>
      <c r="E217" s="15"/>
      <c r="F217" s="15"/>
      <c r="G217" s="422"/>
      <c r="H217" s="17" t="str">
        <f t="shared" si="32"/>
        <v/>
      </c>
      <c r="I217" s="63"/>
      <c r="J217" s="62"/>
      <c r="K217" s="62"/>
      <c r="L217" s="420" t="str">
        <f t="shared" ref="L217:L230" si="33">IF(J217="","",F257*K217)</f>
        <v/>
      </c>
      <c r="M217" s="401" t="str">
        <f t="shared" si="31"/>
        <v/>
      </c>
    </row>
    <row r="218" spans="2:13" s="5" customFormat="1" x14ac:dyDescent="0.25">
      <c r="B218" s="46"/>
      <c r="C218" s="14"/>
      <c r="D218" s="15"/>
      <c r="E218" s="15"/>
      <c r="F218" s="15"/>
      <c r="G218" s="422"/>
      <c r="H218" s="17" t="str">
        <f t="shared" si="32"/>
        <v/>
      </c>
      <c r="I218" s="63"/>
      <c r="J218" s="62"/>
      <c r="K218" s="62"/>
      <c r="L218" s="420" t="str">
        <f t="shared" si="33"/>
        <v/>
      </c>
      <c r="M218" s="401" t="str">
        <f t="shared" si="31"/>
        <v/>
      </c>
    </row>
    <row r="219" spans="2:13" s="5" customFormat="1" x14ac:dyDescent="0.25">
      <c r="B219" s="46"/>
      <c r="C219" s="65"/>
      <c r="D219" s="15"/>
      <c r="E219" s="15"/>
      <c r="F219" s="15"/>
      <c r="G219" s="422"/>
      <c r="H219" s="17" t="str">
        <f t="shared" si="32"/>
        <v/>
      </c>
      <c r="I219" s="63"/>
      <c r="J219" s="62"/>
      <c r="K219" s="62"/>
      <c r="L219" s="420" t="str">
        <f t="shared" si="33"/>
        <v/>
      </c>
      <c r="M219" s="401" t="str">
        <f t="shared" si="31"/>
        <v/>
      </c>
    </row>
    <row r="220" spans="2:13" s="5" customFormat="1" x14ac:dyDescent="0.25">
      <c r="B220" s="46"/>
      <c r="C220" s="14"/>
      <c r="D220" s="15"/>
      <c r="E220" s="15"/>
      <c r="F220" s="15"/>
      <c r="G220" s="422"/>
      <c r="H220" s="17" t="str">
        <f t="shared" si="32"/>
        <v/>
      </c>
      <c r="I220" s="63"/>
      <c r="J220" s="62"/>
      <c r="K220" s="62"/>
      <c r="L220" s="420" t="str">
        <f t="shared" si="33"/>
        <v/>
      </c>
      <c r="M220" s="401" t="str">
        <f t="shared" si="31"/>
        <v/>
      </c>
    </row>
    <row r="221" spans="2:13" s="5" customFormat="1" x14ac:dyDescent="0.25">
      <c r="B221" s="46"/>
      <c r="C221" s="14"/>
      <c r="D221" s="15"/>
      <c r="E221" s="15"/>
      <c r="F221" s="15"/>
      <c r="G221" s="424"/>
      <c r="H221" s="17" t="str">
        <f t="shared" si="32"/>
        <v/>
      </c>
      <c r="I221" s="63"/>
      <c r="J221" s="62"/>
      <c r="K221" s="62"/>
      <c r="L221" s="420" t="str">
        <f t="shared" si="33"/>
        <v/>
      </c>
      <c r="M221" s="401" t="str">
        <f t="shared" si="31"/>
        <v/>
      </c>
    </row>
    <row r="222" spans="2:13" s="5" customFormat="1" x14ac:dyDescent="0.25">
      <c r="B222" s="46"/>
      <c r="C222" s="65"/>
      <c r="D222" s="15"/>
      <c r="E222" s="15"/>
      <c r="F222" s="15"/>
      <c r="G222" s="422"/>
      <c r="H222" s="17" t="str">
        <f t="shared" si="32"/>
        <v/>
      </c>
      <c r="I222" s="63"/>
      <c r="J222" s="62"/>
      <c r="K222" s="62"/>
      <c r="L222" s="420" t="str">
        <f t="shared" si="33"/>
        <v/>
      </c>
      <c r="M222" s="401" t="str">
        <f t="shared" si="31"/>
        <v/>
      </c>
    </row>
    <row r="223" spans="2:13" s="5" customFormat="1" x14ac:dyDescent="0.25">
      <c r="B223" s="46"/>
      <c r="C223" s="65"/>
      <c r="D223" s="15"/>
      <c r="E223" s="15"/>
      <c r="F223" s="15"/>
      <c r="G223" s="422"/>
      <c r="H223" s="17"/>
      <c r="I223" s="63"/>
      <c r="J223" s="62"/>
      <c r="K223" s="62"/>
      <c r="L223" s="420" t="str">
        <f t="shared" si="33"/>
        <v/>
      </c>
      <c r="M223" s="401" t="str">
        <f t="shared" si="31"/>
        <v/>
      </c>
    </row>
    <row r="224" spans="2:13" s="5" customFormat="1" x14ac:dyDescent="0.25">
      <c r="B224" s="46"/>
      <c r="C224" s="14"/>
      <c r="D224" s="15"/>
      <c r="E224" s="15"/>
      <c r="F224" s="24"/>
      <c r="G224" s="423"/>
      <c r="H224" s="17"/>
      <c r="I224" s="63"/>
      <c r="J224" s="62"/>
      <c r="K224" s="62"/>
      <c r="L224" s="420" t="str">
        <f t="shared" si="33"/>
        <v/>
      </c>
      <c r="M224" s="401" t="str">
        <f t="shared" si="31"/>
        <v/>
      </c>
    </row>
    <row r="225" spans="2:13" s="5" customFormat="1" x14ac:dyDescent="0.25">
      <c r="B225" s="46"/>
      <c r="C225" s="14"/>
      <c r="D225" s="15"/>
      <c r="E225" s="15"/>
      <c r="F225" s="24"/>
      <c r="G225" s="423"/>
      <c r="H225" s="17"/>
      <c r="I225" s="63"/>
      <c r="J225" s="62"/>
      <c r="K225" s="62"/>
      <c r="L225" s="420" t="str">
        <f t="shared" si="33"/>
        <v/>
      </c>
      <c r="M225" s="401" t="str">
        <f t="shared" si="31"/>
        <v/>
      </c>
    </row>
    <row r="226" spans="2:13" s="5" customFormat="1" x14ac:dyDescent="0.25">
      <c r="B226" s="46"/>
      <c r="C226" s="14"/>
      <c r="D226" s="15"/>
      <c r="E226" s="15"/>
      <c r="F226" s="24"/>
      <c r="G226" s="423"/>
      <c r="H226" s="17" t="str">
        <f t="shared" ref="H226" si="34">IF(D226="","",F226*G226)</f>
        <v/>
      </c>
      <c r="I226" s="63"/>
      <c r="J226" s="62"/>
      <c r="K226" s="62"/>
      <c r="L226" s="420" t="str">
        <f t="shared" si="33"/>
        <v/>
      </c>
      <c r="M226" s="401" t="str">
        <f t="shared" si="31"/>
        <v/>
      </c>
    </row>
    <row r="227" spans="2:13" s="5" customFormat="1" x14ac:dyDescent="0.25">
      <c r="B227" s="46"/>
      <c r="C227" s="14"/>
      <c r="D227" s="15"/>
      <c r="E227" s="15"/>
      <c r="F227" s="24"/>
      <c r="G227" s="423"/>
      <c r="H227" s="17"/>
      <c r="I227" s="63"/>
      <c r="J227" s="62"/>
      <c r="K227" s="62"/>
      <c r="L227" s="420" t="str">
        <f t="shared" si="33"/>
        <v/>
      </c>
      <c r="M227" s="401" t="str">
        <f t="shared" si="31"/>
        <v/>
      </c>
    </row>
    <row r="228" spans="2:13" s="5" customFormat="1" x14ac:dyDescent="0.25">
      <c r="B228" s="46"/>
      <c r="C228" s="14"/>
      <c r="D228" s="15"/>
      <c r="E228" s="15"/>
      <c r="F228" s="24"/>
      <c r="G228" s="423"/>
      <c r="H228" s="17" t="str">
        <f t="shared" ref="H228" si="35">IF(D228="","",F228*G228)</f>
        <v/>
      </c>
      <c r="I228" s="63"/>
      <c r="J228" s="62"/>
      <c r="K228" s="62"/>
      <c r="L228" s="420" t="str">
        <f t="shared" si="33"/>
        <v/>
      </c>
      <c r="M228" s="401" t="str">
        <f t="shared" si="31"/>
        <v/>
      </c>
    </row>
    <row r="229" spans="2:13" s="5" customFormat="1" x14ac:dyDescent="0.25">
      <c r="B229" s="46"/>
      <c r="C229" s="14"/>
      <c r="D229" s="15"/>
      <c r="E229" s="15"/>
      <c r="F229" s="24"/>
      <c r="G229" s="423"/>
      <c r="H229" s="17"/>
      <c r="I229" s="63"/>
      <c r="J229" s="62"/>
      <c r="K229" s="62"/>
      <c r="L229" s="420" t="str">
        <f t="shared" si="33"/>
        <v/>
      </c>
      <c r="M229" s="401" t="str">
        <f t="shared" si="31"/>
        <v/>
      </c>
    </row>
    <row r="230" spans="2:13" s="5" customFormat="1" x14ac:dyDescent="0.25">
      <c r="B230" s="46"/>
      <c r="C230" s="14"/>
      <c r="D230" s="15"/>
      <c r="E230" s="15"/>
      <c r="F230" s="24"/>
      <c r="G230" s="423"/>
      <c r="H230" s="17" t="str">
        <f t="shared" ref="H230" si="36">IF(D230="","",F230*G230)</f>
        <v/>
      </c>
      <c r="I230" s="63"/>
      <c r="J230" s="62"/>
      <c r="K230" s="62"/>
      <c r="L230" s="420" t="str">
        <f t="shared" si="33"/>
        <v/>
      </c>
      <c r="M230" s="401" t="str">
        <f t="shared" si="31"/>
        <v/>
      </c>
    </row>
    <row r="231" spans="2:13" s="5" customFormat="1" x14ac:dyDescent="0.25">
      <c r="B231" s="58"/>
      <c r="C231" s="65"/>
      <c r="D231" s="15"/>
      <c r="E231" s="15"/>
      <c r="F231" s="15"/>
      <c r="G231" s="422"/>
      <c r="H231" s="17"/>
      <c r="I231" s="63"/>
      <c r="J231" s="62"/>
      <c r="K231" s="62"/>
      <c r="L231" s="420" t="str">
        <f t="shared" ref="L231:L247" si="37">IF(J231="","",F271*K231)</f>
        <v/>
      </c>
      <c r="M231" s="401" t="str">
        <f t="shared" si="31"/>
        <v/>
      </c>
    </row>
    <row r="232" spans="2:13" s="5" customFormat="1" x14ac:dyDescent="0.25">
      <c r="B232" s="58"/>
      <c r="C232" s="65"/>
      <c r="D232" s="15"/>
      <c r="E232" s="15"/>
      <c r="F232" s="15"/>
      <c r="G232" s="422"/>
      <c r="H232" s="17"/>
      <c r="I232" s="63"/>
      <c r="J232" s="62"/>
      <c r="K232" s="62"/>
      <c r="L232" s="420" t="str">
        <f t="shared" si="37"/>
        <v/>
      </c>
      <c r="M232" s="401" t="str">
        <f t="shared" si="31"/>
        <v/>
      </c>
    </row>
    <row r="233" spans="2:13" s="5" customFormat="1" x14ac:dyDescent="0.25">
      <c r="B233" s="58"/>
      <c r="C233" s="65"/>
      <c r="D233" s="15"/>
      <c r="E233" s="15"/>
      <c r="F233" s="15"/>
      <c r="G233" s="422"/>
      <c r="H233" s="17"/>
      <c r="I233" s="63"/>
      <c r="J233" s="62"/>
      <c r="K233" s="62"/>
      <c r="L233" s="420" t="str">
        <f t="shared" si="37"/>
        <v/>
      </c>
      <c r="M233" s="401" t="str">
        <f t="shared" si="31"/>
        <v/>
      </c>
    </row>
    <row r="234" spans="2:13" s="5" customFormat="1" x14ac:dyDescent="0.25">
      <c r="B234" s="58"/>
      <c r="C234" s="65"/>
      <c r="D234" s="15"/>
      <c r="E234" s="15"/>
      <c r="F234" s="15"/>
      <c r="G234" s="422"/>
      <c r="H234" s="17"/>
      <c r="I234" s="63"/>
      <c r="J234" s="62"/>
      <c r="K234" s="62"/>
      <c r="L234" s="420" t="str">
        <f t="shared" si="37"/>
        <v/>
      </c>
      <c r="M234" s="401" t="str">
        <f t="shared" si="31"/>
        <v/>
      </c>
    </row>
    <row r="235" spans="2:13" s="5" customFormat="1" x14ac:dyDescent="0.25">
      <c r="B235" s="58"/>
      <c r="C235" s="65"/>
      <c r="D235" s="15"/>
      <c r="E235" s="15"/>
      <c r="F235" s="15"/>
      <c r="G235" s="422"/>
      <c r="H235" s="17"/>
      <c r="I235" s="63"/>
      <c r="J235" s="62"/>
      <c r="K235" s="62"/>
      <c r="L235" s="420" t="str">
        <f t="shared" si="37"/>
        <v/>
      </c>
      <c r="M235" s="401" t="str">
        <f t="shared" ref="M235:M265" si="38">IF(J235="","",IF(SUM(H235)=0,"",L235/H235))</f>
        <v/>
      </c>
    </row>
    <row r="236" spans="2:13" s="5" customFormat="1" x14ac:dyDescent="0.25">
      <c r="B236" s="58"/>
      <c r="C236" s="65"/>
      <c r="D236" s="15"/>
      <c r="E236" s="15"/>
      <c r="F236" s="15"/>
      <c r="G236" s="422"/>
      <c r="H236" s="17"/>
      <c r="I236" s="63"/>
      <c r="J236" s="62"/>
      <c r="K236" s="62"/>
      <c r="L236" s="420" t="str">
        <f t="shared" si="37"/>
        <v/>
      </c>
      <c r="M236" s="401" t="str">
        <f t="shared" si="38"/>
        <v/>
      </c>
    </row>
    <row r="237" spans="2:13" s="5" customFormat="1" x14ac:dyDescent="0.25">
      <c r="B237" s="58"/>
      <c r="C237" s="65"/>
      <c r="D237" s="15"/>
      <c r="E237" s="15"/>
      <c r="F237" s="15"/>
      <c r="G237" s="422"/>
      <c r="H237" s="17"/>
      <c r="I237" s="63"/>
      <c r="J237" s="62"/>
      <c r="K237" s="62"/>
      <c r="L237" s="420" t="str">
        <f t="shared" si="37"/>
        <v/>
      </c>
      <c r="M237" s="401" t="str">
        <f t="shared" si="38"/>
        <v/>
      </c>
    </row>
    <row r="238" spans="2:13" s="5" customFormat="1" x14ac:dyDescent="0.25">
      <c r="B238" s="58"/>
      <c r="C238" s="65"/>
      <c r="D238" s="15"/>
      <c r="E238" s="15"/>
      <c r="F238" s="15"/>
      <c r="G238" s="422"/>
      <c r="H238" s="17"/>
      <c r="I238" s="63"/>
      <c r="J238" s="62"/>
      <c r="K238" s="62"/>
      <c r="L238" s="420" t="str">
        <f t="shared" si="37"/>
        <v/>
      </c>
      <c r="M238" s="401" t="str">
        <f t="shared" si="38"/>
        <v/>
      </c>
    </row>
    <row r="239" spans="2:13" s="5" customFormat="1" x14ac:dyDescent="0.25">
      <c r="B239" s="58"/>
      <c r="C239" s="65"/>
      <c r="D239" s="15"/>
      <c r="E239" s="15"/>
      <c r="F239" s="15"/>
      <c r="G239" s="422"/>
      <c r="H239" s="17"/>
      <c r="I239" s="63"/>
      <c r="J239" s="62"/>
      <c r="K239" s="62"/>
      <c r="L239" s="420" t="str">
        <f t="shared" si="37"/>
        <v/>
      </c>
      <c r="M239" s="401" t="str">
        <f t="shared" si="38"/>
        <v/>
      </c>
    </row>
    <row r="240" spans="2:13" s="5" customFormat="1" x14ac:dyDescent="0.25">
      <c r="B240" s="58"/>
      <c r="C240" s="65"/>
      <c r="D240" s="15"/>
      <c r="E240" s="15"/>
      <c r="F240" s="15"/>
      <c r="G240" s="422"/>
      <c r="H240" s="17"/>
      <c r="I240" s="63"/>
      <c r="J240" s="62"/>
      <c r="K240" s="62"/>
      <c r="L240" s="420" t="str">
        <f t="shared" si="37"/>
        <v/>
      </c>
      <c r="M240" s="401" t="str">
        <f t="shared" si="38"/>
        <v/>
      </c>
    </row>
    <row r="241" spans="2:13" s="5" customFormat="1" x14ac:dyDescent="0.25">
      <c r="B241" s="58"/>
      <c r="C241" s="65"/>
      <c r="D241" s="15"/>
      <c r="E241" s="15"/>
      <c r="F241" s="15"/>
      <c r="G241" s="422"/>
      <c r="H241" s="17"/>
      <c r="I241" s="63"/>
      <c r="J241" s="62"/>
      <c r="K241" s="62"/>
      <c r="L241" s="420" t="str">
        <f t="shared" si="37"/>
        <v/>
      </c>
      <c r="M241" s="401" t="str">
        <f t="shared" si="38"/>
        <v/>
      </c>
    </row>
    <row r="242" spans="2:13" s="5" customFormat="1" x14ac:dyDescent="0.25">
      <c r="B242" s="58"/>
      <c r="C242" s="65"/>
      <c r="D242" s="15"/>
      <c r="E242" s="15"/>
      <c r="F242" s="15"/>
      <c r="G242" s="422"/>
      <c r="H242" s="17"/>
      <c r="I242" s="63"/>
      <c r="J242" s="62"/>
      <c r="K242" s="62"/>
      <c r="L242" s="420" t="str">
        <f t="shared" si="37"/>
        <v/>
      </c>
      <c r="M242" s="401" t="str">
        <f t="shared" si="38"/>
        <v/>
      </c>
    </row>
    <row r="243" spans="2:13" s="5" customFormat="1" x14ac:dyDescent="0.25">
      <c r="B243" s="58"/>
      <c r="C243" s="65"/>
      <c r="D243" s="15"/>
      <c r="E243" s="15"/>
      <c r="F243" s="15"/>
      <c r="G243" s="422"/>
      <c r="H243" s="17"/>
      <c r="I243" s="63"/>
      <c r="J243" s="62"/>
      <c r="K243" s="62"/>
      <c r="L243" s="420" t="str">
        <f t="shared" si="37"/>
        <v/>
      </c>
      <c r="M243" s="401" t="str">
        <f t="shared" si="38"/>
        <v/>
      </c>
    </row>
    <row r="244" spans="2:13" s="5" customFormat="1" x14ac:dyDescent="0.25">
      <c r="B244" s="58"/>
      <c r="C244" s="65"/>
      <c r="D244" s="15"/>
      <c r="E244" s="15"/>
      <c r="F244" s="15"/>
      <c r="G244" s="422"/>
      <c r="H244" s="17"/>
      <c r="I244" s="63"/>
      <c r="J244" s="62"/>
      <c r="K244" s="62"/>
      <c r="L244" s="420" t="str">
        <f t="shared" si="37"/>
        <v/>
      </c>
      <c r="M244" s="401" t="str">
        <f t="shared" si="38"/>
        <v/>
      </c>
    </row>
    <row r="245" spans="2:13" s="5" customFormat="1" x14ac:dyDescent="0.25">
      <c r="B245" s="58"/>
      <c r="C245" s="65"/>
      <c r="D245" s="15"/>
      <c r="E245" s="15"/>
      <c r="F245" s="15"/>
      <c r="G245" s="422"/>
      <c r="H245" s="17"/>
      <c r="I245" s="63"/>
      <c r="J245" s="62"/>
      <c r="K245" s="62"/>
      <c r="L245" s="420" t="str">
        <f t="shared" si="37"/>
        <v/>
      </c>
      <c r="M245" s="401" t="str">
        <f t="shared" si="38"/>
        <v/>
      </c>
    </row>
    <row r="246" spans="2:13" s="5" customFormat="1" x14ac:dyDescent="0.25">
      <c r="B246" s="58"/>
      <c r="C246" s="65"/>
      <c r="D246" s="15"/>
      <c r="E246" s="15"/>
      <c r="F246" s="15"/>
      <c r="G246" s="422"/>
      <c r="H246" s="17"/>
      <c r="I246" s="63"/>
      <c r="J246" s="62"/>
      <c r="K246" s="62"/>
      <c r="L246" s="420" t="str">
        <f t="shared" si="37"/>
        <v/>
      </c>
      <c r="M246" s="401" t="str">
        <f t="shared" si="38"/>
        <v/>
      </c>
    </row>
    <row r="247" spans="2:13" s="5" customFormat="1" x14ac:dyDescent="0.25">
      <c r="B247" s="58"/>
      <c r="C247" s="65"/>
      <c r="D247" s="15"/>
      <c r="E247" s="15"/>
      <c r="F247" s="15"/>
      <c r="G247" s="422"/>
      <c r="H247" s="17"/>
      <c r="I247" s="63"/>
      <c r="J247" s="62"/>
      <c r="K247" s="62"/>
      <c r="L247" s="420" t="str">
        <f t="shared" si="37"/>
        <v/>
      </c>
      <c r="M247" s="401" t="str">
        <f t="shared" si="38"/>
        <v/>
      </c>
    </row>
    <row r="248" spans="2:13" s="5" customFormat="1" x14ac:dyDescent="0.25">
      <c r="B248" s="58"/>
      <c r="C248" s="65"/>
      <c r="D248" s="15"/>
      <c r="E248" s="15"/>
      <c r="F248" s="15"/>
      <c r="G248" s="422"/>
      <c r="H248" s="17"/>
      <c r="I248" s="63"/>
      <c r="J248" s="138"/>
      <c r="K248" s="138"/>
      <c r="L248" s="138"/>
      <c r="M248" s="401" t="str">
        <f t="shared" si="38"/>
        <v/>
      </c>
    </row>
    <row r="249" spans="2:13" s="5" customFormat="1" x14ac:dyDescent="0.25">
      <c r="B249" s="58"/>
      <c r="C249" s="65"/>
      <c r="D249" s="15"/>
      <c r="E249" s="15"/>
      <c r="F249" s="15"/>
      <c r="G249" s="422"/>
      <c r="H249" s="17"/>
      <c r="I249" s="63"/>
      <c r="J249" s="138"/>
      <c r="K249" s="138"/>
      <c r="L249" s="138"/>
      <c r="M249" s="401" t="str">
        <f t="shared" si="38"/>
        <v/>
      </c>
    </row>
    <row r="250" spans="2:13" s="5" customFormat="1" x14ac:dyDescent="0.25">
      <c r="B250" s="58"/>
      <c r="C250" s="65"/>
      <c r="D250" s="15"/>
      <c r="E250" s="15"/>
      <c r="F250" s="15"/>
      <c r="G250" s="422"/>
      <c r="H250" s="17"/>
      <c r="I250" s="63"/>
      <c r="J250" s="138"/>
      <c r="K250" s="138"/>
      <c r="L250" s="138"/>
      <c r="M250" s="401" t="str">
        <f t="shared" si="38"/>
        <v/>
      </c>
    </row>
    <row r="251" spans="2:13" s="5" customFormat="1" x14ac:dyDescent="0.25">
      <c r="B251" s="58"/>
      <c r="C251" s="65"/>
      <c r="D251" s="15"/>
      <c r="E251" s="15"/>
      <c r="F251" s="15"/>
      <c r="G251" s="422"/>
      <c r="H251" s="17"/>
      <c r="I251" s="63"/>
      <c r="J251" s="138"/>
      <c r="K251" s="138"/>
      <c r="L251" s="138"/>
      <c r="M251" s="401" t="str">
        <f t="shared" si="38"/>
        <v/>
      </c>
    </row>
    <row r="252" spans="2:13" s="5" customFormat="1" x14ac:dyDescent="0.25">
      <c r="B252" s="58"/>
      <c r="C252" s="65"/>
      <c r="D252" s="15"/>
      <c r="E252" s="15"/>
      <c r="F252" s="15"/>
      <c r="G252" s="422"/>
      <c r="H252" s="17"/>
      <c r="I252" s="63"/>
      <c r="J252" s="138"/>
      <c r="K252" s="138"/>
      <c r="L252" s="138"/>
      <c r="M252" s="401" t="str">
        <f t="shared" si="38"/>
        <v/>
      </c>
    </row>
    <row r="253" spans="2:13" s="5" customFormat="1" x14ac:dyDescent="0.25">
      <c r="B253" s="58"/>
      <c r="C253" s="65"/>
      <c r="D253" s="15"/>
      <c r="E253" s="15"/>
      <c r="F253" s="15"/>
      <c r="G253" s="422"/>
      <c r="H253" s="17"/>
      <c r="I253" s="63"/>
      <c r="J253" s="138"/>
      <c r="K253" s="138"/>
      <c r="L253" s="138"/>
      <c r="M253" s="401" t="str">
        <f t="shared" si="38"/>
        <v/>
      </c>
    </row>
    <row r="254" spans="2:13" s="5" customFormat="1" x14ac:dyDescent="0.25">
      <c r="B254" s="58"/>
      <c r="C254" s="65"/>
      <c r="D254" s="15"/>
      <c r="E254" s="15"/>
      <c r="F254" s="15"/>
      <c r="G254" s="422"/>
      <c r="H254" s="17"/>
      <c r="I254" s="63"/>
      <c r="J254" s="138"/>
      <c r="K254" s="138"/>
      <c r="L254" s="138"/>
      <c r="M254" s="401" t="str">
        <f t="shared" si="38"/>
        <v/>
      </c>
    </row>
    <row r="255" spans="2:13" s="5" customFormat="1" x14ac:dyDescent="0.25">
      <c r="B255" s="58"/>
      <c r="C255" s="65"/>
      <c r="D255" s="15"/>
      <c r="E255" s="15"/>
      <c r="F255" s="15"/>
      <c r="G255" s="422"/>
      <c r="H255" s="17"/>
      <c r="I255" s="63"/>
      <c r="J255" s="138"/>
      <c r="K255" s="138"/>
      <c r="L255" s="138"/>
      <c r="M255" s="401" t="str">
        <f t="shared" si="38"/>
        <v/>
      </c>
    </row>
    <row r="256" spans="2:13" s="5" customFormat="1" x14ac:dyDescent="0.25">
      <c r="B256" s="58"/>
      <c r="C256" s="65"/>
      <c r="D256" s="15"/>
      <c r="E256" s="15"/>
      <c r="F256" s="15"/>
      <c r="G256" s="422"/>
      <c r="H256" s="17"/>
      <c r="I256" s="63"/>
      <c r="J256" s="138"/>
      <c r="K256" s="138"/>
      <c r="L256" s="138"/>
      <c r="M256" s="401" t="str">
        <f t="shared" si="38"/>
        <v/>
      </c>
    </row>
    <row r="257" spans="2:13" s="5" customFormat="1" x14ac:dyDescent="0.25">
      <c r="B257" s="58"/>
      <c r="C257" s="65"/>
      <c r="D257" s="15"/>
      <c r="E257" s="15"/>
      <c r="F257" s="15"/>
      <c r="G257" s="422"/>
      <c r="H257" s="17"/>
      <c r="I257" s="63"/>
      <c r="J257" s="138"/>
      <c r="K257" s="138"/>
      <c r="L257" s="138"/>
      <c r="M257" s="401" t="str">
        <f t="shared" si="38"/>
        <v/>
      </c>
    </row>
    <row r="258" spans="2:13" s="5" customFormat="1" x14ac:dyDescent="0.25">
      <c r="B258" s="58"/>
      <c r="C258" s="65"/>
      <c r="D258" s="15"/>
      <c r="E258" s="15"/>
      <c r="F258" s="15"/>
      <c r="G258" s="422"/>
      <c r="H258" s="17"/>
      <c r="I258" s="63"/>
      <c r="J258" s="138"/>
      <c r="K258" s="138"/>
      <c r="L258" s="138"/>
      <c r="M258" s="401" t="str">
        <f t="shared" si="38"/>
        <v/>
      </c>
    </row>
    <row r="259" spans="2:13" s="5" customFormat="1" x14ac:dyDescent="0.25">
      <c r="B259" s="58"/>
      <c r="C259" s="65"/>
      <c r="D259" s="15"/>
      <c r="E259" s="15"/>
      <c r="F259" s="15"/>
      <c r="G259" s="422"/>
      <c r="H259" s="17"/>
      <c r="I259" s="63"/>
      <c r="J259" s="138"/>
      <c r="K259" s="138"/>
      <c r="L259" s="138"/>
      <c r="M259" s="401" t="str">
        <f t="shared" si="38"/>
        <v/>
      </c>
    </row>
    <row r="260" spans="2:13" s="5" customFormat="1" x14ac:dyDescent="0.25">
      <c r="B260" s="58"/>
      <c r="C260" s="65"/>
      <c r="D260" s="15"/>
      <c r="E260" s="15"/>
      <c r="F260" s="15"/>
      <c r="G260" s="422"/>
      <c r="H260" s="17"/>
      <c r="I260" s="63"/>
      <c r="J260" s="62"/>
      <c r="K260" s="62"/>
      <c r="L260" s="420" t="str">
        <f>IF(J260="","",F288*K260)</f>
        <v/>
      </c>
      <c r="M260" s="401" t="str">
        <f t="shared" si="38"/>
        <v/>
      </c>
    </row>
    <row r="261" spans="2:13" x14ac:dyDescent="0.25">
      <c r="B261" s="58"/>
      <c r="C261" s="65"/>
      <c r="D261" s="15"/>
      <c r="E261" s="15"/>
      <c r="F261" s="15"/>
      <c r="G261" s="422"/>
      <c r="H261" s="17"/>
      <c r="I261" s="63"/>
      <c r="J261" s="61"/>
      <c r="K261" s="62"/>
      <c r="L261" s="420" t="str">
        <f>IF(J261="","",F295*K261)</f>
        <v/>
      </c>
      <c r="M261" s="401" t="str">
        <f t="shared" si="38"/>
        <v/>
      </c>
    </row>
    <row r="262" spans="2:13" x14ac:dyDescent="0.25">
      <c r="B262" s="58"/>
      <c r="C262" s="65"/>
      <c r="D262" s="15"/>
      <c r="E262" s="15"/>
      <c r="F262" s="15"/>
      <c r="G262" s="422"/>
      <c r="H262" s="17"/>
      <c r="I262" s="63"/>
      <c r="J262" s="62"/>
      <c r="K262" s="62"/>
      <c r="L262" s="62"/>
      <c r="M262" s="401" t="str">
        <f t="shared" si="38"/>
        <v/>
      </c>
    </row>
    <row r="263" spans="2:13" x14ac:dyDescent="0.25">
      <c r="B263" s="58"/>
      <c r="C263" s="14"/>
      <c r="D263" s="15"/>
      <c r="E263" s="15"/>
      <c r="F263" s="15"/>
      <c r="G263" s="422"/>
      <c r="H263" s="17" t="str">
        <f>IF(D263="","",F263*G263)</f>
        <v/>
      </c>
      <c r="I263" s="63"/>
      <c r="J263" s="62"/>
      <c r="K263" s="62"/>
      <c r="L263" s="62"/>
      <c r="M263" s="401" t="str">
        <f t="shared" si="38"/>
        <v/>
      </c>
    </row>
    <row r="264" spans="2:13" x14ac:dyDescent="0.25">
      <c r="B264" s="58"/>
      <c r="C264" s="14"/>
      <c r="D264" s="15"/>
      <c r="E264" s="15"/>
      <c r="F264" s="15"/>
      <c r="G264" s="422"/>
      <c r="H264" s="17" t="str">
        <f>IF(D264="","",F264*G264)</f>
        <v/>
      </c>
      <c r="I264" s="63"/>
      <c r="J264" s="62"/>
      <c r="K264" s="62"/>
      <c r="L264" s="62"/>
      <c r="M264" s="401" t="str">
        <f t="shared" si="38"/>
        <v/>
      </c>
    </row>
    <row r="265" spans="2:13" x14ac:dyDescent="0.25">
      <c r="B265" s="58"/>
      <c r="C265" s="25"/>
      <c r="D265" s="61"/>
      <c r="E265" s="61"/>
      <c r="F265" s="61"/>
      <c r="G265" s="422"/>
      <c r="H265" s="17" t="str">
        <f>IF(D265="","",F265*G265)</f>
        <v/>
      </c>
      <c r="I265" s="63"/>
      <c r="J265" s="711"/>
      <c r="K265" s="711"/>
      <c r="L265" s="711"/>
      <c r="M265" s="401" t="str">
        <f t="shared" si="38"/>
        <v/>
      </c>
    </row>
    <row r="266" spans="2:13" s="28" customFormat="1" ht="25" customHeight="1" x14ac:dyDescent="0.25">
      <c r="B266" s="84" t="str">
        <f>$B$12</f>
        <v>C3.1</v>
      </c>
      <c r="C266" s="30" t="str">
        <f>"TOTAL CARRIED FORWARD"&amp;IF(H266=H$1," TO SUMMARY","")</f>
        <v>TOTAL CARRIED FORWARD TO SUMMARY</v>
      </c>
      <c r="D266" s="31"/>
      <c r="E266" s="31"/>
      <c r="F266" s="32"/>
      <c r="G266" s="31"/>
      <c r="H266" s="33">
        <f>SUM(H202:H265)</f>
        <v>524300</v>
      </c>
      <c r="I266" s="34"/>
      <c r="J266" s="408"/>
      <c r="K266" s="406"/>
      <c r="L266" s="418">
        <f>SUM(L202:L265)</f>
        <v>128388.9</v>
      </c>
      <c r="M266" s="407" t="str">
        <f>IF(F256="","",IF(SUM(I256)=0,"",L266/I246))</f>
        <v/>
      </c>
    </row>
  </sheetData>
  <mergeCells count="31">
    <mergeCell ref="X30:AA30"/>
    <mergeCell ref="X15:Y15"/>
    <mergeCell ref="AA15:AC15"/>
    <mergeCell ref="V17:W17"/>
    <mergeCell ref="V18:W18"/>
    <mergeCell ref="V19:W19"/>
    <mergeCell ref="B197:G197"/>
    <mergeCell ref="H197:H200"/>
    <mergeCell ref="B198:G200"/>
    <mergeCell ref="B136:G136"/>
    <mergeCell ref="H136:H139"/>
    <mergeCell ref="B137:G139"/>
    <mergeCell ref="B194:D194"/>
    <mergeCell ref="F194:H196"/>
    <mergeCell ref="B195:D195"/>
    <mergeCell ref="B196:D196"/>
    <mergeCell ref="B63:G63"/>
    <mergeCell ref="H63:H66"/>
    <mergeCell ref="B64:G66"/>
    <mergeCell ref="B133:D133"/>
    <mergeCell ref="F133:H135"/>
    <mergeCell ref="B134:D134"/>
    <mergeCell ref="B135:D135"/>
    <mergeCell ref="F3:H3"/>
    <mergeCell ref="B6:G6"/>
    <mergeCell ref="H6:H9"/>
    <mergeCell ref="B7:G9"/>
    <mergeCell ref="B60:D60"/>
    <mergeCell ref="F60:H62"/>
    <mergeCell ref="B61:D61"/>
    <mergeCell ref="B62:D62"/>
  </mergeCells>
  <conditionalFormatting sqref="G11:H59 G68:H132 G141:H193 G202:H266">
    <cfRule type="expression" dxfId="28"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59" max="7"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5">
    <tabColor rgb="FFFFFF00"/>
  </sheetPr>
  <dimension ref="A1:N263"/>
  <sheetViews>
    <sheetView view="pageBreakPreview" zoomScaleNormal="100" zoomScaleSheetLayoutView="100" workbookViewId="0">
      <pane ySplit="2" topLeftCell="A16" activePane="bottomLeft" state="frozen"/>
      <selection activeCell="B26" sqref="B26:G26"/>
      <selection pane="bottomLeft" activeCell="B26" sqref="B26:G26"/>
    </sheetView>
  </sheetViews>
  <sheetFormatPr defaultColWidth="6.81640625" defaultRowHeight="12.5" x14ac:dyDescent="0.25"/>
  <cols>
    <col min="1" max="1" width="0.81640625" style="36" customWidth="1"/>
    <col min="2" max="2" width="11.7265625" style="36" customWidth="1"/>
    <col min="3" max="3" width="45.7265625" style="36" customWidth="1"/>
    <col min="4" max="4" width="12.453125" style="36" customWidth="1"/>
    <col min="5" max="5" width="5" style="36" customWidth="1"/>
    <col min="6" max="8" width="15.7265625" style="36" customWidth="1"/>
    <col min="9" max="9" width="0.81640625" style="36" customWidth="1"/>
    <col min="10" max="10" width="6.81640625" style="36"/>
    <col min="11" max="11" width="12.81640625" style="36" customWidth="1"/>
    <col min="12" max="12" width="14.1796875" style="36" customWidth="1"/>
    <col min="13" max="14" width="14.7265625" style="36" customWidth="1"/>
    <col min="15" max="16384" width="6.81640625" style="36"/>
  </cols>
  <sheetData>
    <row r="1" spans="1:14" s="250" customFormat="1" ht="11.5" x14ac:dyDescent="0.25">
      <c r="A1" s="242"/>
      <c r="B1" s="243"/>
      <c r="C1" s="244" t="s">
        <v>993</v>
      </c>
      <c r="D1" s="245"/>
      <c r="E1" s="245"/>
      <c r="F1" s="246" t="s">
        <v>994</v>
      </c>
      <c r="G1" s="244">
        <v>3</v>
      </c>
      <c r="H1" s="247">
        <f>MAX(H2:H263)</f>
        <v>676751</v>
      </c>
      <c r="I1" s="247">
        <f>MAX(I2:I226)</f>
        <v>0</v>
      </c>
      <c r="J1" s="248"/>
      <c r="K1" s="249"/>
      <c r="L1" s="247">
        <f>MAX(L2:L263)</f>
        <v>114615.2</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A3" s="1"/>
      <c r="B3" s="2" t="str">
        <f>Client1</f>
        <v>Province of KwaZulu-Natal</v>
      </c>
      <c r="C3" s="3"/>
      <c r="D3" s="4"/>
      <c r="E3" s="4"/>
      <c r="F3" s="1124" t="str">
        <f>"Contract No. "&amp;ContractNo</f>
        <v>Contract No. ZNB 00399/00000/HOD/INF/21/T</v>
      </c>
      <c r="G3" s="1124"/>
      <c r="H3" s="1124"/>
      <c r="I3" s="5"/>
      <c r="J3" s="1"/>
    </row>
    <row r="4" spans="1:14" ht="13" x14ac:dyDescent="0.25">
      <c r="A4" s="1"/>
      <c r="B4" s="87" t="str">
        <f>Client2</f>
        <v>Department of Transport</v>
      </c>
      <c r="C4" s="3"/>
      <c r="D4" s="4"/>
      <c r="E4" s="4"/>
      <c r="F4" s="4"/>
      <c r="G4" s="1"/>
      <c r="H4" s="5"/>
      <c r="I4" s="5"/>
      <c r="J4" s="1"/>
    </row>
    <row r="5" spans="1:14" x14ac:dyDescent="0.25">
      <c r="A5" s="1"/>
      <c r="B5" s="77"/>
      <c r="C5" s="77"/>
      <c r="D5" s="78"/>
      <c r="E5" s="78"/>
      <c r="F5" s="78"/>
      <c r="G5" s="79"/>
      <c r="H5" s="89"/>
      <c r="I5" s="5"/>
      <c r="J5" s="1"/>
      <c r="K5" s="1"/>
      <c r="L5" s="1"/>
      <c r="M5" s="1"/>
      <c r="N5" s="1"/>
    </row>
    <row r="6" spans="1:14" ht="13" x14ac:dyDescent="0.25">
      <c r="A6" s="1"/>
      <c r="B6" s="1112" t="s">
        <v>8</v>
      </c>
      <c r="C6" s="1113"/>
      <c r="D6" s="1113"/>
      <c r="E6" s="1113"/>
      <c r="F6" s="1113"/>
      <c r="G6" s="1113"/>
      <c r="H6" s="1121" t="str">
        <f>"CHAPTER "&amp;B12</f>
        <v>CHAPTER C3.2</v>
      </c>
      <c r="I6" s="6"/>
      <c r="J6" s="1"/>
    </row>
    <row r="7" spans="1:14" ht="7.5" customHeight="1" x14ac:dyDescent="0.25">
      <c r="A7" s="1"/>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c r="J7" s="1"/>
    </row>
    <row r="8" spans="1:14" ht="12.75" customHeight="1" x14ac:dyDescent="0.25">
      <c r="A8" s="1"/>
      <c r="B8" s="1117"/>
      <c r="C8" s="1118"/>
      <c r="D8" s="1118"/>
      <c r="E8" s="1118"/>
      <c r="F8" s="1118"/>
      <c r="G8" s="1118"/>
      <c r="H8" s="1122"/>
      <c r="I8" s="8"/>
      <c r="J8" s="1"/>
    </row>
    <row r="9" spans="1:14" ht="7.5" customHeight="1" x14ac:dyDescent="0.25">
      <c r="A9" s="1"/>
      <c r="B9" s="1119"/>
      <c r="C9" s="1120"/>
      <c r="D9" s="1120"/>
      <c r="E9" s="1120"/>
      <c r="F9" s="1120"/>
      <c r="G9" s="1120"/>
      <c r="H9" s="1123"/>
      <c r="I9" s="8"/>
      <c r="J9" s="1"/>
    </row>
    <row r="10" spans="1:14" ht="25" customHeight="1" x14ac:dyDescent="0.25">
      <c r="A10" s="9"/>
      <c r="B10" s="10" t="s">
        <v>0</v>
      </c>
      <c r="C10" s="11" t="s">
        <v>1</v>
      </c>
      <c r="D10" s="11" t="s">
        <v>2</v>
      </c>
      <c r="E10" s="11"/>
      <c r="F10" s="11" t="s">
        <v>3</v>
      </c>
      <c r="G10" s="11" t="s">
        <v>4</v>
      </c>
      <c r="H10" s="11" t="s">
        <v>5</v>
      </c>
      <c r="I10" s="12"/>
      <c r="J10" s="408" t="s">
        <v>996</v>
      </c>
      <c r="K10" s="253" t="s">
        <v>997</v>
      </c>
      <c r="L10" s="253" t="s">
        <v>998</v>
      </c>
      <c r="M10" s="253" t="s">
        <v>999</v>
      </c>
    </row>
    <row r="11" spans="1:14" ht="13" x14ac:dyDescent="0.3">
      <c r="A11" s="9"/>
      <c r="B11" s="791"/>
      <c r="C11" s="792"/>
      <c r="D11" s="72"/>
      <c r="E11" s="72"/>
      <c r="F11" s="72"/>
      <c r="G11" s="713"/>
      <c r="H11" s="17" t="str">
        <f t="shared" ref="H11:H61" si="0">IF(D11="","",F11*G11)</f>
        <v/>
      </c>
      <c r="I11" s="714"/>
      <c r="J11" s="61"/>
      <c r="K11" s="399"/>
      <c r="L11" s="420" t="str">
        <f t="shared" ref="L11" si="1">IF(J11="","",F11*K11)</f>
        <v/>
      </c>
      <c r="M11" s="401" t="str">
        <f t="shared" ref="M11" si="2">IF(J11="","",IF(SUM(H11)=0,"",L11/H11))</f>
        <v/>
      </c>
    </row>
    <row r="12" spans="1:14" ht="13" x14ac:dyDescent="0.25">
      <c r="A12" s="1"/>
      <c r="B12" s="146" t="s">
        <v>509</v>
      </c>
      <c r="C12" s="672" t="s">
        <v>508</v>
      </c>
      <c r="D12" s="15"/>
      <c r="E12" s="15"/>
      <c r="F12" s="15"/>
      <c r="G12" s="411"/>
      <c r="H12" s="17" t="str">
        <f t="shared" si="0"/>
        <v/>
      </c>
      <c r="I12" s="18"/>
      <c r="J12" s="61"/>
      <c r="K12" s="399"/>
      <c r="L12" s="420" t="str">
        <f t="shared" ref="L12:L61" si="3">IF(J12="","",F12*K12)</f>
        <v/>
      </c>
      <c r="M12" s="401" t="str">
        <f t="shared" ref="M12:M61" si="4">IF(J12="","",IF(SUM(H12)=0,"",L12/H12))</f>
        <v/>
      </c>
    </row>
    <row r="13" spans="1:14" x14ac:dyDescent="0.25">
      <c r="A13" s="1"/>
      <c r="B13" s="58"/>
      <c r="C13" s="65"/>
      <c r="D13" s="15"/>
      <c r="E13" s="15"/>
      <c r="F13" s="15"/>
      <c r="G13" s="411"/>
      <c r="H13" s="17" t="str">
        <f t="shared" si="0"/>
        <v/>
      </c>
      <c r="I13" s="18"/>
      <c r="J13" s="61"/>
      <c r="K13" s="399"/>
      <c r="L13" s="420" t="str">
        <f t="shared" si="3"/>
        <v/>
      </c>
      <c r="M13" s="401" t="str">
        <f t="shared" si="4"/>
        <v/>
      </c>
    </row>
    <row r="14" spans="1:14" ht="13" x14ac:dyDescent="0.25">
      <c r="A14" s="1"/>
      <c r="B14" s="146" t="s">
        <v>507</v>
      </c>
      <c r="C14" s="672" t="s">
        <v>506</v>
      </c>
      <c r="D14" s="15"/>
      <c r="E14" s="15"/>
      <c r="F14" s="15"/>
      <c r="G14" s="411"/>
      <c r="H14" s="17" t="str">
        <f t="shared" si="0"/>
        <v/>
      </c>
      <c r="I14" s="18"/>
      <c r="J14" s="61"/>
      <c r="K14" s="399"/>
      <c r="L14" s="420" t="str">
        <f t="shared" si="3"/>
        <v/>
      </c>
      <c r="M14" s="401" t="str">
        <f t="shared" si="4"/>
        <v/>
      </c>
    </row>
    <row r="15" spans="1:14" x14ac:dyDescent="0.25">
      <c r="A15" s="1"/>
      <c r="B15" s="58"/>
      <c r="C15" s="65"/>
      <c r="D15" s="15"/>
      <c r="E15" s="15"/>
      <c r="F15" s="15"/>
      <c r="G15" s="411"/>
      <c r="H15" s="17" t="str">
        <f t="shared" si="0"/>
        <v/>
      </c>
      <c r="I15" s="18"/>
      <c r="J15" s="61"/>
      <c r="K15" s="399"/>
      <c r="L15" s="420" t="str">
        <f t="shared" si="3"/>
        <v/>
      </c>
      <c r="M15" s="401" t="str">
        <f t="shared" si="4"/>
        <v/>
      </c>
    </row>
    <row r="16" spans="1:14" ht="25" x14ac:dyDescent="0.25">
      <c r="A16" s="1"/>
      <c r="B16" s="58" t="s">
        <v>505</v>
      </c>
      <c r="C16" s="65" t="s">
        <v>504</v>
      </c>
      <c r="D16" s="15"/>
      <c r="E16" s="15"/>
      <c r="F16" s="24"/>
      <c r="G16" s="703"/>
      <c r="H16" s="17" t="str">
        <f t="shared" si="0"/>
        <v/>
      </c>
      <c r="I16" s="57"/>
      <c r="J16" s="61"/>
      <c r="K16" s="400"/>
      <c r="L16" s="420" t="str">
        <f t="shared" si="3"/>
        <v/>
      </c>
      <c r="M16" s="401" t="str">
        <f t="shared" si="4"/>
        <v/>
      </c>
    </row>
    <row r="17" spans="1:13" x14ac:dyDescent="0.25">
      <c r="A17" s="1"/>
      <c r="B17" s="58"/>
      <c r="C17" s="65"/>
      <c r="D17" s="15"/>
      <c r="E17" s="15"/>
      <c r="F17" s="24"/>
      <c r="G17" s="411"/>
      <c r="H17" s="17" t="str">
        <f t="shared" si="0"/>
        <v/>
      </c>
      <c r="I17" s="18"/>
      <c r="J17" s="61"/>
      <c r="K17" s="399"/>
      <c r="L17" s="420" t="str">
        <f t="shared" si="3"/>
        <v/>
      </c>
      <c r="M17" s="401" t="str">
        <f t="shared" si="4"/>
        <v/>
      </c>
    </row>
    <row r="18" spans="1:13" ht="14.5" x14ac:dyDescent="0.25">
      <c r="A18" s="1"/>
      <c r="B18" s="58" t="s">
        <v>39</v>
      </c>
      <c r="C18" s="65" t="s">
        <v>436</v>
      </c>
      <c r="D18" s="15" t="s">
        <v>23</v>
      </c>
      <c r="E18" s="15"/>
      <c r="F18" s="24">
        <v>90</v>
      </c>
      <c r="G18" s="423">
        <v>45</v>
      </c>
      <c r="H18" s="17">
        <f t="shared" si="0"/>
        <v>4050</v>
      </c>
      <c r="I18" s="18"/>
      <c r="J18" s="62" t="s">
        <v>1721</v>
      </c>
      <c r="K18" s="399">
        <f>ROUND(Labour_perc_roads*G18,0)</f>
        <v>1</v>
      </c>
      <c r="L18" s="420">
        <f t="shared" si="3"/>
        <v>90</v>
      </c>
      <c r="M18" s="401">
        <f t="shared" si="4"/>
        <v>2.2222222222222223E-2</v>
      </c>
    </row>
    <row r="19" spans="1:13" x14ac:dyDescent="0.25">
      <c r="A19" s="1"/>
      <c r="B19" s="58"/>
      <c r="C19" s="65"/>
      <c r="D19" s="15"/>
      <c r="E19" s="15"/>
      <c r="F19" s="24"/>
      <c r="G19" s="411"/>
      <c r="H19" s="17" t="str">
        <f t="shared" si="0"/>
        <v/>
      </c>
      <c r="I19" s="60"/>
      <c r="J19" s="61"/>
      <c r="K19" s="399"/>
      <c r="L19" s="420" t="str">
        <f t="shared" si="3"/>
        <v/>
      </c>
      <c r="M19" s="401" t="str">
        <f t="shared" si="4"/>
        <v/>
      </c>
    </row>
    <row r="20" spans="1:13" ht="14.5" x14ac:dyDescent="0.25">
      <c r="A20" s="1"/>
      <c r="B20" s="58" t="s">
        <v>41</v>
      </c>
      <c r="C20" s="70" t="s">
        <v>435</v>
      </c>
      <c r="D20" s="15" t="s">
        <v>23</v>
      </c>
      <c r="E20" s="15"/>
      <c r="F20" s="24">
        <f>Quantities!$S$303</f>
        <v>90</v>
      </c>
      <c r="G20" s="421">
        <v>50</v>
      </c>
      <c r="H20" s="17">
        <f t="shared" si="0"/>
        <v>4500</v>
      </c>
      <c r="I20" s="63"/>
      <c r="J20" s="62" t="s">
        <v>1721</v>
      </c>
      <c r="K20" s="399">
        <f>ROUND(Labour_perc_roads*G20,0)</f>
        <v>1</v>
      </c>
      <c r="L20" s="420">
        <f t="shared" si="3"/>
        <v>90</v>
      </c>
      <c r="M20" s="401">
        <f t="shared" si="4"/>
        <v>0.02</v>
      </c>
    </row>
    <row r="21" spans="1:13" x14ac:dyDescent="0.25">
      <c r="A21" s="1"/>
      <c r="B21" s="58"/>
      <c r="C21" s="68"/>
      <c r="D21" s="61"/>
      <c r="E21" s="61"/>
      <c r="F21" s="24"/>
      <c r="G21" s="421"/>
      <c r="H21" s="17" t="str">
        <f t="shared" si="0"/>
        <v/>
      </c>
      <c r="I21" s="63"/>
      <c r="J21" s="61"/>
      <c r="K21" s="402"/>
      <c r="L21" s="420" t="str">
        <f t="shared" si="3"/>
        <v/>
      </c>
      <c r="M21" s="401" t="str">
        <f t="shared" si="4"/>
        <v/>
      </c>
    </row>
    <row r="22" spans="1:13" ht="50" x14ac:dyDescent="0.25">
      <c r="A22" s="1"/>
      <c r="B22" s="58" t="s">
        <v>503</v>
      </c>
      <c r="C22" s="70" t="s">
        <v>502</v>
      </c>
      <c r="D22" s="15" t="s">
        <v>23</v>
      </c>
      <c r="E22" s="15" t="s">
        <v>996</v>
      </c>
      <c r="F22" s="24">
        <v>80</v>
      </c>
      <c r="G22" s="423">
        <v>185</v>
      </c>
      <c r="H22" s="17">
        <f t="shared" si="0"/>
        <v>14800</v>
      </c>
      <c r="I22" s="63"/>
      <c r="J22" s="61" t="s">
        <v>996</v>
      </c>
      <c r="K22" s="577">
        <f>_Excavation</f>
        <v>151</v>
      </c>
      <c r="L22" s="420">
        <f t="shared" si="3"/>
        <v>12080</v>
      </c>
      <c r="M22" s="401">
        <f t="shared" si="4"/>
        <v>0.81621621621621621</v>
      </c>
    </row>
    <row r="23" spans="1:13" x14ac:dyDescent="0.25">
      <c r="A23" s="1"/>
      <c r="B23" s="58"/>
      <c r="C23" s="68"/>
      <c r="D23" s="61"/>
      <c r="E23" s="61"/>
      <c r="F23" s="24"/>
      <c r="G23" s="421"/>
      <c r="H23" s="17" t="str">
        <f t="shared" si="0"/>
        <v/>
      </c>
      <c r="I23" s="63"/>
      <c r="J23" s="61"/>
      <c r="K23" s="577"/>
      <c r="L23" s="420" t="str">
        <f t="shared" si="3"/>
        <v/>
      </c>
      <c r="M23" s="401" t="str">
        <f t="shared" si="4"/>
        <v/>
      </c>
    </row>
    <row r="24" spans="1:13" ht="25" x14ac:dyDescent="0.25">
      <c r="A24" s="1"/>
      <c r="B24" s="58" t="s">
        <v>501</v>
      </c>
      <c r="C24" s="65" t="s">
        <v>1783</v>
      </c>
      <c r="D24" s="15" t="s">
        <v>23</v>
      </c>
      <c r="E24" s="15"/>
      <c r="F24" s="24">
        <f>Quantities!$S$308</f>
        <v>112</v>
      </c>
      <c r="G24" s="422">
        <v>250</v>
      </c>
      <c r="H24" s="17">
        <f t="shared" si="0"/>
        <v>28000</v>
      </c>
      <c r="I24" s="63"/>
      <c r="J24" s="62" t="s">
        <v>1721</v>
      </c>
      <c r="K24" s="399">
        <f>ROUND(Labour_perc_roads*G24,0)</f>
        <v>7</v>
      </c>
      <c r="L24" s="420">
        <f t="shared" si="3"/>
        <v>784</v>
      </c>
      <c r="M24" s="401">
        <f t="shared" si="4"/>
        <v>2.8000000000000001E-2</v>
      </c>
    </row>
    <row r="25" spans="1:13" x14ac:dyDescent="0.25">
      <c r="A25" s="1"/>
      <c r="B25" s="58"/>
      <c r="C25" s="68"/>
      <c r="D25" s="61"/>
      <c r="E25" s="61"/>
      <c r="F25" s="24"/>
      <c r="G25" s="421"/>
      <c r="H25" s="17" t="str">
        <f t="shared" si="0"/>
        <v/>
      </c>
      <c r="I25" s="63"/>
      <c r="J25" s="61"/>
      <c r="K25" s="402"/>
      <c r="L25" s="420" t="str">
        <f t="shared" si="3"/>
        <v/>
      </c>
      <c r="M25" s="401" t="str">
        <f t="shared" si="4"/>
        <v/>
      </c>
    </row>
    <row r="26" spans="1:13" ht="13" x14ac:dyDescent="0.25">
      <c r="A26" s="1"/>
      <c r="B26" s="146" t="s">
        <v>500</v>
      </c>
      <c r="C26" s="672" t="s">
        <v>499</v>
      </c>
      <c r="D26" s="15"/>
      <c r="E26" s="15"/>
      <c r="F26" s="24"/>
      <c r="G26" s="411"/>
      <c r="H26" s="17" t="str">
        <f t="shared" si="0"/>
        <v/>
      </c>
      <c r="I26" s="18"/>
      <c r="J26" s="62"/>
      <c r="K26" s="62"/>
      <c r="L26" s="420" t="str">
        <f t="shared" si="3"/>
        <v/>
      </c>
      <c r="M26" s="401" t="str">
        <f t="shared" si="4"/>
        <v/>
      </c>
    </row>
    <row r="27" spans="1:13" x14ac:dyDescent="0.25">
      <c r="A27" s="1"/>
      <c r="B27" s="58"/>
      <c r="C27" s="65"/>
      <c r="D27" s="15"/>
      <c r="E27" s="15"/>
      <c r="F27" s="24"/>
      <c r="G27" s="411"/>
      <c r="H27" s="17" t="str">
        <f t="shared" si="0"/>
        <v/>
      </c>
      <c r="I27" s="18"/>
      <c r="J27" s="62"/>
      <c r="K27" s="62"/>
      <c r="L27" s="420" t="str">
        <f t="shared" si="3"/>
        <v/>
      </c>
      <c r="M27" s="401" t="str">
        <f t="shared" si="4"/>
        <v/>
      </c>
    </row>
    <row r="28" spans="1:13" ht="14.5" x14ac:dyDescent="0.25">
      <c r="A28" s="1"/>
      <c r="B28" s="58" t="s">
        <v>498</v>
      </c>
      <c r="C28" s="65" t="s">
        <v>497</v>
      </c>
      <c r="D28" s="15" t="s">
        <v>23</v>
      </c>
      <c r="E28" s="15" t="s">
        <v>996</v>
      </c>
      <c r="F28" s="24">
        <f>F18*0.9</f>
        <v>81</v>
      </c>
      <c r="G28" s="422">
        <v>65</v>
      </c>
      <c r="H28" s="17">
        <f t="shared" si="0"/>
        <v>5265</v>
      </c>
      <c r="I28" s="57"/>
      <c r="J28" s="62" t="s">
        <v>996</v>
      </c>
      <c r="K28" s="606">
        <f>_Backfill</f>
        <v>51</v>
      </c>
      <c r="L28" s="420">
        <f t="shared" si="3"/>
        <v>4131</v>
      </c>
      <c r="M28" s="401">
        <f t="shared" si="4"/>
        <v>0.7846153846153846</v>
      </c>
    </row>
    <row r="29" spans="1:13" x14ac:dyDescent="0.25">
      <c r="A29" s="1"/>
      <c r="B29" s="58"/>
      <c r="C29" s="65"/>
      <c r="D29" s="15"/>
      <c r="E29" s="15"/>
      <c r="F29" s="24"/>
      <c r="G29" s="422"/>
      <c r="H29" s="17" t="str">
        <f t="shared" si="0"/>
        <v/>
      </c>
      <c r="I29" s="18"/>
      <c r="J29" s="62"/>
      <c r="K29" s="62"/>
      <c r="L29" s="420" t="str">
        <f t="shared" si="3"/>
        <v/>
      </c>
      <c r="M29" s="401" t="str">
        <f t="shared" si="4"/>
        <v/>
      </c>
    </row>
    <row r="30" spans="1:13" x14ac:dyDescent="0.25">
      <c r="A30" s="1"/>
      <c r="B30" s="58" t="s">
        <v>496</v>
      </c>
      <c r="C30" s="65" t="s">
        <v>495</v>
      </c>
      <c r="D30" s="15"/>
      <c r="E30" s="15"/>
      <c r="F30" s="24"/>
      <c r="G30" s="423"/>
      <c r="H30" s="17" t="str">
        <f t="shared" si="0"/>
        <v/>
      </c>
      <c r="I30" s="18"/>
      <c r="J30" s="62"/>
      <c r="K30" s="588"/>
      <c r="L30" s="420" t="str">
        <f t="shared" si="3"/>
        <v/>
      </c>
      <c r="M30" s="401" t="str">
        <f t="shared" si="4"/>
        <v/>
      </c>
    </row>
    <row r="31" spans="1:13" x14ac:dyDescent="0.25">
      <c r="A31" s="1"/>
      <c r="B31" s="58"/>
      <c r="C31" s="65"/>
      <c r="D31" s="15"/>
      <c r="E31" s="15"/>
      <c r="F31" s="24"/>
      <c r="G31" s="423"/>
      <c r="H31" s="17" t="str">
        <f t="shared" si="0"/>
        <v/>
      </c>
      <c r="I31" s="18"/>
      <c r="J31" s="62"/>
      <c r="K31" s="588"/>
      <c r="L31" s="420" t="str">
        <f t="shared" si="3"/>
        <v/>
      </c>
      <c r="M31" s="401" t="str">
        <f t="shared" si="4"/>
        <v/>
      </c>
    </row>
    <row r="32" spans="1:13" ht="14.5" x14ac:dyDescent="0.25">
      <c r="A32" s="1"/>
      <c r="B32" s="58" t="s">
        <v>39</v>
      </c>
      <c r="C32" s="65" t="s">
        <v>1856</v>
      </c>
      <c r="D32" s="15" t="s">
        <v>23</v>
      </c>
      <c r="E32" s="15"/>
      <c r="F32" s="580">
        <f>F34</f>
        <v>17</v>
      </c>
      <c r="G32" s="411">
        <v>120</v>
      </c>
      <c r="H32" s="17">
        <f t="shared" si="0"/>
        <v>2040</v>
      </c>
      <c r="I32" s="18"/>
      <c r="J32" s="62" t="s">
        <v>996</v>
      </c>
      <c r="K32" s="588">
        <f>_Backfill</f>
        <v>51</v>
      </c>
      <c r="L32" s="420">
        <f t="shared" si="3"/>
        <v>867</v>
      </c>
      <c r="M32" s="401">
        <f t="shared" si="4"/>
        <v>0.42499999999999999</v>
      </c>
    </row>
    <row r="33" spans="1:13" x14ac:dyDescent="0.25">
      <c r="A33" s="1"/>
      <c r="B33" s="58"/>
      <c r="C33" s="65"/>
      <c r="D33" s="15"/>
      <c r="E33" s="15"/>
      <c r="F33" s="15"/>
      <c r="G33" s="422"/>
      <c r="H33" s="17" t="str">
        <f t="shared" si="0"/>
        <v/>
      </c>
      <c r="I33" s="18"/>
      <c r="J33" s="62"/>
      <c r="K33" s="399"/>
      <c r="L33" s="420" t="str">
        <f t="shared" si="3"/>
        <v/>
      </c>
      <c r="M33" s="401" t="str">
        <f t="shared" si="4"/>
        <v/>
      </c>
    </row>
    <row r="34" spans="1:13" ht="14.5" x14ac:dyDescent="0.25">
      <c r="A34" s="1"/>
      <c r="B34" s="58" t="s">
        <v>41</v>
      </c>
      <c r="C34" s="65" t="s">
        <v>1857</v>
      </c>
      <c r="D34" s="15" t="s">
        <v>23</v>
      </c>
      <c r="E34" s="15"/>
      <c r="F34" s="579">
        <v>17</v>
      </c>
      <c r="G34" s="422">
        <v>75</v>
      </c>
      <c r="H34" s="17">
        <f t="shared" si="0"/>
        <v>1275</v>
      </c>
      <c r="I34" s="18"/>
      <c r="J34" s="62" t="s">
        <v>1721</v>
      </c>
      <c r="K34" s="399">
        <f>ROUND(Labour_perc_roads*G34,0)</f>
        <v>2</v>
      </c>
      <c r="L34" s="420">
        <f t="shared" si="3"/>
        <v>34</v>
      </c>
      <c r="M34" s="401">
        <f t="shared" si="4"/>
        <v>2.6666666666666668E-2</v>
      </c>
    </row>
    <row r="35" spans="1:13" x14ac:dyDescent="0.25">
      <c r="A35" s="1"/>
      <c r="B35" s="58"/>
      <c r="C35" s="65"/>
      <c r="D35" s="15"/>
      <c r="E35" s="15"/>
      <c r="F35" s="24"/>
      <c r="G35" s="422"/>
      <c r="H35" s="17" t="str">
        <f t="shared" si="0"/>
        <v/>
      </c>
      <c r="I35" s="57"/>
      <c r="J35" s="62"/>
      <c r="K35" s="62"/>
      <c r="L35" s="420" t="str">
        <f t="shared" si="3"/>
        <v/>
      </c>
      <c r="M35" s="401" t="str">
        <f t="shared" si="4"/>
        <v/>
      </c>
    </row>
    <row r="36" spans="1:13" ht="13" x14ac:dyDescent="0.25">
      <c r="A36" s="1"/>
      <c r="B36" s="146" t="s">
        <v>494</v>
      </c>
      <c r="C36" s="672" t="s">
        <v>493</v>
      </c>
      <c r="D36" s="15"/>
      <c r="E36" s="15"/>
      <c r="F36" s="24"/>
      <c r="G36" s="411"/>
      <c r="H36" s="17" t="str">
        <f t="shared" si="0"/>
        <v/>
      </c>
      <c r="I36" s="18"/>
      <c r="J36" s="62"/>
      <c r="K36" s="62"/>
      <c r="L36" s="420" t="str">
        <f t="shared" si="3"/>
        <v/>
      </c>
      <c r="M36" s="401" t="str">
        <f t="shared" si="4"/>
        <v/>
      </c>
    </row>
    <row r="37" spans="1:13" x14ac:dyDescent="0.25">
      <c r="A37" s="1"/>
      <c r="B37" s="58"/>
      <c r="C37" s="65"/>
      <c r="D37" s="15"/>
      <c r="E37" s="15"/>
      <c r="F37" s="24"/>
      <c r="G37" s="423"/>
      <c r="H37" s="17" t="str">
        <f t="shared" si="0"/>
        <v/>
      </c>
      <c r="I37" s="18"/>
      <c r="J37" s="62"/>
      <c r="K37" s="402"/>
      <c r="L37" s="420" t="str">
        <f t="shared" si="3"/>
        <v/>
      </c>
      <c r="M37" s="401" t="str">
        <f t="shared" si="4"/>
        <v/>
      </c>
    </row>
    <row r="38" spans="1:13" x14ac:dyDescent="0.25">
      <c r="A38" s="1"/>
      <c r="B38" s="58" t="s">
        <v>492</v>
      </c>
      <c r="C38" s="65" t="s">
        <v>1839</v>
      </c>
      <c r="D38" s="15"/>
      <c r="E38" s="15"/>
      <c r="F38" s="24"/>
      <c r="G38" s="703"/>
      <c r="H38" s="17" t="str">
        <f t="shared" si="0"/>
        <v/>
      </c>
      <c r="I38" s="18"/>
      <c r="J38" s="62"/>
      <c r="K38" s="62"/>
      <c r="L38" s="420" t="str">
        <f t="shared" si="3"/>
        <v/>
      </c>
      <c r="M38" s="401" t="str">
        <f t="shared" si="4"/>
        <v/>
      </c>
    </row>
    <row r="39" spans="1:13" x14ac:dyDescent="0.25">
      <c r="A39" s="1"/>
      <c r="B39" s="58"/>
      <c r="C39" s="65"/>
      <c r="D39" s="15"/>
      <c r="E39" s="15"/>
      <c r="F39" s="24"/>
      <c r="G39" s="411"/>
      <c r="H39" s="17" t="str">
        <f t="shared" si="0"/>
        <v/>
      </c>
      <c r="I39" s="18"/>
      <c r="J39" s="62"/>
      <c r="K39" s="62"/>
      <c r="L39" s="420" t="str">
        <f t="shared" si="3"/>
        <v/>
      </c>
      <c r="M39" s="401" t="str">
        <f t="shared" si="4"/>
        <v/>
      </c>
    </row>
    <row r="40" spans="1:13" x14ac:dyDescent="0.25">
      <c r="A40" s="1"/>
      <c r="B40" s="58" t="s">
        <v>39</v>
      </c>
      <c r="C40" s="65" t="s">
        <v>1711</v>
      </c>
      <c r="D40" s="15" t="s">
        <v>6</v>
      </c>
      <c r="E40" s="15"/>
      <c r="F40" s="24">
        <f>Quantities!$S$314</f>
        <v>35</v>
      </c>
      <c r="G40" s="411">
        <v>750</v>
      </c>
      <c r="H40" s="17">
        <f t="shared" si="0"/>
        <v>26250</v>
      </c>
      <c r="I40" s="18"/>
      <c r="J40" s="62" t="s">
        <v>1721</v>
      </c>
      <c r="K40" s="399">
        <f>ROUND(Labour_perc_roads*G40,0)</f>
        <v>22</v>
      </c>
      <c r="L40" s="420">
        <f t="shared" si="3"/>
        <v>770</v>
      </c>
      <c r="M40" s="401">
        <f t="shared" si="4"/>
        <v>2.9333333333333333E-2</v>
      </c>
    </row>
    <row r="41" spans="1:13" x14ac:dyDescent="0.25">
      <c r="A41" s="1"/>
      <c r="B41" s="58"/>
      <c r="C41" s="65"/>
      <c r="D41" s="15"/>
      <c r="E41" s="15"/>
      <c r="F41" s="24"/>
      <c r="G41" s="411"/>
      <c r="H41" s="17" t="str">
        <f t="shared" si="0"/>
        <v/>
      </c>
      <c r="I41" s="18"/>
      <c r="J41" s="62"/>
      <c r="K41" s="400"/>
      <c r="L41" s="420" t="str">
        <f t="shared" si="3"/>
        <v/>
      </c>
      <c r="M41" s="401" t="str">
        <f t="shared" si="4"/>
        <v/>
      </c>
    </row>
    <row r="42" spans="1:13" x14ac:dyDescent="0.25">
      <c r="A42" s="1"/>
      <c r="B42" s="58" t="s">
        <v>41</v>
      </c>
      <c r="C42" s="65" t="s">
        <v>1712</v>
      </c>
      <c r="D42" s="15" t="s">
        <v>6</v>
      </c>
      <c r="E42" s="15"/>
      <c r="F42" s="24">
        <f>Quantities!$S$316</f>
        <v>35</v>
      </c>
      <c r="G42" s="411">
        <v>1150</v>
      </c>
      <c r="H42" s="17">
        <f t="shared" si="0"/>
        <v>40250</v>
      </c>
      <c r="I42" s="18"/>
      <c r="J42" s="62" t="s">
        <v>1721</v>
      </c>
      <c r="K42" s="399">
        <f>ROUND(Labour_perc_roads*G42,0)</f>
        <v>33</v>
      </c>
      <c r="L42" s="420">
        <f t="shared" si="3"/>
        <v>1155</v>
      </c>
      <c r="M42" s="401">
        <f t="shared" si="4"/>
        <v>2.8695652173913042E-2</v>
      </c>
    </row>
    <row r="43" spans="1:13" x14ac:dyDescent="0.25">
      <c r="A43" s="1"/>
      <c r="B43" s="58"/>
      <c r="C43" s="65"/>
      <c r="D43" s="15"/>
      <c r="E43" s="15"/>
      <c r="F43" s="24"/>
      <c r="G43" s="411"/>
      <c r="H43" s="17" t="str">
        <f t="shared" si="0"/>
        <v/>
      </c>
      <c r="I43" s="18"/>
      <c r="J43" s="62"/>
      <c r="K43" s="400"/>
      <c r="L43" s="420" t="str">
        <f t="shared" si="3"/>
        <v/>
      </c>
      <c r="M43" s="401" t="str">
        <f t="shared" si="4"/>
        <v/>
      </c>
    </row>
    <row r="44" spans="1:13" x14ac:dyDescent="0.25">
      <c r="A44" s="1"/>
      <c r="B44" s="58" t="s">
        <v>52</v>
      </c>
      <c r="C44" s="65" t="s">
        <v>1713</v>
      </c>
      <c r="D44" s="15" t="s">
        <v>6</v>
      </c>
      <c r="E44" s="15"/>
      <c r="F44" s="24">
        <f>Quantities!$S$318</f>
        <v>100</v>
      </c>
      <c r="G44" s="411">
        <v>1300</v>
      </c>
      <c r="H44" s="17">
        <f t="shared" si="0"/>
        <v>130000</v>
      </c>
      <c r="I44" s="18"/>
      <c r="J44" s="62" t="s">
        <v>1721</v>
      </c>
      <c r="K44" s="399">
        <f>ROUND(Labour_perc_roads*G44,0)</f>
        <v>38</v>
      </c>
      <c r="L44" s="420">
        <f t="shared" si="3"/>
        <v>3800</v>
      </c>
      <c r="M44" s="401">
        <f t="shared" si="4"/>
        <v>2.923076923076923E-2</v>
      </c>
    </row>
    <row r="45" spans="1:13" x14ac:dyDescent="0.25">
      <c r="A45" s="1"/>
      <c r="B45" s="58"/>
      <c r="C45" s="65"/>
      <c r="D45" s="15"/>
      <c r="E45" s="15"/>
      <c r="F45" s="15"/>
      <c r="G45" s="422"/>
      <c r="H45" s="17" t="str">
        <f t="shared" si="0"/>
        <v/>
      </c>
      <c r="I45" s="18"/>
      <c r="J45" s="62"/>
      <c r="K45" s="62"/>
      <c r="L45" s="420" t="str">
        <f t="shared" ref="L45:L53" si="5">IF(J45="","",F45*K45)</f>
        <v/>
      </c>
      <c r="M45" s="401" t="str">
        <f t="shared" ref="M45:M53" si="6">IF(J45="","",IF(SUM(H45)=0,"",L45/H45))</f>
        <v/>
      </c>
    </row>
    <row r="46" spans="1:13" x14ac:dyDescent="0.25">
      <c r="A46" s="1"/>
      <c r="B46" s="58" t="s">
        <v>490</v>
      </c>
      <c r="C46" s="786" t="s">
        <v>489</v>
      </c>
      <c r="D46" s="61"/>
      <c r="E46" s="61"/>
      <c r="F46" s="15"/>
      <c r="G46" s="422"/>
      <c r="H46" s="17" t="str">
        <f t="shared" si="0"/>
        <v/>
      </c>
      <c r="I46" s="18"/>
      <c r="J46" s="62"/>
      <c r="K46" s="62"/>
      <c r="L46" s="420" t="str">
        <f t="shared" si="5"/>
        <v/>
      </c>
      <c r="M46" s="401" t="str">
        <f t="shared" si="6"/>
        <v/>
      </c>
    </row>
    <row r="47" spans="1:13" x14ac:dyDescent="0.25">
      <c r="A47" s="1"/>
      <c r="B47" s="58"/>
      <c r="C47" s="793"/>
      <c r="D47" s="61"/>
      <c r="E47" s="61"/>
      <c r="F47" s="15"/>
      <c r="G47" s="422"/>
      <c r="H47" s="17" t="str">
        <f t="shared" si="0"/>
        <v/>
      </c>
      <c r="I47" s="18"/>
      <c r="J47" s="62"/>
      <c r="K47" s="62"/>
      <c r="L47" s="420" t="str">
        <f t="shared" si="5"/>
        <v/>
      </c>
      <c r="M47" s="401" t="str">
        <f t="shared" si="6"/>
        <v/>
      </c>
    </row>
    <row r="48" spans="1:13" ht="46" x14ac:dyDescent="0.25">
      <c r="A48" s="1"/>
      <c r="B48" s="58" t="s">
        <v>488</v>
      </c>
      <c r="C48" s="584" t="s">
        <v>2011</v>
      </c>
      <c r="D48" s="61" t="s">
        <v>6</v>
      </c>
      <c r="E48" s="61" t="s">
        <v>996</v>
      </c>
      <c r="F48" s="578">
        <f>Quantities!$S$443</f>
        <v>160</v>
      </c>
      <c r="G48" s="422">
        <v>600</v>
      </c>
      <c r="H48" s="17">
        <f t="shared" si="0"/>
        <v>96000</v>
      </c>
      <c r="I48" s="18"/>
      <c r="J48" s="61" t="s">
        <v>996</v>
      </c>
      <c r="K48" s="605">
        <f>ROUND(Labour_perc_roads*G48,0)</f>
        <v>17</v>
      </c>
      <c r="L48" s="420">
        <f t="shared" si="5"/>
        <v>2720</v>
      </c>
      <c r="M48" s="401">
        <f t="shared" si="6"/>
        <v>2.8333333333333332E-2</v>
      </c>
    </row>
    <row r="49" spans="1:13" x14ac:dyDescent="0.25">
      <c r="A49" s="1"/>
      <c r="B49" s="58"/>
      <c r="C49" s="65"/>
      <c r="D49" s="15"/>
      <c r="E49" s="15"/>
      <c r="F49" s="15"/>
      <c r="G49" s="422"/>
      <c r="H49" s="17" t="str">
        <f t="shared" si="0"/>
        <v/>
      </c>
      <c r="I49" s="18"/>
      <c r="J49" s="62"/>
      <c r="K49" s="62"/>
      <c r="L49" s="420" t="str">
        <f t="shared" si="5"/>
        <v/>
      </c>
      <c r="M49" s="401" t="str">
        <f t="shared" si="6"/>
        <v/>
      </c>
    </row>
    <row r="50" spans="1:13" ht="26" x14ac:dyDescent="0.25">
      <c r="A50" s="1"/>
      <c r="B50" s="146" t="s">
        <v>484</v>
      </c>
      <c r="C50" s="672" t="s">
        <v>483</v>
      </c>
      <c r="D50" s="15" t="s">
        <v>6</v>
      </c>
      <c r="E50" s="15"/>
      <c r="F50" s="578">
        <f>$F$48</f>
        <v>160</v>
      </c>
      <c r="G50" s="422">
        <v>150</v>
      </c>
      <c r="H50" s="17">
        <f t="shared" si="0"/>
        <v>24000</v>
      </c>
      <c r="I50" s="18"/>
      <c r="J50" s="61"/>
      <c r="K50" s="605"/>
      <c r="L50" s="420" t="str">
        <f t="shared" si="5"/>
        <v/>
      </c>
      <c r="M50" s="401" t="str">
        <f t="shared" si="6"/>
        <v/>
      </c>
    </row>
    <row r="51" spans="1:13" x14ac:dyDescent="0.25">
      <c r="A51" s="1"/>
      <c r="B51" s="58"/>
      <c r="C51" s="65"/>
      <c r="D51" s="15"/>
      <c r="E51" s="15"/>
      <c r="F51" s="15"/>
      <c r="G51" s="422"/>
      <c r="H51" s="17" t="str">
        <f t="shared" si="0"/>
        <v/>
      </c>
      <c r="I51" s="18"/>
      <c r="J51" s="62"/>
      <c r="K51" s="62"/>
      <c r="L51" s="420" t="str">
        <f t="shared" si="5"/>
        <v/>
      </c>
      <c r="M51" s="401" t="str">
        <f t="shared" si="6"/>
        <v/>
      </c>
    </row>
    <row r="52" spans="1:13" ht="13" x14ac:dyDescent="0.25">
      <c r="A52" s="1"/>
      <c r="B52" s="146" t="s">
        <v>487</v>
      </c>
      <c r="C52" s="672" t="s">
        <v>486</v>
      </c>
      <c r="D52" s="15"/>
      <c r="E52" s="15"/>
      <c r="F52" s="15"/>
      <c r="G52" s="422"/>
      <c r="H52" s="17" t="str">
        <f t="shared" si="0"/>
        <v/>
      </c>
      <c r="I52" s="18"/>
      <c r="J52" s="62"/>
      <c r="K52" s="62"/>
      <c r="L52" s="420" t="str">
        <f t="shared" si="5"/>
        <v/>
      </c>
      <c r="M52" s="401" t="str">
        <f t="shared" si="6"/>
        <v/>
      </c>
    </row>
    <row r="53" spans="1:13" x14ac:dyDescent="0.25">
      <c r="A53" s="1"/>
      <c r="B53" s="58"/>
      <c r="C53" s="65"/>
      <c r="D53" s="15"/>
      <c r="E53" s="15"/>
      <c r="F53" s="15"/>
      <c r="G53" s="422"/>
      <c r="H53" s="17" t="str">
        <f t="shared" si="0"/>
        <v/>
      </c>
      <c r="I53" s="18"/>
      <c r="J53" s="62"/>
      <c r="K53" s="62"/>
      <c r="L53" s="420" t="str">
        <f t="shared" si="5"/>
        <v/>
      </c>
      <c r="M53" s="401" t="str">
        <f t="shared" si="6"/>
        <v/>
      </c>
    </row>
    <row r="54" spans="1:13" ht="25" x14ac:dyDescent="0.25">
      <c r="A54" s="1"/>
      <c r="B54" s="58" t="s">
        <v>485</v>
      </c>
      <c r="C54" s="65" t="s">
        <v>2105</v>
      </c>
      <c r="D54" s="15" t="s">
        <v>6</v>
      </c>
      <c r="E54" s="15"/>
      <c r="F54" s="578">
        <f>Quantities!$S$321</f>
        <v>72</v>
      </c>
      <c r="G54" s="422">
        <v>750</v>
      </c>
      <c r="H54" s="17">
        <f t="shared" si="0"/>
        <v>54000</v>
      </c>
      <c r="I54" s="18"/>
      <c r="J54" s="62" t="s">
        <v>1721</v>
      </c>
      <c r="K54" s="399">
        <f>ROUND(Labour_perc_roads*G54,0)</f>
        <v>22</v>
      </c>
      <c r="L54" s="420">
        <f t="shared" si="3"/>
        <v>1584</v>
      </c>
      <c r="M54" s="401">
        <f t="shared" si="4"/>
        <v>2.9333333333333333E-2</v>
      </c>
    </row>
    <row r="55" spans="1:13" x14ac:dyDescent="0.25">
      <c r="A55" s="1"/>
      <c r="B55" s="58"/>
      <c r="C55" s="65"/>
      <c r="D55" s="15"/>
      <c r="E55" s="15"/>
      <c r="F55" s="15"/>
      <c r="G55" s="422"/>
      <c r="H55" s="17" t="str">
        <f t="shared" si="0"/>
        <v/>
      </c>
      <c r="I55" s="18"/>
      <c r="J55" s="62"/>
      <c r="K55" s="62"/>
      <c r="L55" s="420" t="str">
        <f t="shared" si="3"/>
        <v/>
      </c>
      <c r="M55" s="401" t="str">
        <f t="shared" si="4"/>
        <v/>
      </c>
    </row>
    <row r="56" spans="1:13" ht="13" x14ac:dyDescent="0.25">
      <c r="A56" s="1"/>
      <c r="B56" s="146" t="s">
        <v>482</v>
      </c>
      <c r="C56" s="672" t="s">
        <v>481</v>
      </c>
      <c r="D56" s="15"/>
      <c r="E56" s="15"/>
      <c r="F56" s="15"/>
      <c r="G56" s="64"/>
      <c r="H56" s="17" t="str">
        <f t="shared" si="0"/>
        <v/>
      </c>
      <c r="I56" s="18"/>
      <c r="J56" s="62"/>
      <c r="K56" s="62"/>
      <c r="L56" s="420" t="str">
        <f t="shared" si="3"/>
        <v/>
      </c>
      <c r="M56" s="401" t="str">
        <f t="shared" si="4"/>
        <v/>
      </c>
    </row>
    <row r="57" spans="1:13" x14ac:dyDescent="0.25">
      <c r="A57" s="1"/>
      <c r="B57" s="58"/>
      <c r="C57" s="65"/>
      <c r="D57" s="15"/>
      <c r="E57" s="15"/>
      <c r="F57" s="15"/>
      <c r="G57" s="67"/>
      <c r="H57" s="17" t="str">
        <f t="shared" si="0"/>
        <v/>
      </c>
      <c r="I57" s="63"/>
      <c r="J57" s="62"/>
      <c r="K57" s="62"/>
      <c r="L57" s="420" t="str">
        <f t="shared" si="3"/>
        <v/>
      </c>
      <c r="M57" s="401" t="str">
        <f t="shared" si="4"/>
        <v/>
      </c>
    </row>
    <row r="58" spans="1:13" ht="37.5" x14ac:dyDescent="0.25">
      <c r="A58" s="1"/>
      <c r="B58" s="58" t="s">
        <v>480</v>
      </c>
      <c r="C58" s="65" t="s">
        <v>2106</v>
      </c>
      <c r="D58" s="15" t="s">
        <v>23</v>
      </c>
      <c r="E58" s="15" t="s">
        <v>996</v>
      </c>
      <c r="F58" s="578">
        <f>Quantities!$S$326</f>
        <v>10</v>
      </c>
      <c r="G58" s="64">
        <v>3000</v>
      </c>
      <c r="H58" s="17">
        <f t="shared" si="0"/>
        <v>30000</v>
      </c>
      <c r="I58" s="18"/>
      <c r="J58" s="62" t="s">
        <v>996</v>
      </c>
      <c r="K58" s="577">
        <f>_Mix+_Haul+_Place</f>
        <v>792.7</v>
      </c>
      <c r="L58" s="420">
        <f t="shared" si="3"/>
        <v>7927</v>
      </c>
      <c r="M58" s="401">
        <f t="shared" si="4"/>
        <v>0.26423333333333332</v>
      </c>
    </row>
    <row r="59" spans="1:13" x14ac:dyDescent="0.25">
      <c r="A59" s="1"/>
      <c r="B59" s="58"/>
      <c r="C59" s="68"/>
      <c r="D59" s="61"/>
      <c r="E59" s="61"/>
      <c r="F59" s="61"/>
      <c r="G59" s="422"/>
      <c r="H59" s="17" t="str">
        <f t="shared" si="0"/>
        <v/>
      </c>
      <c r="I59" s="69"/>
      <c r="J59" s="62"/>
      <c r="K59" s="62"/>
      <c r="L59" s="420" t="str">
        <f t="shared" si="3"/>
        <v/>
      </c>
      <c r="M59" s="401" t="str">
        <f t="shared" si="4"/>
        <v/>
      </c>
    </row>
    <row r="60" spans="1:13" ht="62.5" x14ac:dyDescent="0.25">
      <c r="A60" s="1"/>
      <c r="B60" s="58" t="s">
        <v>479</v>
      </c>
      <c r="C60" s="65" t="s">
        <v>2107</v>
      </c>
      <c r="D60" s="15" t="s">
        <v>23</v>
      </c>
      <c r="E60" s="15" t="s">
        <v>996</v>
      </c>
      <c r="F60" s="581">
        <f>Quantities!$S$330</f>
        <v>10</v>
      </c>
      <c r="G60" s="64">
        <v>3000</v>
      </c>
      <c r="H60" s="17">
        <f t="shared" si="0"/>
        <v>30000</v>
      </c>
      <c r="I60" s="63"/>
      <c r="J60" s="62" t="s">
        <v>996</v>
      </c>
      <c r="K60" s="577">
        <f>_Mix+_Haul+_Place</f>
        <v>792.7</v>
      </c>
      <c r="L60" s="420">
        <f t="shared" si="3"/>
        <v>7927</v>
      </c>
      <c r="M60" s="401">
        <f t="shared" si="4"/>
        <v>0.26423333333333332</v>
      </c>
    </row>
    <row r="61" spans="1:13" ht="8.15" customHeight="1" x14ac:dyDescent="0.25">
      <c r="B61" s="58"/>
      <c r="C61" s="793"/>
      <c r="D61" s="61"/>
      <c r="E61" s="61"/>
      <c r="F61" s="24"/>
      <c r="G61" s="421"/>
      <c r="H61" s="17" t="str">
        <f t="shared" si="0"/>
        <v/>
      </c>
      <c r="J61" s="711"/>
      <c r="K61" s="711"/>
      <c r="L61" s="420" t="str">
        <f t="shared" si="3"/>
        <v/>
      </c>
      <c r="M61" s="401" t="str">
        <f t="shared" si="4"/>
        <v/>
      </c>
    </row>
    <row r="62" spans="1:13" s="28" customFormat="1" ht="19.5" customHeight="1" x14ac:dyDescent="0.25">
      <c r="B62" s="135" t="str">
        <f>$B$12</f>
        <v>C3.2</v>
      </c>
      <c r="C62" s="30" t="str">
        <f>"TOTAL CARRIED FORWARD"&amp;IF(H62=H$1," TO SUMMARY","")</f>
        <v>TOTAL CARRIED FORWARD</v>
      </c>
      <c r="D62" s="31"/>
      <c r="E62" s="31"/>
      <c r="F62" s="32"/>
      <c r="G62" s="31"/>
      <c r="H62" s="33">
        <f>SUM(H11:H61)</f>
        <v>490430</v>
      </c>
      <c r="I62" s="34"/>
      <c r="J62" s="408"/>
      <c r="K62" s="406"/>
      <c r="L62" s="418">
        <f>SUM(L11:L61)</f>
        <v>43959</v>
      </c>
      <c r="M62" s="407" t="str">
        <f t="shared" ref="M62" si="7">IF(J62="","",IF(SUM(H62)=0,"",L62/H62))</f>
        <v/>
      </c>
    </row>
    <row r="63" spans="1:13" s="1" customFormat="1" ht="13" x14ac:dyDescent="0.25">
      <c r="B63" s="1108" t="str">
        <f>Client1</f>
        <v>Province of KwaZulu-Natal</v>
      </c>
      <c r="C63" s="1108"/>
      <c r="D63" s="1108"/>
      <c r="E63" s="87"/>
      <c r="F63" s="1109" t="str">
        <f>"Contract No. "&amp;ContractNo</f>
        <v>Contract No. ZNB 00399/00000/HOD/INF/21/T</v>
      </c>
      <c r="G63" s="1109"/>
      <c r="H63" s="1109"/>
      <c r="I63" s="5"/>
    </row>
    <row r="64" spans="1:13" s="1" customFormat="1" ht="13" x14ac:dyDescent="0.25">
      <c r="B64" s="1108" t="str">
        <f>Client2</f>
        <v>Department of Transport</v>
      </c>
      <c r="C64" s="1108"/>
      <c r="D64" s="1108"/>
      <c r="E64" s="87"/>
      <c r="F64" s="1109"/>
      <c r="G64" s="1109"/>
      <c r="H64" s="1109"/>
      <c r="I64" s="5"/>
    </row>
    <row r="65" spans="2:13" s="1" customFormat="1" x14ac:dyDescent="0.25">
      <c r="B65" s="1111"/>
      <c r="C65" s="1111"/>
      <c r="D65" s="1111"/>
      <c r="E65" s="78"/>
      <c r="F65" s="1110"/>
      <c r="G65" s="1110"/>
      <c r="H65" s="1110"/>
      <c r="I65" s="5"/>
    </row>
    <row r="66" spans="2:13" s="1" customFormat="1" ht="13" x14ac:dyDescent="0.25">
      <c r="B66" s="1112" t="s">
        <v>8</v>
      </c>
      <c r="C66" s="1113"/>
      <c r="D66" s="1113"/>
      <c r="E66" s="1113"/>
      <c r="F66" s="1113"/>
      <c r="G66" s="1113"/>
      <c r="H66" s="1125" t="str">
        <f>$H$6</f>
        <v>CHAPTER C3.2</v>
      </c>
      <c r="I66" s="6"/>
    </row>
    <row r="67" spans="2:13" s="1" customFormat="1" ht="13" x14ac:dyDescent="0.25">
      <c r="B67" s="1117" t="str">
        <f>ContractDescription</f>
        <v>THE CONSTRUCTION OF EARTHWORKS, LAYERWORKS, SURFACING, CULVERTS AND CWAKA RIVER BRIDGE FROM KM 11.600 TO KM 14.000 ON MAIN ROAD P494 IN THE KING CETSHWAYO DISTRICT UNDER EMPANGENI REGION</v>
      </c>
      <c r="C67" s="1118"/>
      <c r="D67" s="1118"/>
      <c r="E67" s="1118"/>
      <c r="F67" s="1118"/>
      <c r="G67" s="1118"/>
      <c r="H67" s="1126"/>
      <c r="I67" s="8"/>
    </row>
    <row r="68" spans="2:13" s="1" customFormat="1" ht="13" x14ac:dyDescent="0.25">
      <c r="B68" s="1117"/>
      <c r="C68" s="1118"/>
      <c r="D68" s="1118"/>
      <c r="E68" s="1118"/>
      <c r="F68" s="1118"/>
      <c r="G68" s="1118"/>
      <c r="H68" s="1126"/>
      <c r="I68" s="8"/>
    </row>
    <row r="69" spans="2:13" s="1" customFormat="1" ht="13" x14ac:dyDescent="0.25">
      <c r="B69" s="1119"/>
      <c r="C69" s="1120"/>
      <c r="D69" s="1120"/>
      <c r="E69" s="1120"/>
      <c r="F69" s="1120"/>
      <c r="G69" s="1120"/>
      <c r="H69" s="1127"/>
      <c r="I69" s="8"/>
    </row>
    <row r="70" spans="2:13" s="9" customFormat="1" ht="25" customHeight="1" x14ac:dyDescent="0.25">
      <c r="B70" s="74" t="s">
        <v>0</v>
      </c>
      <c r="C70" s="11" t="s">
        <v>1</v>
      </c>
      <c r="D70" s="11" t="s">
        <v>2</v>
      </c>
      <c r="E70" s="11"/>
      <c r="F70" s="11" t="s">
        <v>3</v>
      </c>
      <c r="G70" s="11" t="s">
        <v>4</v>
      </c>
      <c r="H70" s="11" t="s">
        <v>5</v>
      </c>
      <c r="I70" s="12"/>
      <c r="J70" s="408" t="s">
        <v>996</v>
      </c>
      <c r="K70" s="253" t="s">
        <v>997</v>
      </c>
      <c r="L70" s="253" t="s">
        <v>998</v>
      </c>
      <c r="M70" s="253" t="s">
        <v>999</v>
      </c>
    </row>
    <row r="71" spans="2:13" s="28" customFormat="1" ht="20.149999999999999" customHeight="1" x14ac:dyDescent="0.25">
      <c r="B71" s="80"/>
      <c r="C71" s="30" t="s">
        <v>27</v>
      </c>
      <c r="D71" s="31"/>
      <c r="E71" s="31"/>
      <c r="F71" s="32"/>
      <c r="G71" s="31"/>
      <c r="H71" s="33">
        <f>H62</f>
        <v>490430</v>
      </c>
      <c r="I71" s="34"/>
      <c r="J71" s="416"/>
      <c r="K71" s="409"/>
      <c r="L71" s="419">
        <f>L62</f>
        <v>43959</v>
      </c>
      <c r="M71" s="410"/>
    </row>
    <row r="72" spans="2:13" x14ac:dyDescent="0.25">
      <c r="B72" s="58"/>
      <c r="C72" s="793"/>
      <c r="D72" s="61"/>
      <c r="E72" s="61"/>
      <c r="F72" s="24"/>
      <c r="G72" s="421"/>
      <c r="H72" s="17" t="str">
        <f t="shared" ref="H72:H128" si="8">IF(D72="","",F72*G72)</f>
        <v/>
      </c>
      <c r="J72" s="61"/>
      <c r="K72" s="399"/>
      <c r="L72" s="420" t="str">
        <f t="shared" ref="L72:L79" si="9">IF(J72="","",F72*K72)</f>
        <v/>
      </c>
      <c r="M72" s="401" t="str">
        <f t="shared" ref="M72:M79" si="10">IF(J72="","",IF(SUM(H72)=0,"",L72/H72))</f>
        <v/>
      </c>
    </row>
    <row r="73" spans="2:13" ht="62.5" x14ac:dyDescent="0.25">
      <c r="B73" s="58" t="s">
        <v>478</v>
      </c>
      <c r="C73" s="65" t="s">
        <v>2048</v>
      </c>
      <c r="D73" s="15" t="s">
        <v>23</v>
      </c>
      <c r="E73" s="15"/>
      <c r="F73" s="578">
        <f>Quantities!$S$334</f>
        <v>20</v>
      </c>
      <c r="G73" s="64">
        <v>2500</v>
      </c>
      <c r="H73" s="17">
        <f t="shared" si="8"/>
        <v>50000</v>
      </c>
      <c r="I73" s="18"/>
      <c r="J73" s="62" t="s">
        <v>996</v>
      </c>
      <c r="K73" s="577">
        <f>_Mix+_Haul+_Place</f>
        <v>792.7</v>
      </c>
      <c r="L73" s="420">
        <f t="shared" si="9"/>
        <v>15854</v>
      </c>
      <c r="M73" s="401">
        <f t="shared" si="10"/>
        <v>0.31707999999999997</v>
      </c>
    </row>
    <row r="74" spans="2:13" x14ac:dyDescent="0.25">
      <c r="B74" s="58"/>
      <c r="C74" s="793"/>
      <c r="D74" s="61"/>
      <c r="E74" s="61"/>
      <c r="F74" s="24"/>
      <c r="G74" s="421"/>
      <c r="H74" s="17" t="str">
        <f t="shared" si="8"/>
        <v/>
      </c>
      <c r="J74" s="61"/>
      <c r="K74" s="399"/>
      <c r="L74" s="420" t="str">
        <f t="shared" ref="L74" si="11">IF(J74="","",F74*K74)</f>
        <v/>
      </c>
      <c r="M74" s="401" t="str">
        <f t="shared" ref="M74" si="12">IF(J74="","",IF(SUM(H74)=0,"",L74/H74))</f>
        <v/>
      </c>
    </row>
    <row r="75" spans="2:13" ht="26" x14ac:dyDescent="0.25">
      <c r="B75" s="146" t="s">
        <v>477</v>
      </c>
      <c r="C75" s="672" t="s">
        <v>1840</v>
      </c>
      <c r="D75" s="978"/>
      <c r="E75" s="15"/>
      <c r="F75" s="15"/>
      <c r="G75" s="422"/>
      <c r="H75" s="17" t="str">
        <f t="shared" si="8"/>
        <v/>
      </c>
      <c r="I75" s="18"/>
      <c r="J75" s="62"/>
      <c r="K75" s="62"/>
      <c r="L75" s="420" t="str">
        <f t="shared" si="9"/>
        <v/>
      </c>
      <c r="M75" s="401" t="str">
        <f t="shared" si="10"/>
        <v/>
      </c>
    </row>
    <row r="76" spans="2:13" x14ac:dyDescent="0.25">
      <c r="B76" s="58"/>
      <c r="C76" s="65"/>
      <c r="D76" s="712"/>
      <c r="E76" s="61"/>
      <c r="F76" s="15"/>
      <c r="G76" s="411"/>
      <c r="H76" s="17" t="str">
        <f t="shared" si="8"/>
        <v/>
      </c>
      <c r="I76" s="18"/>
      <c r="J76" s="62"/>
      <c r="K76" s="399"/>
      <c r="L76" s="420" t="str">
        <f t="shared" si="9"/>
        <v/>
      </c>
      <c r="M76" s="401" t="str">
        <f t="shared" si="10"/>
        <v/>
      </c>
    </row>
    <row r="77" spans="2:13" ht="14.5" x14ac:dyDescent="0.25">
      <c r="B77" s="58" t="s">
        <v>39</v>
      </c>
      <c r="C77" s="626" t="s">
        <v>1714</v>
      </c>
      <c r="D77" s="978" t="s">
        <v>61</v>
      </c>
      <c r="E77" s="15"/>
      <c r="F77" s="578">
        <f>Quantities!$S$338</f>
        <v>67</v>
      </c>
      <c r="G77" s="16">
        <v>240</v>
      </c>
      <c r="H77" s="17">
        <f t="shared" si="8"/>
        <v>16080</v>
      </c>
      <c r="J77" s="62" t="s">
        <v>996</v>
      </c>
      <c r="K77" s="606">
        <f>_Formwork</f>
        <v>134</v>
      </c>
      <c r="L77" s="420">
        <f t="shared" si="9"/>
        <v>8978</v>
      </c>
      <c r="M77" s="401">
        <f t="shared" si="10"/>
        <v>0.55833333333333335</v>
      </c>
    </row>
    <row r="78" spans="2:13" x14ac:dyDescent="0.25">
      <c r="B78" s="58"/>
      <c r="C78" s="794"/>
      <c r="D78" s="712"/>
      <c r="E78" s="61"/>
      <c r="F78" s="15"/>
      <c r="G78" s="16"/>
      <c r="H78" s="17" t="str">
        <f t="shared" si="8"/>
        <v/>
      </c>
      <c r="J78" s="62"/>
      <c r="K78" s="399"/>
      <c r="L78" s="420" t="str">
        <f t="shared" si="9"/>
        <v/>
      </c>
      <c r="M78" s="401" t="str">
        <f t="shared" si="10"/>
        <v/>
      </c>
    </row>
    <row r="79" spans="2:13" ht="14.5" x14ac:dyDescent="0.25">
      <c r="B79" s="58" t="s">
        <v>41</v>
      </c>
      <c r="C79" s="626" t="s">
        <v>1715</v>
      </c>
      <c r="D79" s="978" t="s">
        <v>61</v>
      </c>
      <c r="E79" s="15"/>
      <c r="F79" s="578">
        <f>Quantities!$S$340</f>
        <v>37</v>
      </c>
      <c r="G79" s="16">
        <v>275</v>
      </c>
      <c r="H79" s="17">
        <f t="shared" si="8"/>
        <v>10175</v>
      </c>
      <c r="J79" s="62" t="s">
        <v>996</v>
      </c>
      <c r="K79" s="606">
        <f>_Formwork</f>
        <v>134</v>
      </c>
      <c r="L79" s="420">
        <f t="shared" si="9"/>
        <v>4958</v>
      </c>
      <c r="M79" s="401">
        <f t="shared" si="10"/>
        <v>0.48727272727272725</v>
      </c>
    </row>
    <row r="80" spans="2:13" x14ac:dyDescent="0.25">
      <c r="B80" s="58"/>
      <c r="C80" s="626"/>
      <c r="D80" s="15"/>
      <c r="E80" s="15"/>
      <c r="F80" s="578"/>
      <c r="G80" s="16"/>
      <c r="H80" s="17"/>
      <c r="J80" s="62"/>
      <c r="K80" s="606"/>
      <c r="L80" s="420"/>
      <c r="M80" s="401"/>
    </row>
    <row r="81" spans="2:13" ht="25" x14ac:dyDescent="0.25">
      <c r="B81" s="58" t="s">
        <v>1785</v>
      </c>
      <c r="C81" s="795" t="s">
        <v>2110</v>
      </c>
      <c r="D81" s="61" t="s">
        <v>577</v>
      </c>
      <c r="E81" s="61" t="s">
        <v>996</v>
      </c>
      <c r="F81" s="24">
        <f>Quantities!$S$342</f>
        <v>40</v>
      </c>
      <c r="G81" s="421">
        <v>150</v>
      </c>
      <c r="H81" s="17">
        <f t="shared" si="8"/>
        <v>6000</v>
      </c>
      <c r="J81" s="61" t="s">
        <v>996</v>
      </c>
      <c r="K81" s="606">
        <v>100</v>
      </c>
      <c r="L81" s="420">
        <f t="shared" ref="L81:L128" si="13">IF(J81="","",F81*K81)</f>
        <v>4000</v>
      </c>
      <c r="M81" s="401">
        <f t="shared" ref="M81:M128" si="14">IF(J81="","",IF(SUM(H81)=0,"",L81/H81))</f>
        <v>0.66666666666666663</v>
      </c>
    </row>
    <row r="82" spans="2:13" x14ac:dyDescent="0.25">
      <c r="B82" s="58"/>
      <c r="C82" s="68"/>
      <c r="D82" s="61"/>
      <c r="E82" s="61"/>
      <c r="F82" s="24"/>
      <c r="G82" s="421"/>
      <c r="H82" s="17" t="str">
        <f t="shared" si="8"/>
        <v/>
      </c>
      <c r="J82" s="61"/>
      <c r="K82" s="399"/>
      <c r="L82" s="420" t="str">
        <f t="shared" si="13"/>
        <v/>
      </c>
      <c r="M82" s="401" t="str">
        <f t="shared" si="14"/>
        <v/>
      </c>
    </row>
    <row r="83" spans="2:13" ht="13" x14ac:dyDescent="0.25">
      <c r="B83" s="146" t="s">
        <v>476</v>
      </c>
      <c r="C83" s="789" t="s">
        <v>381</v>
      </c>
      <c r="D83" s="61"/>
      <c r="E83" s="61"/>
      <c r="F83" s="24"/>
      <c r="G83" s="421"/>
      <c r="H83" s="17" t="str">
        <f t="shared" si="8"/>
        <v/>
      </c>
      <c r="J83" s="61"/>
      <c r="K83" s="399"/>
      <c r="L83" s="420" t="str">
        <f t="shared" si="13"/>
        <v/>
      </c>
      <c r="M83" s="401" t="str">
        <f t="shared" si="14"/>
        <v/>
      </c>
    </row>
    <row r="84" spans="2:13" x14ac:dyDescent="0.25">
      <c r="B84" s="58"/>
      <c r="C84" s="68"/>
      <c r="D84" s="61"/>
      <c r="E84" s="61"/>
      <c r="F84" s="24"/>
      <c r="G84" s="421"/>
      <c r="H84" s="17" t="str">
        <f t="shared" si="8"/>
        <v/>
      </c>
      <c r="J84" s="61"/>
      <c r="K84" s="400"/>
      <c r="L84" s="420" t="str">
        <f t="shared" si="13"/>
        <v/>
      </c>
      <c r="M84" s="401" t="str">
        <f t="shared" si="14"/>
        <v/>
      </c>
    </row>
    <row r="85" spans="2:13" x14ac:dyDescent="0.25">
      <c r="B85" s="58" t="s">
        <v>475</v>
      </c>
      <c r="C85" s="70" t="s">
        <v>380</v>
      </c>
      <c r="D85" s="61" t="s">
        <v>7</v>
      </c>
      <c r="E85" s="61"/>
      <c r="F85" s="582">
        <v>0.5</v>
      </c>
      <c r="G85" s="422">
        <v>14000</v>
      </c>
      <c r="H85" s="17">
        <f t="shared" si="8"/>
        <v>7000</v>
      </c>
      <c r="J85" s="61" t="s">
        <v>996</v>
      </c>
      <c r="K85" s="606">
        <f>100*_LabourRate</f>
        <v>4479</v>
      </c>
      <c r="L85" s="420">
        <f t="shared" si="13"/>
        <v>2239.5</v>
      </c>
      <c r="M85" s="401">
        <f t="shared" si="14"/>
        <v>0.31992857142857145</v>
      </c>
    </row>
    <row r="86" spans="2:13" x14ac:dyDescent="0.25">
      <c r="B86" s="58" t="s">
        <v>474</v>
      </c>
      <c r="C86" s="68"/>
      <c r="D86" s="61"/>
      <c r="E86" s="61"/>
      <c r="F86" s="24"/>
      <c r="G86" s="421"/>
      <c r="H86" s="17" t="str">
        <f t="shared" si="8"/>
        <v/>
      </c>
      <c r="J86" s="61"/>
      <c r="K86" s="399"/>
      <c r="L86" s="420" t="str">
        <f t="shared" si="13"/>
        <v/>
      </c>
      <c r="M86" s="401" t="str">
        <f t="shared" si="14"/>
        <v/>
      </c>
    </row>
    <row r="87" spans="2:13" x14ac:dyDescent="0.25">
      <c r="B87" s="58" t="s">
        <v>473</v>
      </c>
      <c r="C87" s="70" t="s">
        <v>379</v>
      </c>
      <c r="D87" s="61" t="s">
        <v>7</v>
      </c>
      <c r="E87" s="61"/>
      <c r="F87" s="582">
        <v>0.5</v>
      </c>
      <c r="G87" s="423">
        <v>14000</v>
      </c>
      <c r="H87" s="17">
        <f t="shared" si="8"/>
        <v>7000</v>
      </c>
      <c r="J87" s="61" t="s">
        <v>996</v>
      </c>
      <c r="K87" s="577">
        <f>100*_LabourRate</f>
        <v>4479</v>
      </c>
      <c r="L87" s="420">
        <f t="shared" si="13"/>
        <v>2239.5</v>
      </c>
      <c r="M87" s="401">
        <f t="shared" si="14"/>
        <v>0.31992857142857145</v>
      </c>
    </row>
    <row r="88" spans="2:13" x14ac:dyDescent="0.25">
      <c r="B88" s="58"/>
      <c r="C88" s="68"/>
      <c r="D88" s="61"/>
      <c r="E88" s="61"/>
      <c r="F88" s="24"/>
      <c r="G88" s="421"/>
      <c r="H88" s="17" t="str">
        <f t="shared" si="8"/>
        <v/>
      </c>
      <c r="J88" s="61"/>
      <c r="K88" s="399"/>
      <c r="L88" s="420" t="str">
        <f t="shared" si="13"/>
        <v/>
      </c>
      <c r="M88" s="401" t="str">
        <f t="shared" si="14"/>
        <v/>
      </c>
    </row>
    <row r="89" spans="2:13" x14ac:dyDescent="0.25">
      <c r="B89" s="58" t="s">
        <v>472</v>
      </c>
      <c r="C89" s="65" t="s">
        <v>377</v>
      </c>
      <c r="D89" s="15" t="s">
        <v>24</v>
      </c>
      <c r="E89" s="15" t="s">
        <v>996</v>
      </c>
      <c r="F89" s="24">
        <f>Quantities!$S$347</f>
        <v>210</v>
      </c>
      <c r="G89" s="411">
        <v>25</v>
      </c>
      <c r="H89" s="17">
        <f t="shared" si="8"/>
        <v>5250</v>
      </c>
      <c r="J89" s="61" t="s">
        <v>996</v>
      </c>
      <c r="K89" s="606">
        <f>_Mesh</f>
        <v>4.5</v>
      </c>
      <c r="L89" s="420">
        <f t="shared" si="13"/>
        <v>945</v>
      </c>
      <c r="M89" s="401">
        <f t="shared" si="14"/>
        <v>0.18</v>
      </c>
    </row>
    <row r="90" spans="2:13" x14ac:dyDescent="0.25">
      <c r="B90" s="58"/>
      <c r="C90" s="65"/>
      <c r="D90" s="15"/>
      <c r="E90" s="15"/>
      <c r="F90" s="24"/>
      <c r="G90" s="411"/>
      <c r="H90" s="17" t="str">
        <f t="shared" si="8"/>
        <v/>
      </c>
      <c r="J90" s="61"/>
      <c r="K90" s="402"/>
      <c r="L90" s="420" t="str">
        <f t="shared" si="13"/>
        <v/>
      </c>
      <c r="M90" s="401" t="str">
        <f t="shared" si="14"/>
        <v/>
      </c>
    </row>
    <row r="91" spans="2:13" ht="13" x14ac:dyDescent="0.25">
      <c r="B91" s="146" t="s">
        <v>471</v>
      </c>
      <c r="C91" s="672" t="s">
        <v>470</v>
      </c>
      <c r="D91" s="15"/>
      <c r="E91" s="15"/>
      <c r="F91" s="15"/>
      <c r="G91" s="422"/>
      <c r="H91" s="17" t="str">
        <f t="shared" si="8"/>
        <v/>
      </c>
      <c r="J91" s="61"/>
      <c r="K91" s="402"/>
      <c r="L91" s="420" t="str">
        <f t="shared" si="13"/>
        <v/>
      </c>
      <c r="M91" s="401" t="str">
        <f t="shared" si="14"/>
        <v/>
      </c>
    </row>
    <row r="92" spans="2:13" x14ac:dyDescent="0.25">
      <c r="B92" s="58"/>
      <c r="C92" s="65"/>
      <c r="D92" s="15"/>
      <c r="E92" s="15"/>
      <c r="F92" s="15"/>
      <c r="G92" s="422"/>
      <c r="H92" s="17" t="str">
        <f t="shared" si="8"/>
        <v/>
      </c>
      <c r="J92" s="61"/>
      <c r="K92" s="402"/>
      <c r="L92" s="420" t="str">
        <f t="shared" si="13"/>
        <v/>
      </c>
      <c r="M92" s="401" t="str">
        <f t="shared" si="14"/>
        <v/>
      </c>
    </row>
    <row r="93" spans="2:13" x14ac:dyDescent="0.25">
      <c r="B93" s="58" t="s">
        <v>469</v>
      </c>
      <c r="C93" s="65" t="s">
        <v>267</v>
      </c>
      <c r="D93" s="15"/>
      <c r="E93" s="15"/>
      <c r="F93" s="15"/>
      <c r="G93" s="422"/>
      <c r="H93" s="17" t="str">
        <f t="shared" si="8"/>
        <v/>
      </c>
      <c r="J93" s="61"/>
      <c r="K93" s="402"/>
      <c r="L93" s="420" t="str">
        <f t="shared" si="13"/>
        <v/>
      </c>
      <c r="M93" s="401" t="str">
        <f t="shared" si="14"/>
        <v/>
      </c>
    </row>
    <row r="94" spans="2:13" x14ac:dyDescent="0.25">
      <c r="B94" s="58"/>
      <c r="C94" s="65"/>
      <c r="D94" s="15"/>
      <c r="E94" s="15"/>
      <c r="F94" s="15"/>
      <c r="G94" s="422"/>
      <c r="H94" s="17" t="str">
        <f t="shared" si="8"/>
        <v/>
      </c>
      <c r="J94" s="62"/>
      <c r="K94" s="62"/>
      <c r="L94" s="420" t="str">
        <f t="shared" si="13"/>
        <v/>
      </c>
      <c r="M94" s="401" t="str">
        <f t="shared" si="14"/>
        <v/>
      </c>
    </row>
    <row r="95" spans="2:13" ht="14.5" x14ac:dyDescent="0.25">
      <c r="B95" s="58" t="s">
        <v>39</v>
      </c>
      <c r="C95" s="795" t="s">
        <v>1786</v>
      </c>
      <c r="D95" s="15" t="s">
        <v>23</v>
      </c>
      <c r="E95" s="15"/>
      <c r="F95" s="15">
        <v>10</v>
      </c>
      <c r="G95" s="422">
        <v>350</v>
      </c>
      <c r="H95" s="17">
        <f t="shared" si="8"/>
        <v>3500</v>
      </c>
      <c r="J95" s="61" t="s">
        <v>996</v>
      </c>
      <c r="K95" s="606">
        <f>G95*97/100</f>
        <v>339.5</v>
      </c>
      <c r="L95" s="420">
        <f t="shared" si="13"/>
        <v>3395</v>
      </c>
      <c r="M95" s="401">
        <f t="shared" si="14"/>
        <v>0.97</v>
      </c>
    </row>
    <row r="96" spans="2:13" x14ac:dyDescent="0.25">
      <c r="B96" s="58"/>
      <c r="C96" s="795"/>
      <c r="D96" s="15"/>
      <c r="E96" s="15"/>
      <c r="F96" s="15"/>
      <c r="G96" s="422"/>
      <c r="H96" s="17" t="str">
        <f t="shared" si="8"/>
        <v/>
      </c>
      <c r="J96" s="62"/>
      <c r="K96" s="402"/>
      <c r="L96" s="420" t="str">
        <f t="shared" si="13"/>
        <v/>
      </c>
      <c r="M96" s="401" t="str">
        <f t="shared" si="14"/>
        <v/>
      </c>
    </row>
    <row r="97" spans="2:13" ht="14.5" x14ac:dyDescent="0.25">
      <c r="B97" s="58" t="s">
        <v>41</v>
      </c>
      <c r="C97" s="795" t="s">
        <v>566</v>
      </c>
      <c r="D97" s="15" t="s">
        <v>23</v>
      </c>
      <c r="E97" s="15"/>
      <c r="F97" s="15">
        <v>10</v>
      </c>
      <c r="G97" s="422">
        <v>370</v>
      </c>
      <c r="H97" s="17">
        <f t="shared" si="8"/>
        <v>3700</v>
      </c>
      <c r="J97" s="62" t="s">
        <v>1721</v>
      </c>
      <c r="K97" s="402">
        <f>ROUND(Labour_perc_roads*G97,0)</f>
        <v>11</v>
      </c>
      <c r="L97" s="420">
        <f t="shared" si="13"/>
        <v>110</v>
      </c>
      <c r="M97" s="401">
        <f t="shared" si="14"/>
        <v>2.9729729729729731E-2</v>
      </c>
    </row>
    <row r="98" spans="2:13" x14ac:dyDescent="0.25">
      <c r="B98" s="58"/>
      <c r="C98" s="795"/>
      <c r="D98" s="15"/>
      <c r="E98" s="15"/>
      <c r="F98" s="15"/>
      <c r="G98" s="422"/>
      <c r="H98" s="17" t="str">
        <f t="shared" si="8"/>
        <v/>
      </c>
      <c r="J98" s="62"/>
      <c r="K98" s="62"/>
      <c r="L98" s="420" t="str">
        <f t="shared" si="13"/>
        <v/>
      </c>
      <c r="M98" s="401" t="str">
        <f t="shared" si="14"/>
        <v/>
      </c>
    </row>
    <row r="99" spans="2:13" ht="13" x14ac:dyDescent="0.25">
      <c r="B99" s="146" t="s">
        <v>468</v>
      </c>
      <c r="C99" s="672" t="s">
        <v>467</v>
      </c>
      <c r="D99" s="15"/>
      <c r="E99" s="15"/>
      <c r="F99" s="15"/>
      <c r="G99" s="422"/>
      <c r="H99" s="17" t="str">
        <f t="shared" si="8"/>
        <v/>
      </c>
      <c r="J99" s="62"/>
      <c r="K99" s="62"/>
      <c r="L99" s="420" t="str">
        <f t="shared" si="13"/>
        <v/>
      </c>
      <c r="M99" s="401" t="str">
        <f t="shared" si="14"/>
        <v/>
      </c>
    </row>
    <row r="100" spans="2:13" x14ac:dyDescent="0.25">
      <c r="B100" s="58"/>
      <c r="C100" s="65"/>
      <c r="D100" s="15"/>
      <c r="E100" s="15"/>
      <c r="F100" s="15"/>
      <c r="G100" s="422"/>
      <c r="H100" s="17" t="str">
        <f t="shared" si="8"/>
        <v/>
      </c>
      <c r="J100" s="62"/>
      <c r="K100" s="62"/>
      <c r="L100" s="420" t="str">
        <f t="shared" si="13"/>
        <v/>
      </c>
      <c r="M100" s="401" t="str">
        <f t="shared" si="14"/>
        <v/>
      </c>
    </row>
    <row r="101" spans="2:13" x14ac:dyDescent="0.25">
      <c r="B101" s="58" t="s">
        <v>466</v>
      </c>
      <c r="C101" s="65" t="s">
        <v>1841</v>
      </c>
      <c r="D101" s="15"/>
      <c r="E101" s="15"/>
      <c r="F101" s="15"/>
      <c r="G101" s="422"/>
      <c r="H101" s="17" t="str">
        <f t="shared" si="8"/>
        <v/>
      </c>
      <c r="J101" s="62"/>
      <c r="K101" s="62"/>
      <c r="L101" s="420" t="str">
        <f t="shared" si="13"/>
        <v/>
      </c>
      <c r="M101" s="401" t="str">
        <f t="shared" si="14"/>
        <v/>
      </c>
    </row>
    <row r="102" spans="2:13" x14ac:dyDescent="0.25">
      <c r="B102" s="58"/>
      <c r="C102" s="65"/>
      <c r="D102" s="15"/>
      <c r="E102" s="15"/>
      <c r="F102" s="15"/>
      <c r="G102" s="422"/>
      <c r="H102" s="17" t="str">
        <f t="shared" si="8"/>
        <v/>
      </c>
      <c r="J102" s="62"/>
      <c r="K102" s="62"/>
      <c r="L102" s="420" t="str">
        <f t="shared" si="13"/>
        <v/>
      </c>
      <c r="M102" s="401" t="str">
        <f t="shared" si="14"/>
        <v/>
      </c>
    </row>
    <row r="103" spans="2:13" x14ac:dyDescent="0.25">
      <c r="B103" s="58" t="s">
        <v>39</v>
      </c>
      <c r="C103" s="795" t="s">
        <v>1716</v>
      </c>
      <c r="D103" s="15"/>
      <c r="E103" s="15"/>
      <c r="F103" s="15"/>
      <c r="G103" s="422"/>
      <c r="H103" s="17" t="str">
        <f t="shared" si="8"/>
        <v/>
      </c>
      <c r="J103" s="62"/>
      <c r="K103" s="62"/>
      <c r="L103" s="420" t="str">
        <f t="shared" si="13"/>
        <v/>
      </c>
      <c r="M103" s="401" t="str">
        <f t="shared" si="14"/>
        <v/>
      </c>
    </row>
    <row r="104" spans="2:13" x14ac:dyDescent="0.25">
      <c r="B104" s="58"/>
      <c r="C104" s="795"/>
      <c r="D104" s="15"/>
      <c r="E104" s="15"/>
      <c r="F104" s="15"/>
      <c r="G104" s="422"/>
      <c r="H104" s="17" t="str">
        <f t="shared" si="8"/>
        <v/>
      </c>
      <c r="J104" s="62"/>
      <c r="K104" s="402"/>
      <c r="L104" s="420" t="str">
        <f t="shared" si="13"/>
        <v/>
      </c>
      <c r="M104" s="401" t="str">
        <f t="shared" si="14"/>
        <v/>
      </c>
    </row>
    <row r="105" spans="2:13" x14ac:dyDescent="0.25">
      <c r="B105" s="58" t="s">
        <v>990</v>
      </c>
      <c r="C105" s="796" t="s">
        <v>1784</v>
      </c>
      <c r="D105" s="15" t="s">
        <v>6</v>
      </c>
      <c r="E105" s="15"/>
      <c r="F105" s="15">
        <v>20</v>
      </c>
      <c r="G105" s="422">
        <v>200</v>
      </c>
      <c r="H105" s="17">
        <f t="shared" si="8"/>
        <v>4000</v>
      </c>
      <c r="J105" s="61" t="s">
        <v>996</v>
      </c>
      <c r="K105" s="606">
        <f>ROUND(_LabourRate*4,0)</f>
        <v>179</v>
      </c>
      <c r="L105" s="420">
        <f t="shared" si="13"/>
        <v>3580</v>
      </c>
      <c r="M105" s="401">
        <f t="shared" si="14"/>
        <v>0.89500000000000002</v>
      </c>
    </row>
    <row r="106" spans="2:13" x14ac:dyDescent="0.25">
      <c r="B106" s="58"/>
      <c r="C106" s="795"/>
      <c r="D106" s="15"/>
      <c r="E106" s="15"/>
      <c r="F106" s="15"/>
      <c r="G106" s="422"/>
      <c r="H106" s="17" t="str">
        <f t="shared" si="8"/>
        <v/>
      </c>
      <c r="J106" s="62"/>
      <c r="K106" s="399"/>
      <c r="L106" s="420" t="str">
        <f t="shared" si="13"/>
        <v/>
      </c>
      <c r="M106" s="401" t="str">
        <f t="shared" si="14"/>
        <v/>
      </c>
    </row>
    <row r="107" spans="2:13" x14ac:dyDescent="0.25">
      <c r="B107" s="58" t="s">
        <v>991</v>
      </c>
      <c r="C107" s="796" t="s">
        <v>1711</v>
      </c>
      <c r="D107" s="15" t="s">
        <v>6</v>
      </c>
      <c r="E107" s="15"/>
      <c r="F107" s="15">
        <v>20</v>
      </c>
      <c r="G107" s="422">
        <v>220</v>
      </c>
      <c r="H107" s="17">
        <f t="shared" si="8"/>
        <v>4400</v>
      </c>
      <c r="J107" s="61" t="s">
        <v>996</v>
      </c>
      <c r="K107" s="606">
        <f>ROUND(_LabourRate*5,0)</f>
        <v>224</v>
      </c>
      <c r="L107" s="420">
        <f t="shared" si="13"/>
        <v>4480</v>
      </c>
      <c r="M107" s="401">
        <f t="shared" si="14"/>
        <v>1.0181818181818181</v>
      </c>
    </row>
    <row r="108" spans="2:13" x14ac:dyDescent="0.25">
      <c r="B108" s="58"/>
      <c r="C108" s="65"/>
      <c r="D108" s="15"/>
      <c r="E108" s="15"/>
      <c r="F108" s="24"/>
      <c r="G108" s="411"/>
      <c r="H108" s="17" t="str">
        <f t="shared" si="8"/>
        <v/>
      </c>
      <c r="J108" s="62"/>
      <c r="K108" s="62"/>
      <c r="L108" s="420" t="str">
        <f t="shared" si="13"/>
        <v/>
      </c>
      <c r="M108" s="401" t="str">
        <f t="shared" si="14"/>
        <v/>
      </c>
    </row>
    <row r="109" spans="2:13" ht="13" x14ac:dyDescent="0.25">
      <c r="B109" s="146" t="s">
        <v>464</v>
      </c>
      <c r="C109" s="672" t="s">
        <v>463</v>
      </c>
      <c r="D109" s="15"/>
      <c r="E109" s="15"/>
      <c r="F109" s="24"/>
      <c r="G109" s="411"/>
      <c r="H109" s="17" t="str">
        <f t="shared" si="8"/>
        <v/>
      </c>
      <c r="J109" s="62"/>
      <c r="K109" s="62"/>
      <c r="L109" s="420" t="str">
        <f t="shared" si="13"/>
        <v/>
      </c>
      <c r="M109" s="401" t="str">
        <f t="shared" si="14"/>
        <v/>
      </c>
    </row>
    <row r="110" spans="2:13" x14ac:dyDescent="0.25">
      <c r="B110" s="58"/>
      <c r="C110" s="65"/>
      <c r="D110" s="15"/>
      <c r="E110" s="15"/>
      <c r="F110" s="24"/>
      <c r="G110" s="411"/>
      <c r="H110" s="17" t="str">
        <f t="shared" si="8"/>
        <v/>
      </c>
      <c r="J110" s="62"/>
      <c r="K110" s="62"/>
      <c r="L110" s="420" t="str">
        <f t="shared" si="13"/>
        <v/>
      </c>
      <c r="M110" s="401" t="str">
        <f t="shared" si="14"/>
        <v/>
      </c>
    </row>
    <row r="111" spans="2:13" ht="13" x14ac:dyDescent="0.3">
      <c r="B111" s="58" t="s">
        <v>462</v>
      </c>
      <c r="C111" s="65" t="s">
        <v>461</v>
      </c>
      <c r="D111" s="15" t="s">
        <v>511</v>
      </c>
      <c r="E111" s="15"/>
      <c r="F111" s="24">
        <f>Quantities!$S$351</f>
        <v>45</v>
      </c>
      <c r="G111" s="411">
        <v>530</v>
      </c>
      <c r="H111" s="17">
        <f t="shared" si="8"/>
        <v>23850</v>
      </c>
      <c r="J111" s="61" t="s">
        <v>996</v>
      </c>
      <c r="K111" s="606">
        <f>_Brickwork</f>
        <v>287</v>
      </c>
      <c r="L111" s="420">
        <f t="shared" si="13"/>
        <v>12915</v>
      </c>
      <c r="M111" s="401">
        <f t="shared" si="14"/>
        <v>0.54150943396226414</v>
      </c>
    </row>
    <row r="112" spans="2:13" x14ac:dyDescent="0.25">
      <c r="B112" s="58"/>
      <c r="C112" s="65"/>
      <c r="D112" s="15"/>
      <c r="E112" s="15"/>
      <c r="F112" s="24"/>
      <c r="G112" s="411"/>
      <c r="H112" s="17" t="str">
        <f t="shared" si="8"/>
        <v/>
      </c>
      <c r="J112" s="62"/>
      <c r="K112" s="399"/>
      <c r="L112" s="420" t="str">
        <f t="shared" si="13"/>
        <v/>
      </c>
      <c r="M112" s="401" t="str">
        <f t="shared" si="14"/>
        <v/>
      </c>
    </row>
    <row r="113" spans="2:13" ht="13" x14ac:dyDescent="0.3">
      <c r="B113" s="146" t="s">
        <v>460</v>
      </c>
      <c r="C113" s="672" t="s">
        <v>458</v>
      </c>
      <c r="D113" s="15" t="s">
        <v>511</v>
      </c>
      <c r="E113" s="15" t="s">
        <v>996</v>
      </c>
      <c r="F113" s="580">
        <f>F111</f>
        <v>45</v>
      </c>
      <c r="G113" s="411">
        <v>70</v>
      </c>
      <c r="H113" s="17">
        <f t="shared" si="8"/>
        <v>3150</v>
      </c>
      <c r="J113" s="61" t="s">
        <v>996</v>
      </c>
      <c r="K113" s="577">
        <f>_Plaster</f>
        <v>57</v>
      </c>
      <c r="L113" s="420">
        <f t="shared" si="13"/>
        <v>2565</v>
      </c>
      <c r="M113" s="401">
        <f t="shared" si="14"/>
        <v>0.81428571428571428</v>
      </c>
    </row>
    <row r="114" spans="2:13" x14ac:dyDescent="0.25">
      <c r="B114" s="58"/>
      <c r="C114" s="796"/>
      <c r="D114" s="15"/>
      <c r="E114" s="15"/>
      <c r="F114" s="15"/>
      <c r="G114" s="422"/>
      <c r="H114" s="17" t="str">
        <f t="shared" si="8"/>
        <v/>
      </c>
      <c r="J114" s="62"/>
      <c r="K114" s="62"/>
      <c r="L114" s="420" t="str">
        <f t="shared" si="13"/>
        <v/>
      </c>
      <c r="M114" s="401" t="str">
        <f t="shared" si="14"/>
        <v/>
      </c>
    </row>
    <row r="115" spans="2:13" ht="13" x14ac:dyDescent="0.25">
      <c r="B115" s="146" t="s">
        <v>459</v>
      </c>
      <c r="C115" s="833" t="s">
        <v>942</v>
      </c>
      <c r="D115" s="15" t="s">
        <v>577</v>
      </c>
      <c r="E115" s="15" t="s">
        <v>996</v>
      </c>
      <c r="F115" s="24">
        <v>10</v>
      </c>
      <c r="G115" s="411">
        <v>100</v>
      </c>
      <c r="H115" s="17">
        <f t="shared" si="8"/>
        <v>1000</v>
      </c>
      <c r="J115" s="62" t="s">
        <v>996</v>
      </c>
      <c r="K115" s="577">
        <f>_Benching</f>
        <v>96</v>
      </c>
      <c r="L115" s="420">
        <f t="shared" si="13"/>
        <v>960</v>
      </c>
      <c r="M115" s="401">
        <f t="shared" si="14"/>
        <v>0.96</v>
      </c>
    </row>
    <row r="116" spans="2:13" x14ac:dyDescent="0.25">
      <c r="B116" s="58"/>
      <c r="C116" s="65"/>
      <c r="D116" s="15"/>
      <c r="E116" s="15"/>
      <c r="F116" s="24"/>
      <c r="G116" s="411"/>
      <c r="H116" s="17" t="str">
        <f t="shared" si="8"/>
        <v/>
      </c>
      <c r="J116" s="62"/>
      <c r="K116" s="62"/>
      <c r="L116" s="420" t="str">
        <f t="shared" si="13"/>
        <v/>
      </c>
      <c r="M116" s="401" t="str">
        <f t="shared" si="14"/>
        <v/>
      </c>
    </row>
    <row r="117" spans="2:13" ht="13" x14ac:dyDescent="0.25">
      <c r="B117" s="146" t="s">
        <v>457</v>
      </c>
      <c r="C117" s="672" t="s">
        <v>456</v>
      </c>
      <c r="D117" s="15"/>
      <c r="E117" s="15"/>
      <c r="F117" s="24"/>
      <c r="G117" s="411"/>
      <c r="H117" s="17" t="str">
        <f t="shared" si="8"/>
        <v/>
      </c>
      <c r="J117" s="62"/>
      <c r="K117" s="62"/>
      <c r="L117" s="420" t="str">
        <f t="shared" si="13"/>
        <v/>
      </c>
      <c r="M117" s="401" t="str">
        <f t="shared" si="14"/>
        <v/>
      </c>
    </row>
    <row r="118" spans="2:13" x14ac:dyDescent="0.25">
      <c r="B118" s="58"/>
      <c r="C118" s="65"/>
      <c r="D118" s="15"/>
      <c r="E118" s="15"/>
      <c r="F118" s="24"/>
      <c r="G118" s="411"/>
      <c r="H118" s="17" t="str">
        <f t="shared" si="8"/>
        <v/>
      </c>
      <c r="J118" s="62"/>
      <c r="K118" s="62"/>
      <c r="L118" s="420" t="str">
        <f t="shared" si="13"/>
        <v/>
      </c>
      <c r="M118" s="401" t="str">
        <f t="shared" si="14"/>
        <v/>
      </c>
    </row>
    <row r="119" spans="2:13" x14ac:dyDescent="0.25">
      <c r="B119" s="58" t="s">
        <v>455</v>
      </c>
      <c r="C119" s="65" t="s">
        <v>1891</v>
      </c>
      <c r="D119" s="61"/>
      <c r="E119" s="61"/>
      <c r="F119" s="24"/>
      <c r="G119" s="411"/>
      <c r="H119" s="17" t="str">
        <f t="shared" si="8"/>
        <v/>
      </c>
      <c r="J119" s="62"/>
      <c r="K119" s="62"/>
      <c r="L119" s="420" t="str">
        <f t="shared" si="13"/>
        <v/>
      </c>
      <c r="M119" s="401" t="str">
        <f t="shared" si="14"/>
        <v/>
      </c>
    </row>
    <row r="120" spans="2:13" x14ac:dyDescent="0.25">
      <c r="B120" s="58"/>
      <c r="C120" s="65"/>
      <c r="D120" s="15"/>
      <c r="E120" s="15"/>
      <c r="F120" s="24"/>
      <c r="G120" s="411"/>
      <c r="H120" s="17" t="str">
        <f t="shared" si="8"/>
        <v/>
      </c>
      <c r="J120" s="62"/>
      <c r="K120" s="62"/>
      <c r="L120" s="420" t="str">
        <f t="shared" si="13"/>
        <v/>
      </c>
      <c r="M120" s="401" t="str">
        <f t="shared" si="14"/>
        <v/>
      </c>
    </row>
    <row r="121" spans="2:13" ht="37.5" x14ac:dyDescent="0.25">
      <c r="B121" s="58" t="s">
        <v>39</v>
      </c>
      <c r="C121" s="796" t="s">
        <v>1998</v>
      </c>
      <c r="D121" s="61" t="s">
        <v>34</v>
      </c>
      <c r="E121" s="61" t="s">
        <v>996</v>
      </c>
      <c r="F121" s="24">
        <v>6</v>
      </c>
      <c r="G121" s="411">
        <v>4100</v>
      </c>
      <c r="H121" s="17">
        <f t="shared" si="8"/>
        <v>24600</v>
      </c>
      <c r="J121" s="62" t="s">
        <v>996</v>
      </c>
      <c r="K121" s="577">
        <f>ROUND(_LabourRate/2,1)</f>
        <v>22.4</v>
      </c>
      <c r="L121" s="420">
        <f t="shared" si="13"/>
        <v>134.39999999999998</v>
      </c>
      <c r="M121" s="401">
        <f t="shared" si="14"/>
        <v>5.4634146341463402E-3</v>
      </c>
    </row>
    <row r="122" spans="2:13" x14ac:dyDescent="0.25">
      <c r="B122" s="58"/>
      <c r="C122" s="65"/>
      <c r="D122" s="15"/>
      <c r="E122" s="15"/>
      <c r="F122" s="580"/>
      <c r="G122" s="411"/>
      <c r="H122" s="17" t="str">
        <f t="shared" si="8"/>
        <v/>
      </c>
      <c r="J122" s="62"/>
      <c r="K122" s="399"/>
      <c r="L122" s="420" t="str">
        <f t="shared" si="13"/>
        <v/>
      </c>
      <c r="M122" s="401" t="str">
        <f t="shared" si="14"/>
        <v/>
      </c>
    </row>
    <row r="123" spans="2:13" ht="13" x14ac:dyDescent="0.25">
      <c r="B123" s="146"/>
      <c r="C123" s="672"/>
      <c r="D123" s="15"/>
      <c r="E123" s="15"/>
      <c r="F123" s="24"/>
      <c r="G123" s="703"/>
      <c r="H123" s="17" t="str">
        <f t="shared" si="8"/>
        <v/>
      </c>
      <c r="J123" s="62"/>
      <c r="K123" s="62"/>
      <c r="L123" s="420" t="str">
        <f t="shared" si="13"/>
        <v/>
      </c>
      <c r="M123" s="401" t="str">
        <f t="shared" si="14"/>
        <v/>
      </c>
    </row>
    <row r="124" spans="2:13" x14ac:dyDescent="0.25">
      <c r="B124" s="58"/>
      <c r="C124" s="65"/>
      <c r="D124" s="15"/>
      <c r="E124" s="15"/>
      <c r="F124" s="24"/>
      <c r="G124" s="423"/>
      <c r="H124" s="17" t="str">
        <f t="shared" si="8"/>
        <v/>
      </c>
      <c r="J124" s="62"/>
      <c r="K124" s="62"/>
      <c r="L124" s="420" t="str">
        <f t="shared" si="13"/>
        <v/>
      </c>
      <c r="M124" s="401" t="str">
        <f t="shared" si="14"/>
        <v/>
      </c>
    </row>
    <row r="125" spans="2:13" x14ac:dyDescent="0.25">
      <c r="B125" s="58"/>
      <c r="C125" s="65"/>
      <c r="D125" s="15"/>
      <c r="E125" s="15"/>
      <c r="F125" s="24"/>
      <c r="G125" s="411"/>
      <c r="H125" s="17" t="str">
        <f t="shared" si="8"/>
        <v/>
      </c>
      <c r="J125" s="62"/>
      <c r="K125" s="62"/>
      <c r="L125" s="420" t="str">
        <f t="shared" si="13"/>
        <v/>
      </c>
      <c r="M125" s="401" t="str">
        <f t="shared" si="14"/>
        <v/>
      </c>
    </row>
    <row r="126" spans="2:13" x14ac:dyDescent="0.25">
      <c r="B126" s="58"/>
      <c r="C126" s="795"/>
      <c r="D126" s="15"/>
      <c r="E126" s="15"/>
      <c r="F126" s="24"/>
      <c r="G126" s="411"/>
      <c r="H126" s="17" t="str">
        <f t="shared" si="8"/>
        <v/>
      </c>
      <c r="J126" s="62"/>
      <c r="K126" s="402"/>
      <c r="L126" s="420" t="str">
        <f t="shared" si="13"/>
        <v/>
      </c>
      <c r="M126" s="401" t="str">
        <f t="shared" si="14"/>
        <v/>
      </c>
    </row>
    <row r="127" spans="2:13" x14ac:dyDescent="0.25">
      <c r="B127" s="58"/>
      <c r="C127" s="796"/>
      <c r="D127" s="15"/>
      <c r="E127" s="15"/>
      <c r="F127" s="24"/>
      <c r="G127" s="411"/>
      <c r="H127" s="17" t="str">
        <f t="shared" si="8"/>
        <v/>
      </c>
      <c r="J127" s="62"/>
      <c r="K127" s="606"/>
      <c r="L127" s="420" t="str">
        <f t="shared" si="13"/>
        <v/>
      </c>
      <c r="M127" s="401" t="str">
        <f t="shared" si="14"/>
        <v/>
      </c>
    </row>
    <row r="128" spans="2:13" ht="12.75" customHeight="1" x14ac:dyDescent="0.25">
      <c r="B128" s="58"/>
      <c r="C128" s="786"/>
      <c r="D128" s="15"/>
      <c r="E128" s="15"/>
      <c r="F128" s="24"/>
      <c r="G128" s="411"/>
      <c r="H128" s="17" t="str">
        <f t="shared" si="8"/>
        <v/>
      </c>
      <c r="J128" s="711"/>
      <c r="K128" s="711"/>
      <c r="L128" s="420" t="str">
        <f t="shared" si="13"/>
        <v/>
      </c>
      <c r="M128" s="401" t="str">
        <f t="shared" si="14"/>
        <v/>
      </c>
    </row>
    <row r="129" spans="2:13" s="28" customFormat="1" ht="19.5" customHeight="1" x14ac:dyDescent="0.25">
      <c r="B129" s="135" t="str">
        <f>$B$12</f>
        <v>C3.2</v>
      </c>
      <c r="C129" s="30" t="str">
        <f>"TOTAL CARRIED FORWARD"&amp;IF(H129=H$1," TO SUMMARY","")</f>
        <v>TOTAL CARRIED FORWARD</v>
      </c>
      <c r="D129" s="31"/>
      <c r="E129" s="31"/>
      <c r="F129" s="32"/>
      <c r="G129" s="31"/>
      <c r="H129" s="33">
        <f>SUM(H63:H128)</f>
        <v>660135</v>
      </c>
      <c r="I129" s="34"/>
      <c r="J129" s="408"/>
      <c r="K129" s="406"/>
      <c r="L129" s="418">
        <f>SUM(L71:L128)</f>
        <v>111312.4</v>
      </c>
      <c r="M129" s="407" t="str">
        <f t="shared" ref="M129" si="15">IF(J129="","",IF(SUM(H129)=0,"",L129/H129))</f>
        <v/>
      </c>
    </row>
    <row r="130" spans="2:13" s="1" customFormat="1" ht="13" x14ac:dyDescent="0.25">
      <c r="B130" s="1108" t="str">
        <f>Client1</f>
        <v>Province of KwaZulu-Natal</v>
      </c>
      <c r="C130" s="1108"/>
      <c r="D130" s="1108"/>
      <c r="E130" s="87"/>
      <c r="F130" s="1109" t="str">
        <f>"Contract No. "&amp;ContractNo</f>
        <v>Contract No. ZNB 00399/00000/HOD/INF/21/T</v>
      </c>
      <c r="G130" s="1109"/>
      <c r="H130" s="1109"/>
      <c r="I130" s="5"/>
    </row>
    <row r="131" spans="2:13" s="1" customFormat="1" ht="13" x14ac:dyDescent="0.25">
      <c r="B131" s="1108" t="str">
        <f>Client2</f>
        <v>Department of Transport</v>
      </c>
      <c r="C131" s="1108"/>
      <c r="D131" s="1108"/>
      <c r="E131" s="87"/>
      <c r="F131" s="1109"/>
      <c r="G131" s="1109"/>
      <c r="H131" s="1109"/>
      <c r="I131" s="5"/>
    </row>
    <row r="132" spans="2:13" s="1" customFormat="1" x14ac:dyDescent="0.25">
      <c r="B132" s="1111"/>
      <c r="C132" s="1111"/>
      <c r="D132" s="1111"/>
      <c r="E132" s="78"/>
      <c r="F132" s="1110"/>
      <c r="G132" s="1110"/>
      <c r="H132" s="1110"/>
      <c r="I132" s="5"/>
    </row>
    <row r="133" spans="2:13" s="1" customFormat="1" ht="13" x14ac:dyDescent="0.25">
      <c r="B133" s="1112" t="s">
        <v>8</v>
      </c>
      <c r="C133" s="1113"/>
      <c r="D133" s="1113"/>
      <c r="E133" s="1113"/>
      <c r="F133" s="1113"/>
      <c r="G133" s="1113"/>
      <c r="H133" s="1125" t="str">
        <f>$H$6</f>
        <v>CHAPTER C3.2</v>
      </c>
      <c r="I133" s="6"/>
    </row>
    <row r="134" spans="2:13" s="1" customFormat="1" ht="13" x14ac:dyDescent="0.25">
      <c r="B134" s="1117" t="str">
        <f>ContractDescription</f>
        <v>THE CONSTRUCTION OF EARTHWORKS, LAYERWORKS, SURFACING, CULVERTS AND CWAKA RIVER BRIDGE FROM KM 11.600 TO KM 14.000 ON MAIN ROAD P494 IN THE KING CETSHWAYO DISTRICT UNDER EMPANGENI REGION</v>
      </c>
      <c r="C134" s="1118"/>
      <c r="D134" s="1118"/>
      <c r="E134" s="1118"/>
      <c r="F134" s="1118"/>
      <c r="G134" s="1118"/>
      <c r="H134" s="1126"/>
      <c r="I134" s="8"/>
    </row>
    <row r="135" spans="2:13" s="1" customFormat="1" ht="13" x14ac:dyDescent="0.25">
      <c r="B135" s="1117"/>
      <c r="C135" s="1118"/>
      <c r="D135" s="1118"/>
      <c r="E135" s="1118"/>
      <c r="F135" s="1118"/>
      <c r="G135" s="1118"/>
      <c r="H135" s="1126"/>
      <c r="I135" s="8"/>
    </row>
    <row r="136" spans="2:13" s="1" customFormat="1" ht="13" x14ac:dyDescent="0.25">
      <c r="B136" s="1119"/>
      <c r="C136" s="1120"/>
      <c r="D136" s="1120"/>
      <c r="E136" s="1120"/>
      <c r="F136" s="1120"/>
      <c r="G136" s="1120"/>
      <c r="H136" s="1127"/>
      <c r="I136" s="8"/>
    </row>
    <row r="137" spans="2:13" s="9" customFormat="1" ht="25" customHeight="1" x14ac:dyDescent="0.25">
      <c r="B137" s="74" t="s">
        <v>0</v>
      </c>
      <c r="C137" s="11" t="s">
        <v>1</v>
      </c>
      <c r="D137" s="11" t="s">
        <v>2</v>
      </c>
      <c r="E137" s="11"/>
      <c r="F137" s="11" t="s">
        <v>3</v>
      </c>
      <c r="G137" s="11" t="s">
        <v>4</v>
      </c>
      <c r="H137" s="11" t="s">
        <v>5</v>
      </c>
      <c r="I137" s="12"/>
      <c r="J137" s="408" t="s">
        <v>996</v>
      </c>
      <c r="K137" s="253" t="s">
        <v>997</v>
      </c>
      <c r="L137" s="253" t="s">
        <v>998</v>
      </c>
      <c r="M137" s="253" t="s">
        <v>999</v>
      </c>
    </row>
    <row r="138" spans="2:13" s="28" customFormat="1" ht="20.149999999999999" customHeight="1" x14ac:dyDescent="0.25">
      <c r="B138" s="80"/>
      <c r="C138" s="30" t="s">
        <v>27</v>
      </c>
      <c r="D138" s="31"/>
      <c r="E138" s="31"/>
      <c r="F138" s="32"/>
      <c r="G138" s="31"/>
      <c r="H138" s="33">
        <f>H129</f>
        <v>660135</v>
      </c>
      <c r="I138" s="34"/>
      <c r="J138" s="416"/>
      <c r="K138" s="409"/>
      <c r="L138" s="419">
        <f>L129</f>
        <v>111312.4</v>
      </c>
      <c r="M138" s="410"/>
    </row>
    <row r="139" spans="2:13" x14ac:dyDescent="0.25">
      <c r="B139" s="46"/>
      <c r="C139" s="134"/>
      <c r="D139" s="15"/>
      <c r="E139" s="15"/>
      <c r="F139" s="24"/>
      <c r="G139" s="411"/>
      <c r="H139" s="17" t="str">
        <f t="shared" ref="H139:H199" si="16">IF(D139="","",F139*G139)</f>
        <v/>
      </c>
      <c r="J139" s="61"/>
      <c r="K139" s="399"/>
      <c r="L139" s="420" t="str">
        <f t="shared" ref="L139:L147" si="17">IF(J139="","",F139*K139)</f>
        <v/>
      </c>
      <c r="M139" s="401" t="str">
        <f t="shared" ref="M139:M147" si="18">IF(J139="","",IF(SUM(H139)=0,"",L139/H139))</f>
        <v/>
      </c>
    </row>
    <row r="140" spans="2:13" ht="12.75" customHeight="1" x14ac:dyDescent="0.25">
      <c r="B140" s="146" t="s">
        <v>1999</v>
      </c>
      <c r="C140" s="672" t="s">
        <v>614</v>
      </c>
      <c r="D140" s="15"/>
      <c r="E140" s="15"/>
      <c r="F140" s="24"/>
      <c r="G140" s="703"/>
      <c r="H140" s="17" t="str">
        <f t="shared" si="16"/>
        <v/>
      </c>
      <c r="J140" s="62"/>
      <c r="K140" s="62"/>
      <c r="L140" s="420" t="str">
        <f t="shared" si="17"/>
        <v/>
      </c>
      <c r="M140" s="401" t="str">
        <f t="shared" si="18"/>
        <v/>
      </c>
    </row>
    <row r="141" spans="2:13" x14ac:dyDescent="0.25">
      <c r="B141" s="58"/>
      <c r="C141" s="65"/>
      <c r="D141" s="15"/>
      <c r="E141" s="15"/>
      <c r="F141" s="24"/>
      <c r="G141" s="411"/>
      <c r="H141" s="17" t="str">
        <f t="shared" si="16"/>
        <v/>
      </c>
      <c r="J141" s="62"/>
      <c r="K141" s="62"/>
      <c r="L141" s="420" t="str">
        <f t="shared" si="17"/>
        <v/>
      </c>
      <c r="M141" s="401" t="str">
        <f t="shared" si="18"/>
        <v/>
      </c>
    </row>
    <row r="142" spans="2:13" x14ac:dyDescent="0.25">
      <c r="B142" s="58" t="s">
        <v>613</v>
      </c>
      <c r="C142" s="65" t="s">
        <v>1793</v>
      </c>
      <c r="D142" s="15"/>
      <c r="E142" s="15"/>
      <c r="F142" s="24"/>
      <c r="G142" s="423"/>
      <c r="H142" s="17" t="str">
        <f t="shared" si="16"/>
        <v/>
      </c>
      <c r="J142" s="62"/>
      <c r="K142" s="62"/>
      <c r="L142" s="420" t="str">
        <f t="shared" si="17"/>
        <v/>
      </c>
      <c r="M142" s="401" t="str">
        <f t="shared" si="18"/>
        <v/>
      </c>
    </row>
    <row r="143" spans="2:13" x14ac:dyDescent="0.25">
      <c r="B143" s="58"/>
      <c r="C143" s="65"/>
      <c r="D143" s="15"/>
      <c r="E143" s="15"/>
      <c r="F143" s="24"/>
      <c r="G143" s="411"/>
      <c r="H143" s="17" t="str">
        <f t="shared" si="16"/>
        <v/>
      </c>
      <c r="J143" s="62"/>
      <c r="K143" s="62"/>
      <c r="L143" s="420" t="str">
        <f t="shared" si="17"/>
        <v/>
      </c>
      <c r="M143" s="401" t="str">
        <f t="shared" si="18"/>
        <v/>
      </c>
    </row>
    <row r="144" spans="2:13" x14ac:dyDescent="0.25">
      <c r="B144" s="58" t="s">
        <v>39</v>
      </c>
      <c r="C144" s="796" t="s">
        <v>1791</v>
      </c>
      <c r="D144" s="15" t="s">
        <v>6</v>
      </c>
      <c r="E144" s="15" t="s">
        <v>996</v>
      </c>
      <c r="F144" s="24">
        <v>120</v>
      </c>
      <c r="G144" s="411">
        <v>28.4</v>
      </c>
      <c r="H144" s="17">
        <f t="shared" si="16"/>
        <v>3408</v>
      </c>
      <c r="J144" s="62" t="s">
        <v>996</v>
      </c>
      <c r="K144" s="606">
        <f>_Subsoil</f>
        <v>9</v>
      </c>
      <c r="L144" s="420">
        <f t="shared" si="17"/>
        <v>1080</v>
      </c>
      <c r="M144" s="401">
        <f t="shared" si="18"/>
        <v>0.31690140845070425</v>
      </c>
    </row>
    <row r="145" spans="2:13" x14ac:dyDescent="0.25">
      <c r="B145" s="58"/>
      <c r="C145" s="795"/>
      <c r="D145" s="15"/>
      <c r="E145" s="15"/>
      <c r="F145" s="24"/>
      <c r="G145" s="411"/>
      <c r="H145" s="17" t="str">
        <f t="shared" si="16"/>
        <v/>
      </c>
      <c r="J145" s="62"/>
      <c r="K145" s="402"/>
      <c r="L145" s="420" t="str">
        <f t="shared" si="17"/>
        <v/>
      </c>
      <c r="M145" s="401" t="str">
        <f t="shared" si="18"/>
        <v/>
      </c>
    </row>
    <row r="146" spans="2:13" x14ac:dyDescent="0.25">
      <c r="B146" s="58"/>
      <c r="C146" s="795"/>
      <c r="D146" s="15"/>
      <c r="E146" s="15"/>
      <c r="F146" s="24"/>
      <c r="G146" s="411"/>
      <c r="H146" s="17"/>
      <c r="J146" s="62"/>
      <c r="K146" s="402"/>
      <c r="L146" s="420"/>
      <c r="M146" s="401"/>
    </row>
    <row r="147" spans="2:13" x14ac:dyDescent="0.25">
      <c r="B147" s="58" t="s">
        <v>41</v>
      </c>
      <c r="C147" s="796" t="s">
        <v>1792</v>
      </c>
      <c r="D147" s="15" t="s">
        <v>6</v>
      </c>
      <c r="E147" s="15" t="s">
        <v>996</v>
      </c>
      <c r="F147" s="24">
        <v>120</v>
      </c>
      <c r="G147" s="411">
        <v>28.4</v>
      </c>
      <c r="H147" s="17">
        <f t="shared" si="16"/>
        <v>3408</v>
      </c>
      <c r="J147" s="62" t="s">
        <v>996</v>
      </c>
      <c r="K147" s="606">
        <f>_Subsoil</f>
        <v>9</v>
      </c>
      <c r="L147" s="420">
        <f t="shared" si="17"/>
        <v>1080</v>
      </c>
      <c r="M147" s="401">
        <f t="shared" si="18"/>
        <v>0.31690140845070425</v>
      </c>
    </row>
    <row r="148" spans="2:13" x14ac:dyDescent="0.25">
      <c r="B148" s="58"/>
      <c r="C148" s="796"/>
      <c r="D148" s="15"/>
      <c r="E148" s="15"/>
      <c r="F148" s="24"/>
      <c r="G148" s="411"/>
      <c r="H148" s="17" t="str">
        <f t="shared" si="16"/>
        <v/>
      </c>
      <c r="J148" s="62"/>
      <c r="K148" s="606"/>
      <c r="L148" s="420" t="str">
        <f t="shared" ref="L148" si="19">IF(J148="","",F148*K148)</f>
        <v/>
      </c>
      <c r="M148" s="401" t="str">
        <f t="shared" ref="M148" si="20">IF(J148="","",IF(SUM(H148)=0,"",L148/H148))</f>
        <v/>
      </c>
    </row>
    <row r="149" spans="2:13" ht="26" x14ac:dyDescent="0.25">
      <c r="B149" s="73" t="s">
        <v>2000</v>
      </c>
      <c r="C149" s="865" t="s">
        <v>609</v>
      </c>
      <c r="D149" s="61"/>
      <c r="E149" s="61"/>
      <c r="F149" s="24"/>
      <c r="G149" s="421"/>
      <c r="H149" s="17" t="str">
        <f t="shared" ref="H149:H168" si="21">IF(D149="","",F149*G149)</f>
        <v/>
      </c>
      <c r="J149" s="61"/>
      <c r="K149" s="399"/>
      <c r="L149" s="420" t="str">
        <f t="shared" ref="L149:L168" si="22">IF(J149="","",F149*K149)</f>
        <v/>
      </c>
      <c r="M149" s="401" t="str">
        <f t="shared" ref="M149:M168" si="23">IF(J149="","",IF(SUM(H149)=0,"",L149/H149))</f>
        <v/>
      </c>
    </row>
    <row r="150" spans="2:13" x14ac:dyDescent="0.25">
      <c r="B150" s="46"/>
      <c r="C150" s="25"/>
      <c r="D150" s="61"/>
      <c r="E150" s="61"/>
      <c r="F150" s="24"/>
      <c r="G150" s="421"/>
      <c r="H150" s="17" t="str">
        <f t="shared" si="21"/>
        <v/>
      </c>
      <c r="J150" s="61"/>
      <c r="K150" s="399"/>
      <c r="L150" s="420" t="str">
        <f t="shared" si="22"/>
        <v/>
      </c>
      <c r="M150" s="401" t="str">
        <f t="shared" si="23"/>
        <v/>
      </c>
    </row>
    <row r="151" spans="2:13" ht="37.5" x14ac:dyDescent="0.25">
      <c r="B151" s="46" t="s">
        <v>608</v>
      </c>
      <c r="C151" s="14" t="s">
        <v>2108</v>
      </c>
      <c r="D151" s="15" t="s">
        <v>34</v>
      </c>
      <c r="E151" s="15" t="s">
        <v>996</v>
      </c>
      <c r="F151" s="582">
        <v>10</v>
      </c>
      <c r="G151" s="422">
        <v>175</v>
      </c>
      <c r="H151" s="17">
        <f t="shared" si="21"/>
        <v>1750</v>
      </c>
      <c r="J151" s="61" t="s">
        <v>996</v>
      </c>
      <c r="K151" s="402">
        <f>ROUND(Labour_perc_roads*G151,0)</f>
        <v>5</v>
      </c>
      <c r="L151" s="420">
        <f t="shared" si="22"/>
        <v>50</v>
      </c>
      <c r="M151" s="401">
        <f t="shared" si="23"/>
        <v>2.8571428571428571E-2</v>
      </c>
    </row>
    <row r="152" spans="2:13" x14ac:dyDescent="0.25">
      <c r="B152" s="46"/>
      <c r="C152" s="25"/>
      <c r="D152" s="61"/>
      <c r="E152" s="61"/>
      <c r="F152" s="24"/>
      <c r="G152" s="421"/>
      <c r="H152" s="17" t="str">
        <f t="shared" si="21"/>
        <v/>
      </c>
      <c r="J152" s="61"/>
      <c r="K152" s="400"/>
      <c r="L152" s="420" t="str">
        <f t="shared" si="22"/>
        <v/>
      </c>
      <c r="M152" s="401" t="str">
        <f t="shared" si="23"/>
        <v/>
      </c>
    </row>
    <row r="153" spans="2:13" x14ac:dyDescent="0.25">
      <c r="B153" s="46" t="s">
        <v>607</v>
      </c>
      <c r="C153" s="134" t="s">
        <v>2109</v>
      </c>
      <c r="D153" s="61" t="s">
        <v>6</v>
      </c>
      <c r="E153" s="61" t="s">
        <v>996</v>
      </c>
      <c r="F153" s="24">
        <v>240</v>
      </c>
      <c r="G153" s="421">
        <v>10</v>
      </c>
      <c r="H153" s="17">
        <f t="shared" si="21"/>
        <v>2400</v>
      </c>
      <c r="J153" s="61" t="s">
        <v>996</v>
      </c>
      <c r="K153" s="402">
        <f>ROUND(Labour_perc_roads*G153,4)</f>
        <v>0.28999999999999998</v>
      </c>
      <c r="L153" s="420">
        <f t="shared" si="22"/>
        <v>69.599999999999994</v>
      </c>
      <c r="M153" s="401">
        <f t="shared" si="23"/>
        <v>2.8999999999999998E-2</v>
      </c>
    </row>
    <row r="154" spans="2:13" x14ac:dyDescent="0.25">
      <c r="B154" s="46"/>
      <c r="C154" s="133"/>
      <c r="D154" s="61"/>
      <c r="E154" s="61"/>
      <c r="F154" s="24"/>
      <c r="G154" s="421"/>
      <c r="H154" s="17" t="str">
        <f t="shared" si="21"/>
        <v/>
      </c>
      <c r="J154" s="61"/>
      <c r="K154" s="400"/>
      <c r="L154" s="420" t="str">
        <f t="shared" si="22"/>
        <v/>
      </c>
      <c r="M154" s="401" t="str">
        <f t="shared" si="23"/>
        <v/>
      </c>
    </row>
    <row r="155" spans="2:13" x14ac:dyDescent="0.25">
      <c r="B155" s="46" t="s">
        <v>606</v>
      </c>
      <c r="C155" s="14" t="s">
        <v>2004</v>
      </c>
      <c r="D155" s="15"/>
      <c r="E155" s="15"/>
      <c r="F155" s="24"/>
      <c r="G155" s="421"/>
      <c r="H155" s="17" t="str">
        <f t="shared" si="21"/>
        <v/>
      </c>
      <c r="J155" s="61"/>
      <c r="K155" s="400"/>
      <c r="L155" s="420" t="str">
        <f t="shared" si="22"/>
        <v/>
      </c>
      <c r="M155" s="401" t="str">
        <f t="shared" si="23"/>
        <v/>
      </c>
    </row>
    <row r="156" spans="2:13" x14ac:dyDescent="0.25">
      <c r="B156" s="46"/>
      <c r="C156" s="134"/>
      <c r="D156" s="15"/>
      <c r="E156" s="15"/>
      <c r="F156" s="24"/>
      <c r="G156" s="421"/>
      <c r="H156" s="17" t="str">
        <f t="shared" si="21"/>
        <v/>
      </c>
      <c r="J156" s="61"/>
      <c r="K156" s="400"/>
      <c r="L156" s="420" t="str">
        <f t="shared" si="22"/>
        <v/>
      </c>
      <c r="M156" s="401" t="str">
        <f t="shared" si="23"/>
        <v/>
      </c>
    </row>
    <row r="157" spans="2:13" x14ac:dyDescent="0.25">
      <c r="B157" s="46" t="s">
        <v>39</v>
      </c>
      <c r="C157" s="134" t="s">
        <v>2002</v>
      </c>
      <c r="D157" s="15" t="s">
        <v>34</v>
      </c>
      <c r="E157" s="15" t="s">
        <v>996</v>
      </c>
      <c r="F157" s="24">
        <v>4</v>
      </c>
      <c r="G157" s="421">
        <v>80</v>
      </c>
      <c r="H157" s="17">
        <f t="shared" si="21"/>
        <v>320</v>
      </c>
      <c r="J157" s="61" t="s">
        <v>996</v>
      </c>
      <c r="K157" s="402">
        <f>ROUND(Labour_perc_roads*G157,4)</f>
        <v>2.3199999999999998</v>
      </c>
      <c r="L157" s="420">
        <f t="shared" si="22"/>
        <v>9.2799999999999994</v>
      </c>
      <c r="M157" s="401">
        <f t="shared" si="23"/>
        <v>2.8999999999999998E-2</v>
      </c>
    </row>
    <row r="158" spans="2:13" x14ac:dyDescent="0.25">
      <c r="B158" s="46"/>
      <c r="C158" s="134"/>
      <c r="D158" s="15"/>
      <c r="E158" s="15"/>
      <c r="F158" s="24"/>
      <c r="G158" s="421"/>
      <c r="H158" s="17" t="str">
        <f t="shared" si="21"/>
        <v/>
      </c>
      <c r="J158" s="61"/>
      <c r="K158" s="400"/>
      <c r="L158" s="420" t="str">
        <f t="shared" si="22"/>
        <v/>
      </c>
      <c r="M158" s="401" t="str">
        <f t="shared" si="23"/>
        <v/>
      </c>
    </row>
    <row r="159" spans="2:13" x14ac:dyDescent="0.25">
      <c r="B159" s="46" t="s">
        <v>41</v>
      </c>
      <c r="C159" s="134" t="s">
        <v>2003</v>
      </c>
      <c r="D159" s="15" t="s">
        <v>34</v>
      </c>
      <c r="E159" s="15" t="s">
        <v>996</v>
      </c>
      <c r="F159" s="24">
        <v>4</v>
      </c>
      <c r="G159" s="421">
        <v>120</v>
      </c>
      <c r="H159" s="17">
        <f t="shared" si="21"/>
        <v>480</v>
      </c>
      <c r="J159" s="61" t="s">
        <v>996</v>
      </c>
      <c r="K159" s="402">
        <f>ROUND(Labour_perc_roads*G159,4)</f>
        <v>3.48</v>
      </c>
      <c r="L159" s="420">
        <f t="shared" si="22"/>
        <v>13.92</v>
      </c>
      <c r="M159" s="401">
        <f t="shared" si="23"/>
        <v>2.9000000000000001E-2</v>
      </c>
    </row>
    <row r="160" spans="2:13" x14ac:dyDescent="0.25">
      <c r="B160" s="46"/>
      <c r="C160" s="133"/>
      <c r="D160" s="61"/>
      <c r="E160" s="61"/>
      <c r="F160" s="24"/>
      <c r="G160" s="421"/>
      <c r="H160" s="17" t="str">
        <f t="shared" si="21"/>
        <v/>
      </c>
      <c r="J160" s="61"/>
      <c r="K160" s="400"/>
      <c r="L160" s="420" t="str">
        <f t="shared" si="22"/>
        <v/>
      </c>
      <c r="M160" s="401" t="str">
        <f t="shared" si="23"/>
        <v/>
      </c>
    </row>
    <row r="161" spans="2:13" ht="26" x14ac:dyDescent="0.3">
      <c r="B161" s="73" t="s">
        <v>2001</v>
      </c>
      <c r="C161" s="19" t="s">
        <v>598</v>
      </c>
      <c r="D161" s="15" t="s">
        <v>512</v>
      </c>
      <c r="E161" s="15" t="s">
        <v>996</v>
      </c>
      <c r="F161" s="582">
        <v>10</v>
      </c>
      <c r="G161" s="423">
        <v>205</v>
      </c>
      <c r="H161" s="17">
        <f t="shared" si="21"/>
        <v>2050</v>
      </c>
      <c r="J161" s="61" t="s">
        <v>996</v>
      </c>
      <c r="K161" s="606">
        <v>100</v>
      </c>
      <c r="L161" s="420">
        <f t="shared" si="22"/>
        <v>1000</v>
      </c>
      <c r="M161" s="401">
        <f t="shared" si="23"/>
        <v>0.48780487804878048</v>
      </c>
    </row>
    <row r="162" spans="2:13" x14ac:dyDescent="0.25">
      <c r="B162" s="46"/>
      <c r="C162" s="25"/>
      <c r="D162" s="61"/>
      <c r="E162" s="61"/>
      <c r="F162" s="24"/>
      <c r="G162" s="421"/>
      <c r="H162" s="17" t="str">
        <f t="shared" si="21"/>
        <v/>
      </c>
      <c r="J162" s="61"/>
      <c r="K162" s="399"/>
      <c r="L162" s="420" t="str">
        <f t="shared" si="22"/>
        <v/>
      </c>
      <c r="M162" s="401" t="str">
        <f t="shared" si="23"/>
        <v/>
      </c>
    </row>
    <row r="163" spans="2:13" ht="26" x14ac:dyDescent="0.25">
      <c r="B163" s="73" t="s">
        <v>2005</v>
      </c>
      <c r="C163" s="19" t="s">
        <v>188</v>
      </c>
      <c r="D163" s="21"/>
      <c r="E163" s="21"/>
      <c r="F163" s="647"/>
      <c r="G163" s="753"/>
      <c r="H163" s="17" t="str">
        <f t="shared" si="21"/>
        <v/>
      </c>
      <c r="J163" s="61"/>
      <c r="K163" s="399"/>
      <c r="L163" s="420" t="str">
        <f t="shared" si="22"/>
        <v/>
      </c>
      <c r="M163" s="401" t="str">
        <f t="shared" si="23"/>
        <v/>
      </c>
    </row>
    <row r="164" spans="2:13" x14ac:dyDescent="0.25">
      <c r="B164" s="46"/>
      <c r="C164" s="134"/>
      <c r="D164" s="21"/>
      <c r="E164" s="21"/>
      <c r="F164" s="647"/>
      <c r="G164" s="753"/>
      <c r="H164" s="17" t="str">
        <f t="shared" si="21"/>
        <v/>
      </c>
      <c r="J164" s="61"/>
      <c r="K164" s="399"/>
      <c r="L164" s="420" t="str">
        <f t="shared" si="22"/>
        <v/>
      </c>
      <c r="M164" s="401" t="str">
        <f t="shared" si="23"/>
        <v/>
      </c>
    </row>
    <row r="165" spans="2:13" ht="14.5" x14ac:dyDescent="0.25">
      <c r="B165" s="46" t="s">
        <v>41</v>
      </c>
      <c r="C165" s="134" t="s">
        <v>189</v>
      </c>
      <c r="D165" s="21" t="s">
        <v>194</v>
      </c>
      <c r="E165" s="21"/>
      <c r="F165" s="647">
        <v>250</v>
      </c>
      <c r="G165" s="753">
        <v>8</v>
      </c>
      <c r="H165" s="17">
        <f t="shared" si="21"/>
        <v>2000</v>
      </c>
      <c r="J165" s="61"/>
      <c r="K165" s="402"/>
      <c r="L165" s="420" t="str">
        <f t="shared" si="22"/>
        <v/>
      </c>
      <c r="M165" s="401" t="str">
        <f t="shared" si="23"/>
        <v/>
      </c>
    </row>
    <row r="166" spans="2:13" x14ac:dyDescent="0.25">
      <c r="B166" s="46"/>
      <c r="C166" s="134"/>
      <c r="D166" s="21"/>
      <c r="E166" s="21"/>
      <c r="F166" s="647"/>
      <c r="G166" s="753"/>
      <c r="H166" s="17" t="str">
        <f t="shared" si="21"/>
        <v/>
      </c>
      <c r="J166" s="61"/>
      <c r="K166" s="402"/>
      <c r="L166" s="420" t="str">
        <f t="shared" si="22"/>
        <v/>
      </c>
      <c r="M166" s="401" t="str">
        <f t="shared" si="23"/>
        <v/>
      </c>
    </row>
    <row r="167" spans="2:13" ht="14.5" x14ac:dyDescent="0.25">
      <c r="B167" s="46" t="s">
        <v>52</v>
      </c>
      <c r="C167" s="134" t="s">
        <v>190</v>
      </c>
      <c r="D167" s="21" t="s">
        <v>194</v>
      </c>
      <c r="E167" s="21"/>
      <c r="F167" s="647">
        <v>100</v>
      </c>
      <c r="G167" s="753">
        <v>8</v>
      </c>
      <c r="H167" s="17">
        <f t="shared" si="21"/>
        <v>800</v>
      </c>
      <c r="J167" s="61"/>
      <c r="K167" s="402"/>
      <c r="L167" s="420" t="str">
        <f t="shared" si="22"/>
        <v/>
      </c>
      <c r="M167" s="401" t="str">
        <f t="shared" si="23"/>
        <v/>
      </c>
    </row>
    <row r="168" spans="2:13" x14ac:dyDescent="0.25">
      <c r="B168" s="46"/>
      <c r="C168" s="14"/>
      <c r="D168" s="15"/>
      <c r="E168" s="15"/>
      <c r="F168" s="647"/>
      <c r="G168" s="411"/>
      <c r="H168" s="17" t="str">
        <f t="shared" si="21"/>
        <v/>
      </c>
      <c r="J168" s="61"/>
      <c r="K168" s="402"/>
      <c r="L168" s="420" t="str">
        <f t="shared" si="22"/>
        <v/>
      </c>
      <c r="M168" s="401" t="str">
        <f t="shared" si="23"/>
        <v/>
      </c>
    </row>
    <row r="169" spans="2:13" x14ac:dyDescent="0.25">
      <c r="B169" s="46"/>
      <c r="C169" s="14"/>
      <c r="D169" s="15"/>
      <c r="E169" s="15"/>
      <c r="F169" s="15"/>
      <c r="G169" s="422"/>
      <c r="H169" s="17" t="str">
        <f t="shared" si="16"/>
        <v/>
      </c>
      <c r="J169" s="62"/>
      <c r="K169" s="62"/>
      <c r="L169" s="420" t="str">
        <f t="shared" ref="L169:L199" si="24">IF(J169="","",F169*K169)</f>
        <v/>
      </c>
      <c r="M169" s="401" t="str">
        <f t="shared" ref="M169:M199" si="25">IF(J169="","",IF(SUM(H169)=0,"",L169/H169))</f>
        <v/>
      </c>
    </row>
    <row r="170" spans="2:13" x14ac:dyDescent="0.25">
      <c r="B170" s="46"/>
      <c r="C170" s="65"/>
      <c r="D170" s="15"/>
      <c r="E170" s="15"/>
      <c r="F170" s="15"/>
      <c r="G170" s="422"/>
      <c r="H170" s="17" t="str">
        <f t="shared" si="16"/>
        <v/>
      </c>
      <c r="J170" s="62"/>
      <c r="K170" s="62"/>
      <c r="L170" s="420" t="str">
        <f t="shared" si="24"/>
        <v/>
      </c>
      <c r="M170" s="401" t="str">
        <f t="shared" si="25"/>
        <v/>
      </c>
    </row>
    <row r="171" spans="2:13" x14ac:dyDescent="0.25">
      <c r="B171" s="46"/>
      <c r="C171" s="65"/>
      <c r="D171" s="15"/>
      <c r="E171" s="15"/>
      <c r="F171" s="15"/>
      <c r="G171" s="422"/>
      <c r="H171" s="17" t="str">
        <f t="shared" si="16"/>
        <v/>
      </c>
      <c r="J171" s="62"/>
      <c r="K171" s="62"/>
      <c r="L171" s="420" t="str">
        <f t="shared" si="24"/>
        <v/>
      </c>
      <c r="M171" s="401" t="str">
        <f t="shared" si="25"/>
        <v/>
      </c>
    </row>
    <row r="172" spans="2:13" x14ac:dyDescent="0.25">
      <c r="B172" s="46"/>
      <c r="C172" s="690"/>
      <c r="D172" s="15"/>
      <c r="E172" s="15"/>
      <c r="F172" s="15"/>
      <c r="G172" s="422"/>
      <c r="H172" s="17" t="str">
        <f t="shared" si="16"/>
        <v/>
      </c>
      <c r="J172" s="62"/>
      <c r="K172" s="62"/>
      <c r="L172" s="420" t="str">
        <f t="shared" si="24"/>
        <v/>
      </c>
      <c r="M172" s="401" t="str">
        <f t="shared" si="25"/>
        <v/>
      </c>
    </row>
    <row r="173" spans="2:13" x14ac:dyDescent="0.25">
      <c r="B173" s="46"/>
      <c r="C173" s="690"/>
      <c r="D173" s="15"/>
      <c r="E173" s="15"/>
      <c r="F173" s="15"/>
      <c r="G173" s="422"/>
      <c r="H173" s="17" t="str">
        <f t="shared" si="16"/>
        <v/>
      </c>
      <c r="J173" s="62"/>
      <c r="K173" s="402"/>
      <c r="L173" s="420" t="str">
        <f t="shared" si="24"/>
        <v/>
      </c>
      <c r="M173" s="401" t="str">
        <f t="shared" si="25"/>
        <v/>
      </c>
    </row>
    <row r="174" spans="2:13" x14ac:dyDescent="0.25">
      <c r="B174" s="46"/>
      <c r="C174" s="691"/>
      <c r="D174" s="15"/>
      <c r="E174" s="15"/>
      <c r="F174" s="15"/>
      <c r="G174" s="422"/>
      <c r="H174" s="17" t="str">
        <f t="shared" si="16"/>
        <v/>
      </c>
      <c r="J174" s="62"/>
      <c r="K174" s="62"/>
      <c r="L174" s="420" t="str">
        <f t="shared" si="24"/>
        <v/>
      </c>
      <c r="M174" s="401" t="str">
        <f t="shared" si="25"/>
        <v/>
      </c>
    </row>
    <row r="175" spans="2:13" x14ac:dyDescent="0.25">
      <c r="B175" s="46"/>
      <c r="C175" s="690"/>
      <c r="D175" s="15"/>
      <c r="E175" s="15"/>
      <c r="F175" s="15"/>
      <c r="G175" s="422"/>
      <c r="H175" s="17" t="str">
        <f t="shared" si="16"/>
        <v/>
      </c>
      <c r="J175" s="62"/>
      <c r="K175" s="62"/>
      <c r="L175" s="420" t="str">
        <f t="shared" si="24"/>
        <v/>
      </c>
      <c r="M175" s="401" t="str">
        <f t="shared" si="25"/>
        <v/>
      </c>
    </row>
    <row r="176" spans="2:13" x14ac:dyDescent="0.25">
      <c r="B176" s="46"/>
      <c r="C176" s="691"/>
      <c r="D176" s="15"/>
      <c r="E176" s="15"/>
      <c r="F176" s="15"/>
      <c r="G176" s="422"/>
      <c r="H176" s="17" t="str">
        <f t="shared" si="16"/>
        <v/>
      </c>
      <c r="J176" s="62"/>
      <c r="K176" s="62"/>
      <c r="L176" s="420" t="str">
        <f t="shared" si="24"/>
        <v/>
      </c>
      <c r="M176" s="401" t="str">
        <f t="shared" si="25"/>
        <v/>
      </c>
    </row>
    <row r="177" spans="2:13" x14ac:dyDescent="0.25">
      <c r="B177" s="46"/>
      <c r="C177" s="692"/>
      <c r="D177" s="15"/>
      <c r="E177" s="15"/>
      <c r="F177" s="15"/>
      <c r="G177" s="422"/>
      <c r="H177" s="17" t="str">
        <f t="shared" si="16"/>
        <v/>
      </c>
      <c r="J177" s="62"/>
      <c r="K177" s="62"/>
      <c r="L177" s="420" t="str">
        <f t="shared" si="24"/>
        <v/>
      </c>
      <c r="M177" s="401" t="str">
        <f t="shared" si="25"/>
        <v/>
      </c>
    </row>
    <row r="178" spans="2:13" x14ac:dyDescent="0.25">
      <c r="B178" s="46"/>
      <c r="C178" s="14"/>
      <c r="D178" s="15"/>
      <c r="E178" s="15"/>
      <c r="F178" s="15"/>
      <c r="G178" s="424"/>
      <c r="H178" s="17" t="str">
        <f t="shared" si="16"/>
        <v/>
      </c>
      <c r="J178" s="62"/>
      <c r="K178" s="62"/>
      <c r="L178" s="420" t="str">
        <f t="shared" si="24"/>
        <v/>
      </c>
      <c r="M178" s="401" t="str">
        <f t="shared" si="25"/>
        <v/>
      </c>
    </row>
    <row r="179" spans="2:13" x14ac:dyDescent="0.25">
      <c r="B179" s="46"/>
      <c r="C179" s="14"/>
      <c r="D179" s="15"/>
      <c r="E179" s="15"/>
      <c r="F179" s="15"/>
      <c r="G179" s="422"/>
      <c r="H179" s="17" t="str">
        <f t="shared" si="16"/>
        <v/>
      </c>
      <c r="J179" s="62"/>
      <c r="K179" s="62"/>
      <c r="L179" s="420" t="str">
        <f t="shared" si="24"/>
        <v/>
      </c>
      <c r="M179" s="401" t="str">
        <f t="shared" si="25"/>
        <v/>
      </c>
    </row>
    <row r="180" spans="2:13" x14ac:dyDescent="0.25">
      <c r="B180" s="46"/>
      <c r="C180" s="14"/>
      <c r="D180" s="15"/>
      <c r="E180" s="15"/>
      <c r="F180" s="15"/>
      <c r="G180" s="422"/>
      <c r="H180" s="17" t="str">
        <f t="shared" si="16"/>
        <v/>
      </c>
      <c r="J180" s="62"/>
      <c r="K180" s="62"/>
      <c r="L180" s="420" t="str">
        <f t="shared" si="24"/>
        <v/>
      </c>
      <c r="M180" s="401" t="str">
        <f t="shared" si="25"/>
        <v/>
      </c>
    </row>
    <row r="181" spans="2:13" x14ac:dyDescent="0.25">
      <c r="B181" s="46"/>
      <c r="C181" s="14"/>
      <c r="D181" s="61"/>
      <c r="E181" s="61"/>
      <c r="F181" s="15"/>
      <c r="G181" s="422"/>
      <c r="H181" s="17" t="str">
        <f t="shared" si="16"/>
        <v/>
      </c>
      <c r="J181" s="62"/>
      <c r="K181" s="62"/>
      <c r="L181" s="420" t="str">
        <f t="shared" si="24"/>
        <v/>
      </c>
      <c r="M181" s="401" t="str">
        <f t="shared" si="25"/>
        <v/>
      </c>
    </row>
    <row r="182" spans="2:13" x14ac:dyDescent="0.25">
      <c r="B182" s="46"/>
      <c r="C182" s="26"/>
      <c r="D182" s="15"/>
      <c r="E182" s="15"/>
      <c r="F182" s="61"/>
      <c r="G182" s="422"/>
      <c r="H182" s="17" t="str">
        <f t="shared" si="16"/>
        <v/>
      </c>
      <c r="J182" s="62"/>
      <c r="K182" s="62"/>
      <c r="L182" s="420" t="str">
        <f t="shared" si="24"/>
        <v/>
      </c>
      <c r="M182" s="401" t="str">
        <f t="shared" si="25"/>
        <v/>
      </c>
    </row>
    <row r="183" spans="2:13" x14ac:dyDescent="0.25">
      <c r="B183" s="46"/>
      <c r="C183" s="14"/>
      <c r="D183" s="15"/>
      <c r="E183" s="15"/>
      <c r="F183" s="15"/>
      <c r="G183" s="422"/>
      <c r="H183" s="17" t="str">
        <f t="shared" si="16"/>
        <v/>
      </c>
      <c r="J183" s="62"/>
      <c r="K183" s="62"/>
      <c r="L183" s="420" t="str">
        <f t="shared" si="24"/>
        <v/>
      </c>
      <c r="M183" s="401" t="str">
        <f t="shared" si="25"/>
        <v/>
      </c>
    </row>
    <row r="184" spans="2:13" ht="16.5" customHeight="1" x14ac:dyDescent="0.25">
      <c r="B184" s="46"/>
      <c r="C184" s="70"/>
      <c r="D184" s="61"/>
      <c r="E184" s="61"/>
      <c r="F184" s="61"/>
      <c r="G184" s="422"/>
      <c r="H184" s="17" t="str">
        <f t="shared" si="16"/>
        <v/>
      </c>
      <c r="J184" s="62"/>
      <c r="K184" s="62"/>
      <c r="L184" s="420" t="str">
        <f t="shared" si="24"/>
        <v/>
      </c>
      <c r="M184" s="401" t="str">
        <f t="shared" si="25"/>
        <v/>
      </c>
    </row>
    <row r="185" spans="2:13" x14ac:dyDescent="0.25">
      <c r="B185" s="46"/>
      <c r="C185" s="26"/>
      <c r="D185" s="61"/>
      <c r="E185" s="61"/>
      <c r="F185" s="61"/>
      <c r="G185" s="422"/>
      <c r="H185" s="17" t="str">
        <f t="shared" si="16"/>
        <v/>
      </c>
      <c r="J185" s="62"/>
      <c r="K185" s="62"/>
      <c r="L185" s="420" t="str">
        <f t="shared" si="24"/>
        <v/>
      </c>
      <c r="M185" s="401" t="str">
        <f t="shared" si="25"/>
        <v/>
      </c>
    </row>
    <row r="186" spans="2:13" x14ac:dyDescent="0.25">
      <c r="B186" s="46"/>
      <c r="C186" s="14"/>
      <c r="D186" s="15"/>
      <c r="E186" s="15"/>
      <c r="F186" s="15"/>
      <c r="G186" s="422"/>
      <c r="H186" s="17" t="str">
        <f t="shared" si="16"/>
        <v/>
      </c>
      <c r="J186" s="62"/>
      <c r="K186" s="62"/>
      <c r="L186" s="420" t="str">
        <f t="shared" si="24"/>
        <v/>
      </c>
      <c r="M186" s="401" t="str">
        <f t="shared" si="25"/>
        <v/>
      </c>
    </row>
    <row r="187" spans="2:13" x14ac:dyDescent="0.25">
      <c r="B187" s="46"/>
      <c r="C187" s="14"/>
      <c r="D187" s="15"/>
      <c r="E187" s="15"/>
      <c r="F187" s="15"/>
      <c r="G187" s="422"/>
      <c r="H187" s="17" t="str">
        <f t="shared" si="16"/>
        <v/>
      </c>
      <c r="J187" s="62"/>
      <c r="K187" s="62"/>
      <c r="L187" s="420" t="str">
        <f t="shared" si="24"/>
        <v/>
      </c>
      <c r="M187" s="401" t="str">
        <f t="shared" si="25"/>
        <v/>
      </c>
    </row>
    <row r="188" spans="2:13" x14ac:dyDescent="0.25">
      <c r="B188" s="46"/>
      <c r="C188" s="14"/>
      <c r="D188" s="15"/>
      <c r="E188" s="15"/>
      <c r="F188" s="15"/>
      <c r="G188" s="422"/>
      <c r="H188" s="17" t="str">
        <f t="shared" si="16"/>
        <v/>
      </c>
      <c r="J188" s="62"/>
      <c r="K188" s="62"/>
      <c r="L188" s="420" t="str">
        <f t="shared" si="24"/>
        <v/>
      </c>
      <c r="M188" s="401" t="str">
        <f t="shared" si="25"/>
        <v/>
      </c>
    </row>
    <row r="189" spans="2:13" x14ac:dyDescent="0.25">
      <c r="B189" s="46"/>
      <c r="C189" s="14"/>
      <c r="D189" s="712"/>
      <c r="E189" s="712"/>
      <c r="F189" s="15"/>
      <c r="G189" s="422"/>
      <c r="H189" s="17" t="str">
        <f t="shared" si="16"/>
        <v/>
      </c>
      <c r="J189" s="62"/>
      <c r="K189" s="62"/>
      <c r="L189" s="420" t="str">
        <f t="shared" si="24"/>
        <v/>
      </c>
      <c r="M189" s="401" t="str">
        <f t="shared" si="25"/>
        <v/>
      </c>
    </row>
    <row r="190" spans="2:13" x14ac:dyDescent="0.25">
      <c r="B190" s="46"/>
      <c r="C190" s="14"/>
      <c r="D190" s="712"/>
      <c r="E190" s="712"/>
      <c r="F190" s="15"/>
      <c r="G190" s="411"/>
      <c r="H190" s="17" t="str">
        <f t="shared" si="16"/>
        <v/>
      </c>
      <c r="J190" s="62"/>
      <c r="K190" s="399"/>
      <c r="L190" s="420" t="str">
        <f t="shared" si="24"/>
        <v/>
      </c>
      <c r="M190" s="401" t="str">
        <f t="shared" si="25"/>
        <v/>
      </c>
    </row>
    <row r="191" spans="2:13" x14ac:dyDescent="0.25">
      <c r="B191" s="46"/>
      <c r="C191" s="65"/>
      <c r="D191" s="15"/>
      <c r="E191" s="15"/>
      <c r="F191" s="15"/>
      <c r="G191" s="411"/>
      <c r="H191" s="17" t="str">
        <f t="shared" si="16"/>
        <v/>
      </c>
      <c r="J191" s="62"/>
      <c r="K191" s="62"/>
      <c r="L191" s="420" t="str">
        <f t="shared" si="24"/>
        <v/>
      </c>
      <c r="M191" s="401" t="str">
        <f t="shared" si="25"/>
        <v/>
      </c>
    </row>
    <row r="192" spans="2:13" x14ac:dyDescent="0.25">
      <c r="B192" s="46"/>
      <c r="C192" s="65"/>
      <c r="D192" s="15"/>
      <c r="E192" s="15"/>
      <c r="F192" s="15"/>
      <c r="G192" s="411"/>
      <c r="H192" s="17" t="str">
        <f t="shared" si="16"/>
        <v/>
      </c>
      <c r="J192" s="62"/>
      <c r="K192" s="62"/>
      <c r="L192" s="420" t="str">
        <f t="shared" si="24"/>
        <v/>
      </c>
      <c r="M192" s="401" t="str">
        <f t="shared" si="25"/>
        <v/>
      </c>
    </row>
    <row r="193" spans="2:13" x14ac:dyDescent="0.25">
      <c r="B193" s="46"/>
      <c r="C193" s="14"/>
      <c r="D193" s="15"/>
      <c r="E193" s="15"/>
      <c r="F193" s="15"/>
      <c r="G193" s="411"/>
      <c r="H193" s="17" t="str">
        <f t="shared" si="16"/>
        <v/>
      </c>
      <c r="J193" s="62"/>
      <c r="K193" s="62"/>
      <c r="L193" s="420" t="str">
        <f t="shared" si="24"/>
        <v/>
      </c>
      <c r="M193" s="401" t="str">
        <f t="shared" si="25"/>
        <v/>
      </c>
    </row>
    <row r="194" spans="2:13" x14ac:dyDescent="0.25">
      <c r="B194" s="46"/>
      <c r="C194" s="14"/>
      <c r="D194" s="15"/>
      <c r="E194" s="15"/>
      <c r="F194" s="24"/>
      <c r="G194" s="703"/>
      <c r="H194" s="17" t="str">
        <f t="shared" si="16"/>
        <v/>
      </c>
      <c r="J194" s="62"/>
      <c r="K194" s="62"/>
      <c r="L194" s="420" t="str">
        <f t="shared" si="24"/>
        <v/>
      </c>
      <c r="M194" s="401" t="str">
        <f t="shared" si="25"/>
        <v/>
      </c>
    </row>
    <row r="195" spans="2:13" x14ac:dyDescent="0.25">
      <c r="B195" s="46"/>
      <c r="C195" s="14"/>
      <c r="D195" s="15"/>
      <c r="E195" s="15"/>
      <c r="F195" s="24"/>
      <c r="G195" s="411"/>
      <c r="H195" s="17" t="str">
        <f t="shared" si="16"/>
        <v/>
      </c>
      <c r="J195" s="62"/>
      <c r="K195" s="62"/>
      <c r="L195" s="420" t="str">
        <f t="shared" si="24"/>
        <v/>
      </c>
      <c r="M195" s="401" t="str">
        <f t="shared" si="25"/>
        <v/>
      </c>
    </row>
    <row r="196" spans="2:13" x14ac:dyDescent="0.25">
      <c r="B196" s="46"/>
      <c r="C196" s="14"/>
      <c r="D196" s="15"/>
      <c r="E196" s="15"/>
      <c r="F196" s="24"/>
      <c r="G196" s="423"/>
      <c r="H196" s="17" t="str">
        <f t="shared" si="16"/>
        <v/>
      </c>
      <c r="J196" s="62"/>
      <c r="K196" s="62"/>
      <c r="L196" s="420" t="str">
        <f t="shared" si="24"/>
        <v/>
      </c>
      <c r="M196" s="401" t="str">
        <f t="shared" si="25"/>
        <v/>
      </c>
    </row>
    <row r="197" spans="2:13" x14ac:dyDescent="0.25">
      <c r="B197" s="46"/>
      <c r="C197" s="25"/>
      <c r="D197" s="61"/>
      <c r="E197" s="61"/>
      <c r="F197" s="24"/>
      <c r="G197" s="421"/>
      <c r="H197" s="17" t="str">
        <f t="shared" si="16"/>
        <v/>
      </c>
      <c r="J197" s="62"/>
      <c r="K197" s="62"/>
      <c r="L197" s="420" t="str">
        <f t="shared" si="24"/>
        <v/>
      </c>
      <c r="M197" s="401" t="str">
        <f t="shared" si="25"/>
        <v/>
      </c>
    </row>
    <row r="198" spans="2:13" x14ac:dyDescent="0.25">
      <c r="B198" s="46"/>
      <c r="C198" s="14"/>
      <c r="D198" s="15"/>
      <c r="E198" s="15"/>
      <c r="F198" s="24"/>
      <c r="G198" s="411"/>
      <c r="H198" s="17" t="str">
        <f t="shared" si="16"/>
        <v/>
      </c>
      <c r="J198" s="62"/>
      <c r="K198" s="62"/>
      <c r="L198" s="420" t="str">
        <f t="shared" si="24"/>
        <v/>
      </c>
      <c r="M198" s="401" t="str">
        <f t="shared" si="25"/>
        <v/>
      </c>
    </row>
    <row r="199" spans="2:13" x14ac:dyDescent="0.25">
      <c r="B199" s="46"/>
      <c r="C199" s="14"/>
      <c r="D199" s="15"/>
      <c r="E199" s="15"/>
      <c r="F199" s="24"/>
      <c r="G199" s="411"/>
      <c r="H199" s="17" t="str">
        <f t="shared" si="16"/>
        <v/>
      </c>
      <c r="J199" s="711"/>
      <c r="K199" s="711"/>
      <c r="L199" s="420" t="str">
        <f t="shared" si="24"/>
        <v/>
      </c>
      <c r="M199" s="401" t="str">
        <f t="shared" si="25"/>
        <v/>
      </c>
    </row>
    <row r="200" spans="2:13" s="28" customFormat="1" ht="19.5" customHeight="1" x14ac:dyDescent="0.25">
      <c r="B200" s="135" t="str">
        <f>$B$12</f>
        <v>C3.2</v>
      </c>
      <c r="C200" s="30" t="str">
        <f>"TOTAL CARRIED FORWARD"&amp;IF(H200=H$1," TO SUMMARY","")</f>
        <v>TOTAL CARRIED FORWARD TO SUMMARY</v>
      </c>
      <c r="D200" s="31"/>
      <c r="E200" s="31"/>
      <c r="F200" s="32"/>
      <c r="G200" s="31"/>
      <c r="H200" s="33">
        <f>SUM(H138:H199)</f>
        <v>676751</v>
      </c>
      <c r="I200" s="34"/>
      <c r="J200" s="408"/>
      <c r="K200" s="406"/>
      <c r="L200" s="418">
        <f>SUM(L138:L199)</f>
        <v>114615.2</v>
      </c>
      <c r="M200" s="407" t="str">
        <f t="shared" ref="M200" si="26">IF(J200="","",IF(SUM(H200)=0,"",L200/H200))</f>
        <v/>
      </c>
    </row>
    <row r="201" spans="2:13" s="1" customFormat="1" ht="13" x14ac:dyDescent="0.25">
      <c r="B201" s="1108" t="str">
        <f>Client1</f>
        <v>Province of KwaZulu-Natal</v>
      </c>
      <c r="C201" s="1108"/>
      <c r="D201" s="1108"/>
      <c r="E201" s="87"/>
      <c r="F201" s="1109" t="str">
        <f>"Contract No. "&amp;ContractNo</f>
        <v>Contract No. ZNB 00399/00000/HOD/INF/21/T</v>
      </c>
      <c r="G201" s="1109"/>
      <c r="H201" s="1109"/>
      <c r="I201" s="5"/>
    </row>
    <row r="202" spans="2:13" s="1" customFormat="1" ht="13" x14ac:dyDescent="0.25">
      <c r="B202" s="1108" t="str">
        <f>Client2</f>
        <v>Department of Transport</v>
      </c>
      <c r="C202" s="1108"/>
      <c r="D202" s="1108"/>
      <c r="E202" s="87"/>
      <c r="F202" s="1109"/>
      <c r="G202" s="1109"/>
      <c r="H202" s="1109"/>
      <c r="I202" s="5"/>
    </row>
    <row r="203" spans="2:13" s="1" customFormat="1" x14ac:dyDescent="0.25">
      <c r="B203" s="1111"/>
      <c r="C203" s="1111"/>
      <c r="D203" s="1111"/>
      <c r="E203" s="78"/>
      <c r="F203" s="1110"/>
      <c r="G203" s="1110"/>
      <c r="H203" s="1110"/>
      <c r="I203" s="5"/>
    </row>
    <row r="204" spans="2:13" s="1" customFormat="1" ht="13" x14ac:dyDescent="0.25">
      <c r="B204" s="1112" t="s">
        <v>8</v>
      </c>
      <c r="C204" s="1113"/>
      <c r="D204" s="1113"/>
      <c r="E204" s="1113"/>
      <c r="F204" s="1113"/>
      <c r="G204" s="1113"/>
      <c r="H204" s="1125" t="str">
        <f>$H$6</f>
        <v>CHAPTER C3.2</v>
      </c>
      <c r="I204" s="6"/>
    </row>
    <row r="205" spans="2:13" s="1" customFormat="1" ht="13" x14ac:dyDescent="0.25">
      <c r="B205" s="1117" t="str">
        <f>ContractDescription</f>
        <v>THE CONSTRUCTION OF EARTHWORKS, LAYERWORKS, SURFACING, CULVERTS AND CWAKA RIVER BRIDGE FROM KM 11.600 TO KM 14.000 ON MAIN ROAD P494 IN THE KING CETSHWAYO DISTRICT UNDER EMPANGENI REGION</v>
      </c>
      <c r="C205" s="1118"/>
      <c r="D205" s="1118"/>
      <c r="E205" s="1118"/>
      <c r="F205" s="1118"/>
      <c r="G205" s="1118"/>
      <c r="H205" s="1126"/>
      <c r="I205" s="8"/>
    </row>
    <row r="206" spans="2:13" s="1" customFormat="1" ht="13" x14ac:dyDescent="0.25">
      <c r="B206" s="1117"/>
      <c r="C206" s="1118"/>
      <c r="D206" s="1118"/>
      <c r="E206" s="1118"/>
      <c r="F206" s="1118"/>
      <c r="G206" s="1118"/>
      <c r="H206" s="1126"/>
      <c r="I206" s="8"/>
    </row>
    <row r="207" spans="2:13" s="1" customFormat="1" ht="13" x14ac:dyDescent="0.25">
      <c r="B207" s="1119"/>
      <c r="C207" s="1120"/>
      <c r="D207" s="1120"/>
      <c r="E207" s="1120"/>
      <c r="F207" s="1120"/>
      <c r="G207" s="1120"/>
      <c r="H207" s="1127"/>
      <c r="I207" s="8"/>
    </row>
    <row r="208" spans="2:13" s="9" customFormat="1" ht="25" customHeight="1" x14ac:dyDescent="0.25">
      <c r="B208" s="74" t="s">
        <v>0</v>
      </c>
      <c r="C208" s="11" t="s">
        <v>1</v>
      </c>
      <c r="D208" s="11" t="s">
        <v>2</v>
      </c>
      <c r="E208" s="11"/>
      <c r="F208" s="11" t="s">
        <v>3</v>
      </c>
      <c r="G208" s="11" t="s">
        <v>4</v>
      </c>
      <c r="H208" s="11" t="s">
        <v>5</v>
      </c>
      <c r="I208" s="12"/>
    </row>
    <row r="209" spans="2:9" s="28" customFormat="1" ht="20.149999999999999" customHeight="1" x14ac:dyDescent="0.25">
      <c r="B209" s="80"/>
      <c r="C209" s="30" t="s">
        <v>27</v>
      </c>
      <c r="D209" s="31"/>
      <c r="E209" s="31"/>
      <c r="F209" s="32"/>
      <c r="G209" s="31"/>
      <c r="H209" s="33">
        <f>H200</f>
        <v>676751</v>
      </c>
      <c r="I209" s="34"/>
    </row>
    <row r="210" spans="2:9" ht="8.25" customHeight="1" x14ac:dyDescent="0.25">
      <c r="B210" s="46"/>
      <c r="C210" s="14"/>
      <c r="D210" s="15"/>
      <c r="E210" s="15"/>
      <c r="F210" s="24"/>
      <c r="G210" s="411"/>
      <c r="H210" s="23"/>
    </row>
    <row r="211" spans="2:9" x14ac:dyDescent="0.25">
      <c r="B211" s="46"/>
      <c r="C211" s="14"/>
      <c r="D211" s="15"/>
      <c r="E211" s="15"/>
      <c r="F211" s="24"/>
      <c r="G211" s="411"/>
      <c r="H211" s="23" t="str">
        <f t="shared" ref="H211:H262" si="27">IF(D211="","",F211*G211)</f>
        <v/>
      </c>
    </row>
    <row r="212" spans="2:9" x14ac:dyDescent="0.25">
      <c r="B212" s="46"/>
      <c r="C212" s="65"/>
      <c r="D212" s="66"/>
      <c r="E212" s="66"/>
      <c r="F212" s="24"/>
      <c r="G212" s="422"/>
      <c r="H212" s="23" t="str">
        <f t="shared" si="27"/>
        <v/>
      </c>
    </row>
    <row r="213" spans="2:9" x14ac:dyDescent="0.25">
      <c r="B213" s="46"/>
      <c r="C213" s="14"/>
      <c r="D213" s="15"/>
      <c r="E213" s="15"/>
      <c r="F213" s="24"/>
      <c r="G213" s="422"/>
      <c r="H213" s="23" t="str">
        <f t="shared" si="27"/>
        <v/>
      </c>
    </row>
    <row r="214" spans="2:9" x14ac:dyDescent="0.25">
      <c r="B214" s="46"/>
      <c r="C214" s="14"/>
      <c r="D214" s="15"/>
      <c r="E214" s="15"/>
      <c r="F214" s="24"/>
      <c r="G214" s="423"/>
      <c r="H214" s="23" t="str">
        <f t="shared" si="27"/>
        <v/>
      </c>
    </row>
    <row r="215" spans="2:9" x14ac:dyDescent="0.25">
      <c r="B215" s="46"/>
      <c r="C215" s="14"/>
      <c r="D215" s="15"/>
      <c r="E215" s="15"/>
      <c r="F215" s="24"/>
      <c r="G215" s="411"/>
      <c r="H215" s="23" t="str">
        <f t="shared" si="27"/>
        <v/>
      </c>
    </row>
    <row r="216" spans="2:9" x14ac:dyDescent="0.25">
      <c r="B216" s="46"/>
      <c r="C216" s="65"/>
      <c r="D216" s="15"/>
      <c r="E216" s="15"/>
      <c r="F216" s="24"/>
      <c r="G216" s="411"/>
      <c r="H216" s="23" t="str">
        <f t="shared" si="27"/>
        <v/>
      </c>
    </row>
    <row r="217" spans="2:9" x14ac:dyDescent="0.25">
      <c r="B217" s="46"/>
      <c r="C217" s="14"/>
      <c r="D217" s="15"/>
      <c r="E217" s="15"/>
      <c r="F217" s="24"/>
      <c r="G217" s="411"/>
      <c r="H217" s="23" t="str">
        <f t="shared" si="27"/>
        <v/>
      </c>
    </row>
    <row r="218" spans="2:9" x14ac:dyDescent="0.25">
      <c r="B218" s="46"/>
      <c r="C218" s="14"/>
      <c r="D218" s="21"/>
      <c r="E218" s="21"/>
      <c r="F218" s="24"/>
      <c r="G218" s="422"/>
      <c r="H218" s="23" t="str">
        <f t="shared" si="27"/>
        <v/>
      </c>
    </row>
    <row r="219" spans="2:9" x14ac:dyDescent="0.25">
      <c r="B219" s="46"/>
      <c r="C219" s="14"/>
      <c r="D219" s="15"/>
      <c r="E219" s="15"/>
      <c r="F219" s="24"/>
      <c r="G219" s="411"/>
      <c r="H219" s="23" t="str">
        <f t="shared" si="27"/>
        <v/>
      </c>
    </row>
    <row r="220" spans="2:9" x14ac:dyDescent="0.25">
      <c r="B220" s="46"/>
      <c r="C220" s="65"/>
      <c r="D220" s="66"/>
      <c r="E220" s="66"/>
      <c r="F220" s="24"/>
      <c r="G220" s="423"/>
      <c r="H220" s="23" t="str">
        <f t="shared" si="27"/>
        <v/>
      </c>
    </row>
    <row r="221" spans="2:9" x14ac:dyDescent="0.25">
      <c r="B221" s="46"/>
      <c r="C221" s="14"/>
      <c r="D221" s="15"/>
      <c r="E221" s="15"/>
      <c r="F221" s="580"/>
      <c r="G221" s="411"/>
      <c r="H221" s="23" t="str">
        <f t="shared" si="27"/>
        <v/>
      </c>
    </row>
    <row r="222" spans="2:9" x14ac:dyDescent="0.25">
      <c r="B222" s="46"/>
      <c r="C222" s="65"/>
      <c r="D222" s="66"/>
      <c r="E222" s="66"/>
      <c r="F222" s="15"/>
      <c r="G222" s="422"/>
      <c r="H222" s="23" t="str">
        <f t="shared" si="27"/>
        <v/>
      </c>
    </row>
    <row r="223" spans="2:9" x14ac:dyDescent="0.25">
      <c r="B223" s="46"/>
      <c r="C223" s="14"/>
      <c r="D223" s="15"/>
      <c r="E223" s="15"/>
      <c r="F223" s="15"/>
      <c r="G223" s="422"/>
      <c r="H223" s="23" t="str">
        <f t="shared" si="27"/>
        <v/>
      </c>
    </row>
    <row r="224" spans="2:9" x14ac:dyDescent="0.25">
      <c r="B224" s="46"/>
      <c r="C224" s="65"/>
      <c r="D224" s="15"/>
      <c r="E224" s="15"/>
      <c r="F224" s="15"/>
      <c r="G224" s="422"/>
      <c r="H224" s="23" t="str">
        <f t="shared" si="27"/>
        <v/>
      </c>
    </row>
    <row r="225" spans="2:8" x14ac:dyDescent="0.25">
      <c r="B225" s="46"/>
      <c r="C225" s="14"/>
      <c r="D225" s="15"/>
      <c r="E225" s="15"/>
      <c r="F225" s="15"/>
      <c r="G225" s="422"/>
      <c r="H225" s="23" t="str">
        <f t="shared" si="27"/>
        <v/>
      </c>
    </row>
    <row r="226" spans="2:8" x14ac:dyDescent="0.25">
      <c r="B226" s="46"/>
      <c r="C226" s="14"/>
      <c r="D226" s="15"/>
      <c r="E226" s="15"/>
      <c r="F226" s="15"/>
      <c r="G226" s="424"/>
      <c r="H226" s="23" t="str">
        <f t="shared" si="27"/>
        <v/>
      </c>
    </row>
    <row r="227" spans="2:8" x14ac:dyDescent="0.25">
      <c r="B227" s="46"/>
      <c r="C227" s="14"/>
      <c r="D227" s="15"/>
      <c r="E227" s="15"/>
      <c r="F227" s="15"/>
      <c r="G227" s="422"/>
      <c r="H227" s="23" t="str">
        <f t="shared" si="27"/>
        <v/>
      </c>
    </row>
    <row r="228" spans="2:8" x14ac:dyDescent="0.25">
      <c r="B228" s="46"/>
      <c r="C228" s="14"/>
      <c r="D228" s="15"/>
      <c r="E228" s="15"/>
      <c r="F228" s="15"/>
      <c r="G228" s="422"/>
      <c r="H228" s="23" t="str">
        <f t="shared" si="27"/>
        <v/>
      </c>
    </row>
    <row r="229" spans="2:8" x14ac:dyDescent="0.25">
      <c r="B229" s="46"/>
      <c r="C229" s="14"/>
      <c r="D229" s="61"/>
      <c r="E229" s="61"/>
      <c r="F229" s="15"/>
      <c r="G229" s="422"/>
      <c r="H229" s="23" t="str">
        <f t="shared" si="27"/>
        <v/>
      </c>
    </row>
    <row r="230" spans="2:8" x14ac:dyDescent="0.25">
      <c r="B230" s="46"/>
      <c r="C230" s="26"/>
      <c r="D230" s="61"/>
      <c r="E230" s="61"/>
      <c r="F230" s="61"/>
      <c r="G230" s="422"/>
      <c r="H230" s="23" t="str">
        <f t="shared" si="27"/>
        <v/>
      </c>
    </row>
    <row r="231" spans="2:8" x14ac:dyDescent="0.25">
      <c r="B231" s="46"/>
      <c r="C231" s="14"/>
      <c r="D231" s="15"/>
      <c r="E231" s="15"/>
      <c r="F231" s="15"/>
      <c r="G231" s="422"/>
      <c r="H231" s="23" t="str">
        <f t="shared" si="27"/>
        <v/>
      </c>
    </row>
    <row r="232" spans="2:8" x14ac:dyDescent="0.25">
      <c r="B232" s="46"/>
      <c r="C232" s="70"/>
      <c r="D232" s="61"/>
      <c r="E232" s="61"/>
      <c r="F232" s="61"/>
      <c r="G232" s="422"/>
      <c r="H232" s="23" t="str">
        <f t="shared" si="27"/>
        <v/>
      </c>
    </row>
    <row r="233" spans="2:8" x14ac:dyDescent="0.25">
      <c r="B233" s="46"/>
      <c r="C233" s="26"/>
      <c r="D233" s="61"/>
      <c r="E233" s="61"/>
      <c r="F233" s="61"/>
      <c r="G233" s="422"/>
      <c r="H233" s="23" t="str">
        <f t="shared" si="27"/>
        <v/>
      </c>
    </row>
    <row r="234" spans="2:8" x14ac:dyDescent="0.25">
      <c r="B234" s="46"/>
      <c r="C234" s="14"/>
      <c r="D234" s="15"/>
      <c r="E234" s="15"/>
      <c r="F234" s="15"/>
      <c r="G234" s="422"/>
      <c r="H234" s="23" t="str">
        <f t="shared" si="27"/>
        <v/>
      </c>
    </row>
    <row r="235" spans="2:8" x14ac:dyDescent="0.25">
      <c r="B235" s="46"/>
      <c r="C235" s="14"/>
      <c r="D235" s="15"/>
      <c r="E235" s="15"/>
      <c r="F235" s="15"/>
      <c r="G235" s="422"/>
      <c r="H235" s="23" t="str">
        <f t="shared" si="27"/>
        <v/>
      </c>
    </row>
    <row r="236" spans="2:8" x14ac:dyDescent="0.25">
      <c r="B236" s="46"/>
      <c r="C236" s="14"/>
      <c r="D236" s="15"/>
      <c r="E236" s="15"/>
      <c r="F236" s="15"/>
      <c r="G236" s="422"/>
      <c r="H236" s="23" t="str">
        <f t="shared" si="27"/>
        <v/>
      </c>
    </row>
    <row r="237" spans="2:8" x14ac:dyDescent="0.25">
      <c r="B237" s="46"/>
      <c r="C237" s="14"/>
      <c r="D237" s="4"/>
      <c r="E237" s="4"/>
      <c r="F237" s="15"/>
      <c r="G237" s="422"/>
      <c r="H237" s="23" t="str">
        <f t="shared" si="27"/>
        <v/>
      </c>
    </row>
    <row r="238" spans="2:8" x14ac:dyDescent="0.25">
      <c r="B238" s="46"/>
      <c r="C238" s="14"/>
      <c r="D238" s="4"/>
      <c r="E238" s="4"/>
      <c r="F238" s="15"/>
      <c r="G238" s="411"/>
      <c r="H238" s="23" t="str">
        <f t="shared" si="27"/>
        <v/>
      </c>
    </row>
    <row r="239" spans="2:8" x14ac:dyDescent="0.25">
      <c r="B239" s="46"/>
      <c r="C239" s="65"/>
      <c r="D239" s="66"/>
      <c r="E239" s="66"/>
      <c r="F239" s="15"/>
      <c r="G239" s="411"/>
      <c r="H239" s="23" t="str">
        <f t="shared" si="27"/>
        <v/>
      </c>
    </row>
    <row r="240" spans="2:8" x14ac:dyDescent="0.25">
      <c r="B240" s="46"/>
      <c r="C240" s="14"/>
      <c r="D240" s="15"/>
      <c r="E240" s="15"/>
      <c r="F240" s="15"/>
      <c r="G240" s="411"/>
      <c r="H240" s="23" t="str">
        <f t="shared" si="27"/>
        <v/>
      </c>
    </row>
    <row r="241" spans="2:8" x14ac:dyDescent="0.25">
      <c r="B241" s="46"/>
      <c r="C241" s="14"/>
      <c r="D241" s="21"/>
      <c r="E241" s="21"/>
      <c r="F241" s="22"/>
      <c r="G241" s="412"/>
      <c r="H241" s="23" t="str">
        <f t="shared" si="27"/>
        <v/>
      </c>
    </row>
    <row r="242" spans="2:8" x14ac:dyDescent="0.25">
      <c r="B242" s="46"/>
      <c r="C242" s="14"/>
      <c r="D242" s="15"/>
      <c r="E242" s="15"/>
      <c r="F242" s="24"/>
      <c r="G242" s="411"/>
      <c r="H242" s="23" t="str">
        <f t="shared" si="27"/>
        <v/>
      </c>
    </row>
    <row r="243" spans="2:8" x14ac:dyDescent="0.25">
      <c r="B243" s="46"/>
      <c r="C243" s="14"/>
      <c r="D243" s="21"/>
      <c r="E243" s="21"/>
      <c r="F243" s="24"/>
      <c r="G243" s="423"/>
      <c r="H243" s="23" t="str">
        <f t="shared" si="27"/>
        <v/>
      </c>
    </row>
    <row r="244" spans="2:8" x14ac:dyDescent="0.25">
      <c r="B244" s="46"/>
      <c r="C244" s="14"/>
      <c r="D244" s="15"/>
      <c r="E244" s="15"/>
      <c r="F244" s="24"/>
      <c r="G244" s="411"/>
      <c r="H244" s="23" t="str">
        <f t="shared" si="27"/>
        <v/>
      </c>
    </row>
    <row r="245" spans="2:8" ht="39.75" customHeight="1" x14ac:dyDescent="0.25">
      <c r="B245" s="46"/>
      <c r="C245" s="26"/>
      <c r="D245" s="61"/>
      <c r="E245" s="61"/>
      <c r="F245" s="24"/>
      <c r="G245" s="421"/>
      <c r="H245" s="23" t="str">
        <f t="shared" si="27"/>
        <v/>
      </c>
    </row>
    <row r="246" spans="2:8" x14ac:dyDescent="0.25">
      <c r="B246" s="46"/>
      <c r="C246" s="25"/>
      <c r="D246" s="61"/>
      <c r="E246" s="61"/>
      <c r="F246" s="24"/>
      <c r="G246" s="421"/>
      <c r="H246" s="23" t="str">
        <f t="shared" si="27"/>
        <v/>
      </c>
    </row>
    <row r="247" spans="2:8" x14ac:dyDescent="0.25">
      <c r="B247" s="46"/>
      <c r="C247" s="26"/>
      <c r="D247" s="61"/>
      <c r="E247" s="61"/>
      <c r="F247" s="24"/>
      <c r="G247" s="422"/>
      <c r="H247" s="23" t="str">
        <f t="shared" si="27"/>
        <v/>
      </c>
    </row>
    <row r="248" spans="2:8" x14ac:dyDescent="0.25">
      <c r="B248" s="46"/>
      <c r="C248" s="25"/>
      <c r="D248" s="61"/>
      <c r="E248" s="61"/>
      <c r="F248" s="24"/>
      <c r="G248" s="421"/>
      <c r="H248" s="23" t="str">
        <f t="shared" si="27"/>
        <v/>
      </c>
    </row>
    <row r="249" spans="2:8" x14ac:dyDescent="0.25">
      <c r="B249" s="46"/>
      <c r="C249" s="70"/>
      <c r="D249" s="71"/>
      <c r="E249" s="71"/>
      <c r="F249" s="24"/>
      <c r="G249" s="423"/>
      <c r="H249" s="23" t="str">
        <f t="shared" si="27"/>
        <v/>
      </c>
    </row>
    <row r="250" spans="2:8" x14ac:dyDescent="0.25">
      <c r="B250" s="46"/>
      <c r="C250" s="26"/>
      <c r="D250" s="61"/>
      <c r="E250" s="61"/>
      <c r="F250" s="24"/>
      <c r="G250" s="421"/>
      <c r="H250" s="23" t="str">
        <f t="shared" si="27"/>
        <v/>
      </c>
    </row>
    <row r="251" spans="2:8" x14ac:dyDescent="0.25">
      <c r="B251" s="46"/>
      <c r="C251" s="14"/>
      <c r="D251" s="15"/>
      <c r="E251" s="15"/>
      <c r="F251" s="24"/>
      <c r="G251" s="411"/>
      <c r="H251" s="23" t="str">
        <f t="shared" si="27"/>
        <v/>
      </c>
    </row>
    <row r="252" spans="2:8" x14ac:dyDescent="0.25">
      <c r="B252" s="46"/>
      <c r="C252" s="14"/>
      <c r="D252" s="15"/>
      <c r="E252" s="15"/>
      <c r="F252" s="24"/>
      <c r="G252" s="411"/>
      <c r="H252" s="23" t="str">
        <f t="shared" si="27"/>
        <v/>
      </c>
    </row>
    <row r="253" spans="2:8" x14ac:dyDescent="0.25">
      <c r="B253" s="46"/>
      <c r="C253" s="65"/>
      <c r="D253" s="66"/>
      <c r="E253" s="66"/>
      <c r="F253" s="24"/>
      <c r="G253" s="422"/>
      <c r="H253" s="23" t="str">
        <f t="shared" si="27"/>
        <v/>
      </c>
    </row>
    <row r="254" spans="2:8" x14ac:dyDescent="0.25">
      <c r="B254" s="46"/>
      <c r="C254" s="14"/>
      <c r="D254" s="15"/>
      <c r="E254" s="15"/>
      <c r="F254" s="24"/>
      <c r="G254" s="422"/>
      <c r="H254" s="23" t="str">
        <f t="shared" si="27"/>
        <v/>
      </c>
    </row>
    <row r="255" spans="2:8" x14ac:dyDescent="0.25">
      <c r="B255" s="46"/>
      <c r="C255" s="14"/>
      <c r="D255" s="66"/>
      <c r="E255" s="66"/>
      <c r="F255" s="24"/>
      <c r="G255" s="423"/>
      <c r="H255" s="23" t="str">
        <f t="shared" si="27"/>
        <v/>
      </c>
    </row>
    <row r="256" spans="2:8" x14ac:dyDescent="0.25">
      <c r="B256" s="46"/>
      <c r="C256" s="14"/>
      <c r="D256" s="15"/>
      <c r="E256" s="15"/>
      <c r="F256" s="24"/>
      <c r="G256" s="411"/>
      <c r="H256" s="23" t="str">
        <f t="shared" si="27"/>
        <v/>
      </c>
    </row>
    <row r="257" spans="2:9" x14ac:dyDescent="0.25">
      <c r="B257" s="46"/>
      <c r="C257" s="65"/>
      <c r="D257" s="15"/>
      <c r="E257" s="15"/>
      <c r="F257" s="24"/>
      <c r="G257" s="411"/>
      <c r="H257" s="23" t="str">
        <f t="shared" si="27"/>
        <v/>
      </c>
    </row>
    <row r="258" spans="2:9" x14ac:dyDescent="0.25">
      <c r="B258" s="46"/>
      <c r="C258" s="14"/>
      <c r="D258" s="15"/>
      <c r="E258" s="15"/>
      <c r="F258" s="24"/>
      <c r="G258" s="411"/>
      <c r="H258" s="23" t="str">
        <f t="shared" si="27"/>
        <v/>
      </c>
    </row>
    <row r="259" spans="2:9" x14ac:dyDescent="0.25">
      <c r="B259" s="46"/>
      <c r="C259" s="14"/>
      <c r="D259" s="15"/>
      <c r="E259" s="15"/>
      <c r="F259" s="24"/>
      <c r="G259" s="422"/>
      <c r="H259" s="23" t="str">
        <f t="shared" si="27"/>
        <v/>
      </c>
    </row>
    <row r="260" spans="2:9" x14ac:dyDescent="0.25">
      <c r="B260" s="46"/>
      <c r="C260" s="14"/>
      <c r="D260" s="15"/>
      <c r="E260" s="15"/>
      <c r="F260" s="24"/>
      <c r="G260" s="411"/>
      <c r="H260" s="23" t="str">
        <f t="shared" si="27"/>
        <v/>
      </c>
    </row>
    <row r="261" spans="2:9" x14ac:dyDescent="0.25">
      <c r="B261" s="46"/>
      <c r="C261" s="65"/>
      <c r="D261" s="15"/>
      <c r="E261" s="15"/>
      <c r="F261" s="24"/>
      <c r="G261" s="423"/>
      <c r="H261" s="23" t="str">
        <f t="shared" si="27"/>
        <v/>
      </c>
    </row>
    <row r="262" spans="2:9" ht="8.25" customHeight="1" x14ac:dyDescent="0.25">
      <c r="B262" s="46"/>
      <c r="C262" s="14"/>
      <c r="D262" s="15"/>
      <c r="E262" s="15"/>
      <c r="F262" s="15"/>
      <c r="G262" s="411"/>
      <c r="H262" s="23" t="str">
        <f t="shared" si="27"/>
        <v/>
      </c>
    </row>
    <row r="263" spans="2:9" s="28" customFormat="1" ht="25" customHeight="1" x14ac:dyDescent="0.25">
      <c r="B263" s="84" t="str">
        <f>$B$12</f>
        <v>C3.2</v>
      </c>
      <c r="C263" s="30" t="str">
        <f>"TOTAL CARRIED FORWARD"&amp;IF(H263=H$1," TO SUMMARY","")</f>
        <v>TOTAL CARRIED FORWARD TO SUMMARY</v>
      </c>
      <c r="D263" s="31"/>
      <c r="E263" s="31"/>
      <c r="F263" s="32"/>
      <c r="G263" s="31"/>
      <c r="H263" s="33">
        <f>SUM(H209:H262)</f>
        <v>676751</v>
      </c>
      <c r="I263" s="34"/>
    </row>
  </sheetData>
  <mergeCells count="25">
    <mergeCell ref="B204:G204"/>
    <mergeCell ref="H204:H207"/>
    <mergeCell ref="B205:G207"/>
    <mergeCell ref="B133:G133"/>
    <mergeCell ref="H133:H136"/>
    <mergeCell ref="B134:G136"/>
    <mergeCell ref="B201:D201"/>
    <mergeCell ref="F201:H203"/>
    <mergeCell ref="B202:D202"/>
    <mergeCell ref="B203:D203"/>
    <mergeCell ref="B66:G66"/>
    <mergeCell ref="H66:H69"/>
    <mergeCell ref="B67:G69"/>
    <mergeCell ref="B130:D130"/>
    <mergeCell ref="F130:H132"/>
    <mergeCell ref="B131:D131"/>
    <mergeCell ref="B132:D132"/>
    <mergeCell ref="F3:H3"/>
    <mergeCell ref="B6:G6"/>
    <mergeCell ref="H6:H9"/>
    <mergeCell ref="B7:G9"/>
    <mergeCell ref="B63:D63"/>
    <mergeCell ref="F63:H65"/>
    <mergeCell ref="B64:D64"/>
    <mergeCell ref="B65:D65"/>
  </mergeCells>
  <conditionalFormatting sqref="G11:H62 G71:H129 G138:H200 G209:H263">
    <cfRule type="expression" dxfId="27" priority="1">
      <formula>_Show_Price=FALSE</formula>
    </cfRule>
  </conditionalFormatting>
  <pageMargins left="0.43307086614173229" right="0.31496062992125984" top="0.43307086614173229" bottom="0.62992125984251968" header="0.35433070866141736" footer="0.31496062992125984"/>
  <pageSetup paperSize="9" scale="77"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2" manualBreakCount="2">
    <brk id="62" max="7" man="1"/>
    <brk id="129" max="7"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06">
    <tabColor rgb="FFFFFF00"/>
  </sheetPr>
  <dimension ref="A1:R175"/>
  <sheetViews>
    <sheetView view="pageBreakPreview" zoomScaleNormal="100" zoomScaleSheetLayoutView="100" workbookViewId="0">
      <pane ySplit="2" topLeftCell="A17" activePane="bottomLeft" state="frozen"/>
      <selection activeCell="B26" sqref="B26:G26"/>
      <selection pane="bottomLeft" activeCell="B26" sqref="B26:G26"/>
    </sheetView>
  </sheetViews>
  <sheetFormatPr defaultColWidth="6.81640625" defaultRowHeight="12.5" x14ac:dyDescent="0.25"/>
  <cols>
    <col min="1" max="1" width="0.81640625" style="36" customWidth="1"/>
    <col min="2" max="2" width="11.7265625" style="36" customWidth="1"/>
    <col min="3" max="3" width="45.7265625" style="36" customWidth="1"/>
    <col min="4" max="4" width="12.453125" style="36" customWidth="1"/>
    <col min="5" max="5" width="5" style="36" customWidth="1"/>
    <col min="6" max="8" width="15.7265625" style="36" customWidth="1"/>
    <col min="9" max="9" width="0.81640625" style="36" customWidth="1"/>
    <col min="10" max="10" width="6.81640625" style="36"/>
    <col min="11" max="11" width="12.81640625" style="36" customWidth="1"/>
    <col min="12" max="12" width="14.1796875" style="36" customWidth="1"/>
    <col min="13" max="14" width="14.7265625" style="36" customWidth="1"/>
    <col min="15" max="16384" width="6.81640625" style="36"/>
  </cols>
  <sheetData>
    <row r="1" spans="1:18" s="242" customFormat="1" ht="11.5" x14ac:dyDescent="0.25">
      <c r="B1" s="243"/>
      <c r="C1" s="244" t="s">
        <v>993</v>
      </c>
      <c r="D1" s="245"/>
      <c r="E1" s="245"/>
      <c r="F1" s="246" t="s">
        <v>994</v>
      </c>
      <c r="G1" s="244">
        <v>2</v>
      </c>
      <c r="H1" s="247">
        <f>MAX(H2:H175)</f>
        <v>2800575</v>
      </c>
      <c r="I1" s="247">
        <f>MAX(I2:I186)</f>
        <v>0</v>
      </c>
      <c r="J1" s="248"/>
      <c r="K1" s="255"/>
      <c r="L1" s="247">
        <f>MAX(L2:L175)</f>
        <v>532478.88571428577</v>
      </c>
      <c r="M1" s="249"/>
      <c r="N1" s="250"/>
      <c r="O1" s="256"/>
      <c r="P1" s="257" t="s">
        <v>1001</v>
      </c>
      <c r="Q1" s="255">
        <f>K1</f>
        <v>0</v>
      </c>
      <c r="R1" s="256"/>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18" ht="13" x14ac:dyDescent="0.25">
      <c r="A3" s="1"/>
      <c r="B3" s="2" t="str">
        <f>Client1</f>
        <v>Province of KwaZulu-Natal</v>
      </c>
      <c r="C3" s="3"/>
      <c r="D3" s="4"/>
      <c r="E3" s="4"/>
      <c r="F3" s="1124" t="str">
        <f>"Contract No. "&amp;ContractNo</f>
        <v>Contract No. ZNB 00399/00000/HOD/INF/21/T</v>
      </c>
      <c r="G3" s="1124"/>
      <c r="H3" s="1124"/>
      <c r="I3" s="5"/>
      <c r="J3" s="1"/>
    </row>
    <row r="4" spans="1:18" ht="13" x14ac:dyDescent="0.25">
      <c r="A4" s="1"/>
      <c r="B4" s="87" t="str">
        <f>Client2</f>
        <v>Department of Transport</v>
      </c>
      <c r="C4" s="3"/>
      <c r="D4" s="4"/>
      <c r="E4" s="4"/>
      <c r="F4" s="4"/>
      <c r="G4" s="1"/>
      <c r="H4" s="5"/>
      <c r="I4" s="5"/>
      <c r="J4" s="1"/>
    </row>
    <row r="5" spans="1:18" x14ac:dyDescent="0.25">
      <c r="A5" s="1"/>
      <c r="B5" s="77"/>
      <c r="C5" s="77"/>
      <c r="D5" s="78"/>
      <c r="E5" s="78"/>
      <c r="F5" s="78"/>
      <c r="G5" s="79"/>
      <c r="H5" s="89"/>
      <c r="I5" s="5"/>
      <c r="J5" s="1"/>
      <c r="K5" s="1"/>
      <c r="L5" s="1"/>
      <c r="M5" s="1"/>
      <c r="N5" s="1"/>
    </row>
    <row r="6" spans="1:18" ht="13" x14ac:dyDescent="0.25">
      <c r="A6" s="1"/>
      <c r="B6" s="1112" t="s">
        <v>8</v>
      </c>
      <c r="C6" s="1113"/>
      <c r="D6" s="1113"/>
      <c r="E6" s="1113"/>
      <c r="F6" s="1113"/>
      <c r="G6" s="1113"/>
      <c r="H6" s="1121" t="str">
        <f>"CHAPTER "&amp;B12</f>
        <v>CHAPTER C3.3</v>
      </c>
      <c r="I6" s="6"/>
      <c r="J6" s="1"/>
    </row>
    <row r="7" spans="1:18" ht="7.5" customHeight="1" x14ac:dyDescent="0.25">
      <c r="A7" s="1"/>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c r="J7" s="1"/>
    </row>
    <row r="8" spans="1:18" ht="12.75" customHeight="1" x14ac:dyDescent="0.25">
      <c r="A8" s="1"/>
      <c r="B8" s="1117"/>
      <c r="C8" s="1118"/>
      <c r="D8" s="1118"/>
      <c r="E8" s="1118"/>
      <c r="F8" s="1118"/>
      <c r="G8" s="1118"/>
      <c r="H8" s="1122"/>
      <c r="I8" s="8"/>
      <c r="J8" s="1"/>
    </row>
    <row r="9" spans="1:18" ht="7.5" customHeight="1" x14ac:dyDescent="0.25">
      <c r="A9" s="1"/>
      <c r="B9" s="1119"/>
      <c r="C9" s="1120"/>
      <c r="D9" s="1120"/>
      <c r="E9" s="1120"/>
      <c r="F9" s="1120"/>
      <c r="G9" s="1120"/>
      <c r="H9" s="1123"/>
      <c r="I9" s="8"/>
      <c r="J9" s="1"/>
    </row>
    <row r="10" spans="1:18" ht="25" customHeight="1" x14ac:dyDescent="0.25">
      <c r="A10" s="9"/>
      <c r="B10" s="10" t="s">
        <v>0</v>
      </c>
      <c r="C10" s="11" t="s">
        <v>1</v>
      </c>
      <c r="D10" s="11" t="s">
        <v>2</v>
      </c>
      <c r="E10" s="11" t="s">
        <v>996</v>
      </c>
      <c r="F10" s="11" t="s">
        <v>3</v>
      </c>
      <c r="G10" s="11" t="s">
        <v>4</v>
      </c>
      <c r="H10" s="11" t="s">
        <v>5</v>
      </c>
      <c r="I10" s="12"/>
      <c r="J10" s="408" t="s">
        <v>996</v>
      </c>
      <c r="K10" s="253" t="s">
        <v>997</v>
      </c>
      <c r="L10" s="253" t="s">
        <v>998</v>
      </c>
      <c r="M10" s="253" t="s">
        <v>999</v>
      </c>
    </row>
    <row r="11" spans="1:18" ht="8.15" customHeight="1" x14ac:dyDescent="0.25">
      <c r="A11" s="1"/>
      <c r="B11" s="58"/>
      <c r="C11" s="65"/>
      <c r="D11" s="15"/>
      <c r="E11" s="15"/>
      <c r="F11" s="15"/>
      <c r="G11" s="411"/>
      <c r="H11" s="715" t="str">
        <f t="shared" ref="H11:H57" si="0">IF(D11="","",F11*G11)</f>
        <v/>
      </c>
      <c r="I11" s="18"/>
      <c r="J11" s="61"/>
      <c r="K11" s="399"/>
      <c r="L11" s="420" t="str">
        <f t="shared" ref="L11" si="1">IF(J11="","",F11*K11)</f>
        <v/>
      </c>
      <c r="M11" s="401" t="str">
        <f t="shared" ref="M11" si="2">IF(J11="","",IF(SUM(H11)=0,"",L11/H11))</f>
        <v/>
      </c>
    </row>
    <row r="12" spans="1:18" ht="52" x14ac:dyDescent="0.25">
      <c r="A12" s="1"/>
      <c r="B12" s="146" t="s">
        <v>406</v>
      </c>
      <c r="C12" s="672" t="s">
        <v>405</v>
      </c>
      <c r="D12" s="15"/>
      <c r="E12" s="15"/>
      <c r="F12" s="15"/>
      <c r="G12" s="411"/>
      <c r="H12" s="715" t="str">
        <f t="shared" si="0"/>
        <v/>
      </c>
      <c r="I12" s="18"/>
      <c r="J12" s="61"/>
      <c r="K12" s="399"/>
      <c r="L12" s="420"/>
      <c r="M12" s="401" t="str">
        <f t="shared" ref="M12:M45" si="3">IF(J12="","",IF(SUM(H12)=0,"",L12/H12))</f>
        <v/>
      </c>
    </row>
    <row r="13" spans="1:18" x14ac:dyDescent="0.25">
      <c r="A13" s="1"/>
      <c r="B13" s="58"/>
      <c r="C13" s="65"/>
      <c r="D13" s="15"/>
      <c r="E13" s="15"/>
      <c r="F13" s="15"/>
      <c r="G13" s="411"/>
      <c r="H13" s="715" t="str">
        <f t="shared" si="0"/>
        <v/>
      </c>
      <c r="I13" s="18"/>
      <c r="J13" s="61"/>
      <c r="K13" s="399"/>
      <c r="L13" s="420" t="str">
        <f t="shared" ref="L13:L45" si="4">IF(J13="","",F13*K13)</f>
        <v/>
      </c>
      <c r="M13" s="401" t="str">
        <f t="shared" si="3"/>
        <v/>
      </c>
    </row>
    <row r="14" spans="1:18" ht="13" x14ac:dyDescent="0.25">
      <c r="A14" s="1"/>
      <c r="B14" s="146" t="s">
        <v>404</v>
      </c>
      <c r="C14" s="672" t="s">
        <v>403</v>
      </c>
      <c r="D14" s="15"/>
      <c r="E14" s="15"/>
      <c r="F14" s="15"/>
      <c r="G14" s="411"/>
      <c r="H14" s="715" t="str">
        <f t="shared" si="0"/>
        <v/>
      </c>
      <c r="I14" s="18"/>
      <c r="J14" s="61"/>
      <c r="K14" s="399"/>
      <c r="L14" s="420" t="str">
        <f t="shared" si="4"/>
        <v/>
      </c>
      <c r="M14" s="401" t="str">
        <f t="shared" si="3"/>
        <v/>
      </c>
    </row>
    <row r="15" spans="1:18" x14ac:dyDescent="0.25">
      <c r="A15" s="1"/>
      <c r="B15" s="58"/>
      <c r="C15" s="65"/>
      <c r="D15" s="15"/>
      <c r="E15" s="15"/>
      <c r="F15" s="15"/>
      <c r="G15" s="411"/>
      <c r="H15" s="715" t="str">
        <f t="shared" si="0"/>
        <v/>
      </c>
      <c r="I15" s="18"/>
      <c r="J15" s="61"/>
      <c r="K15" s="399"/>
      <c r="L15" s="420" t="str">
        <f t="shared" si="4"/>
        <v/>
      </c>
      <c r="M15" s="401" t="str">
        <f t="shared" si="3"/>
        <v/>
      </c>
    </row>
    <row r="16" spans="1:18" ht="25" x14ac:dyDescent="0.25">
      <c r="A16" s="1"/>
      <c r="B16" s="58" t="s">
        <v>402</v>
      </c>
      <c r="C16" s="65" t="s">
        <v>401</v>
      </c>
      <c r="D16" s="15"/>
      <c r="E16" s="15"/>
      <c r="F16" s="24"/>
      <c r="G16" s="422"/>
      <c r="H16" s="715" t="str">
        <f t="shared" si="0"/>
        <v/>
      </c>
      <c r="I16" s="57"/>
      <c r="J16" s="61"/>
      <c r="K16" s="400"/>
      <c r="L16" s="420" t="str">
        <f t="shared" si="4"/>
        <v/>
      </c>
      <c r="M16" s="401" t="str">
        <f t="shared" si="3"/>
        <v/>
      </c>
    </row>
    <row r="17" spans="1:13" x14ac:dyDescent="0.25">
      <c r="A17" s="1"/>
      <c r="B17" s="58"/>
      <c r="C17" s="65"/>
      <c r="D17" s="15"/>
      <c r="E17" s="15"/>
      <c r="F17" s="24"/>
      <c r="G17" s="411"/>
      <c r="H17" s="715" t="str">
        <f t="shared" si="0"/>
        <v/>
      </c>
      <c r="I17" s="18"/>
      <c r="J17" s="61"/>
      <c r="K17" s="399"/>
      <c r="L17" s="420" t="str">
        <f t="shared" si="4"/>
        <v/>
      </c>
      <c r="M17" s="401" t="str">
        <f t="shared" si="3"/>
        <v/>
      </c>
    </row>
    <row r="18" spans="1:13" ht="23" x14ac:dyDescent="0.25">
      <c r="A18" s="1"/>
      <c r="B18" s="58" t="s">
        <v>39</v>
      </c>
      <c r="C18" s="584" t="s">
        <v>1717</v>
      </c>
      <c r="D18" s="15" t="s">
        <v>6</v>
      </c>
      <c r="E18" s="15"/>
      <c r="F18" s="24">
        <f>Quantities!$S$361</f>
        <v>200</v>
      </c>
      <c r="G18" s="423">
        <v>180</v>
      </c>
      <c r="H18" s="715">
        <f t="shared" si="0"/>
        <v>36000</v>
      </c>
      <c r="I18" s="18"/>
      <c r="J18" s="61" t="s">
        <v>996</v>
      </c>
      <c r="K18" s="605">
        <f>_Kerb</f>
        <v>29.295428571428566</v>
      </c>
      <c r="L18" s="420">
        <f t="shared" si="4"/>
        <v>5859.085714285713</v>
      </c>
      <c r="M18" s="401">
        <f t="shared" si="3"/>
        <v>0.16275238095238093</v>
      </c>
    </row>
    <row r="19" spans="1:13" x14ac:dyDescent="0.25">
      <c r="A19" s="1"/>
      <c r="B19" s="58"/>
      <c r="C19" s="65"/>
      <c r="D19" s="15"/>
      <c r="E19" s="15"/>
      <c r="F19" s="24"/>
      <c r="G19" s="411"/>
      <c r="H19" s="715" t="str">
        <f t="shared" si="0"/>
        <v/>
      </c>
      <c r="I19" s="60"/>
      <c r="J19" s="61"/>
      <c r="K19" s="399"/>
      <c r="L19" s="420" t="str">
        <f t="shared" si="4"/>
        <v/>
      </c>
      <c r="M19" s="401" t="str">
        <f t="shared" si="3"/>
        <v/>
      </c>
    </row>
    <row r="20" spans="1:13" ht="13" x14ac:dyDescent="0.25">
      <c r="A20" s="1"/>
      <c r="B20" s="146" t="s">
        <v>400</v>
      </c>
      <c r="C20" s="672" t="s">
        <v>399</v>
      </c>
      <c r="D20" s="15"/>
      <c r="E20" s="15"/>
      <c r="F20" s="24"/>
      <c r="G20" s="422"/>
      <c r="H20" s="715" t="str">
        <f t="shared" si="0"/>
        <v/>
      </c>
      <c r="I20" s="57"/>
      <c r="J20" s="61"/>
      <c r="K20" s="62"/>
      <c r="L20" s="420" t="str">
        <f t="shared" si="4"/>
        <v/>
      </c>
      <c r="M20" s="401" t="str">
        <f t="shared" si="3"/>
        <v/>
      </c>
    </row>
    <row r="21" spans="1:13" x14ac:dyDescent="0.25">
      <c r="A21" s="1"/>
      <c r="B21" s="58"/>
      <c r="C21" s="65"/>
      <c r="D21" s="15"/>
      <c r="E21" s="15"/>
      <c r="F21" s="24"/>
      <c r="G21" s="422"/>
      <c r="H21" s="715" t="str">
        <f t="shared" si="0"/>
        <v/>
      </c>
      <c r="I21" s="18"/>
      <c r="J21" s="61"/>
      <c r="K21" s="62"/>
      <c r="L21" s="420" t="str">
        <f t="shared" si="4"/>
        <v/>
      </c>
      <c r="M21" s="401" t="str">
        <f t="shared" si="3"/>
        <v/>
      </c>
    </row>
    <row r="22" spans="1:13" ht="25" x14ac:dyDescent="0.25">
      <c r="A22" s="1"/>
      <c r="B22" s="58" t="s">
        <v>398</v>
      </c>
      <c r="C22" s="65" t="s">
        <v>397</v>
      </c>
      <c r="D22" s="15"/>
      <c r="E22" s="15"/>
      <c r="F22" s="24"/>
      <c r="G22" s="423"/>
      <c r="H22" s="715" t="str">
        <f t="shared" si="0"/>
        <v/>
      </c>
      <c r="I22" s="18"/>
      <c r="J22" s="61"/>
      <c r="K22" s="62"/>
      <c r="L22" s="420" t="str">
        <f t="shared" si="4"/>
        <v/>
      </c>
      <c r="M22" s="401" t="str">
        <f t="shared" si="3"/>
        <v/>
      </c>
    </row>
    <row r="23" spans="1:13" x14ac:dyDescent="0.25">
      <c r="A23" s="1"/>
      <c r="B23" s="58"/>
      <c r="C23" s="65"/>
      <c r="D23" s="15"/>
      <c r="E23" s="15"/>
      <c r="F23" s="24"/>
      <c r="G23" s="411"/>
      <c r="H23" s="715" t="str">
        <f t="shared" si="0"/>
        <v/>
      </c>
      <c r="I23" s="18"/>
      <c r="J23" s="61"/>
      <c r="K23" s="62"/>
      <c r="L23" s="420" t="str">
        <f t="shared" si="4"/>
        <v/>
      </c>
      <c r="M23" s="401" t="str">
        <f t="shared" si="3"/>
        <v/>
      </c>
    </row>
    <row r="24" spans="1:13" ht="46" x14ac:dyDescent="0.25">
      <c r="A24" s="1"/>
      <c r="B24" s="58" t="s">
        <v>39</v>
      </c>
      <c r="C24" s="584" t="s">
        <v>1718</v>
      </c>
      <c r="D24" s="15" t="s">
        <v>6</v>
      </c>
      <c r="E24" s="15"/>
      <c r="F24" s="24">
        <f>Quantities!$S$370</f>
        <v>1920</v>
      </c>
      <c r="G24" s="411">
        <v>300</v>
      </c>
      <c r="H24" s="715">
        <f t="shared" si="0"/>
        <v>576000</v>
      </c>
      <c r="I24" s="18"/>
      <c r="J24" s="61" t="s">
        <v>996</v>
      </c>
      <c r="K24" s="605">
        <f>_KandC</f>
        <v>56.4</v>
      </c>
      <c r="L24" s="420">
        <f t="shared" si="4"/>
        <v>108288</v>
      </c>
      <c r="M24" s="401">
        <f t="shared" si="3"/>
        <v>0.188</v>
      </c>
    </row>
    <row r="25" spans="1:13" x14ac:dyDescent="0.25">
      <c r="A25" s="1"/>
      <c r="B25" s="58"/>
      <c r="C25" s="68"/>
      <c r="D25" s="61"/>
      <c r="E25" s="61"/>
      <c r="F25" s="24"/>
      <c r="G25" s="421"/>
      <c r="H25" s="715" t="str">
        <f t="shared" si="0"/>
        <v/>
      </c>
      <c r="I25" s="63"/>
      <c r="J25" s="61"/>
      <c r="K25" s="402"/>
      <c r="L25" s="420" t="str">
        <f t="shared" si="4"/>
        <v/>
      </c>
      <c r="M25" s="401" t="str">
        <f t="shared" si="3"/>
        <v/>
      </c>
    </row>
    <row r="26" spans="1:13" ht="39" x14ac:dyDescent="0.25">
      <c r="A26" s="1"/>
      <c r="B26" s="146" t="s">
        <v>396</v>
      </c>
      <c r="C26" s="672" t="s">
        <v>395</v>
      </c>
      <c r="D26" s="15"/>
      <c r="E26" s="15"/>
      <c r="F26" s="15"/>
      <c r="G26" s="424"/>
      <c r="H26" s="715" t="str">
        <f t="shared" si="0"/>
        <v/>
      </c>
      <c r="I26" s="18"/>
      <c r="J26" s="61"/>
      <c r="K26" s="62"/>
      <c r="L26" s="420" t="str">
        <f t="shared" si="4"/>
        <v/>
      </c>
      <c r="M26" s="401" t="str">
        <f t="shared" si="3"/>
        <v/>
      </c>
    </row>
    <row r="27" spans="1:13" x14ac:dyDescent="0.25">
      <c r="A27" s="1"/>
      <c r="B27" s="58"/>
      <c r="C27" s="65"/>
      <c r="D27" s="15"/>
      <c r="E27" s="15"/>
      <c r="F27" s="15"/>
      <c r="G27" s="422"/>
      <c r="H27" s="715" t="str">
        <f t="shared" si="0"/>
        <v/>
      </c>
      <c r="I27" s="18"/>
      <c r="J27" s="61"/>
      <c r="K27" s="62"/>
      <c r="L27" s="420" t="str">
        <f t="shared" si="4"/>
        <v/>
      </c>
      <c r="M27" s="401" t="str">
        <f t="shared" si="3"/>
        <v/>
      </c>
    </row>
    <row r="28" spans="1:13" ht="25" x14ac:dyDescent="0.25">
      <c r="A28" s="1"/>
      <c r="B28" s="58" t="s">
        <v>394</v>
      </c>
      <c r="C28" s="65" t="s">
        <v>393</v>
      </c>
      <c r="D28" s="15" t="s">
        <v>6</v>
      </c>
      <c r="E28" s="15"/>
      <c r="F28" s="578">
        <f>Quantities!$S$363+50</f>
        <v>75</v>
      </c>
      <c r="G28" s="422">
        <v>25</v>
      </c>
      <c r="H28" s="715">
        <f t="shared" si="0"/>
        <v>1875</v>
      </c>
      <c r="I28" s="18"/>
      <c r="J28" s="61" t="s">
        <v>996</v>
      </c>
      <c r="K28" s="605">
        <f>ROUND(Labour_perc_roads*G28,0)</f>
        <v>1</v>
      </c>
      <c r="L28" s="420">
        <f t="shared" si="4"/>
        <v>75</v>
      </c>
      <c r="M28" s="401">
        <f t="shared" si="3"/>
        <v>0.04</v>
      </c>
    </row>
    <row r="29" spans="1:13" x14ac:dyDescent="0.25">
      <c r="A29" s="1"/>
      <c r="B29" s="58"/>
      <c r="C29" s="65"/>
      <c r="D29" s="15"/>
      <c r="E29" s="15"/>
      <c r="F29" s="24"/>
      <c r="G29" s="422"/>
      <c r="H29" s="715" t="str">
        <f t="shared" si="0"/>
        <v/>
      </c>
      <c r="I29" s="18"/>
      <c r="J29" s="61"/>
      <c r="K29" s="62"/>
      <c r="L29" s="420" t="str">
        <f t="shared" si="4"/>
        <v/>
      </c>
      <c r="M29" s="401" t="str">
        <f t="shared" si="3"/>
        <v/>
      </c>
    </row>
    <row r="30" spans="1:13" ht="13" x14ac:dyDescent="0.25">
      <c r="A30" s="1"/>
      <c r="B30" s="146" t="s">
        <v>392</v>
      </c>
      <c r="C30" s="672" t="s">
        <v>391</v>
      </c>
      <c r="D30" s="15"/>
      <c r="E30" s="15"/>
      <c r="F30" s="15"/>
      <c r="G30" s="422"/>
      <c r="H30" s="715" t="str">
        <f t="shared" si="0"/>
        <v/>
      </c>
      <c r="J30" s="61"/>
      <c r="K30" s="62"/>
      <c r="L30" s="420" t="str">
        <f t="shared" si="4"/>
        <v/>
      </c>
      <c r="M30" s="401" t="str">
        <f t="shared" si="3"/>
        <v/>
      </c>
    </row>
    <row r="31" spans="1:13" x14ac:dyDescent="0.25">
      <c r="A31" s="1"/>
      <c r="B31" s="58"/>
      <c r="C31" s="65"/>
      <c r="D31" s="15"/>
      <c r="E31" s="15"/>
      <c r="F31" s="15"/>
      <c r="G31" s="422"/>
      <c r="H31" s="715" t="str">
        <f t="shared" si="0"/>
        <v/>
      </c>
      <c r="J31" s="61"/>
      <c r="K31" s="62"/>
      <c r="L31" s="420" t="str">
        <f t="shared" si="4"/>
        <v/>
      </c>
      <c r="M31" s="401" t="str">
        <f t="shared" si="3"/>
        <v/>
      </c>
    </row>
    <row r="32" spans="1:13" ht="25" x14ac:dyDescent="0.25">
      <c r="A32" s="1"/>
      <c r="B32" s="58" t="s">
        <v>390</v>
      </c>
      <c r="C32" s="65" t="s">
        <v>2113</v>
      </c>
      <c r="D32" s="15"/>
      <c r="E32" s="15"/>
      <c r="F32" s="15"/>
      <c r="G32" s="422"/>
      <c r="H32" s="715" t="str">
        <f t="shared" si="0"/>
        <v/>
      </c>
      <c r="J32" s="61"/>
      <c r="K32" s="399"/>
      <c r="L32" s="420" t="str">
        <f t="shared" si="4"/>
        <v/>
      </c>
      <c r="M32" s="401" t="str">
        <f t="shared" si="3"/>
        <v/>
      </c>
    </row>
    <row r="33" spans="1:13" x14ac:dyDescent="0.25">
      <c r="A33" s="1"/>
      <c r="B33" s="58"/>
      <c r="C33" s="65"/>
      <c r="D33" s="15"/>
      <c r="E33" s="15"/>
      <c r="F33" s="15"/>
      <c r="G33" s="422"/>
      <c r="H33" s="715" t="str">
        <f t="shared" si="0"/>
        <v/>
      </c>
      <c r="J33" s="61"/>
      <c r="K33" s="399"/>
      <c r="L33" s="420" t="str">
        <f t="shared" si="4"/>
        <v/>
      </c>
      <c r="M33" s="401" t="str">
        <f t="shared" si="3"/>
        <v/>
      </c>
    </row>
    <row r="34" spans="1:13" ht="13" x14ac:dyDescent="0.3">
      <c r="A34" s="1"/>
      <c r="B34" s="58" t="s">
        <v>39</v>
      </c>
      <c r="C34" s="386" t="s">
        <v>1794</v>
      </c>
      <c r="D34" s="587" t="s">
        <v>576</v>
      </c>
      <c r="E34" s="587"/>
      <c r="F34" s="578">
        <f>Quantities!$S$467</f>
        <v>260</v>
      </c>
      <c r="G34" s="422">
        <v>1600</v>
      </c>
      <c r="H34" s="715">
        <f t="shared" si="0"/>
        <v>416000</v>
      </c>
      <c r="J34" s="61" t="s">
        <v>996</v>
      </c>
      <c r="K34" s="605">
        <f>ROUND(Labour_perc_roads*G34,0)</f>
        <v>46</v>
      </c>
      <c r="L34" s="420">
        <f t="shared" si="4"/>
        <v>11960</v>
      </c>
      <c r="M34" s="401">
        <f t="shared" si="3"/>
        <v>2.8750000000000001E-2</v>
      </c>
    </row>
    <row r="35" spans="1:13" x14ac:dyDescent="0.25">
      <c r="A35" s="1"/>
      <c r="B35" s="58"/>
      <c r="C35" s="386"/>
      <c r="D35" s="587"/>
      <c r="E35" s="587"/>
      <c r="F35" s="15"/>
      <c r="G35" s="422"/>
      <c r="H35" s="715" t="str">
        <f t="shared" si="0"/>
        <v/>
      </c>
      <c r="J35" s="61"/>
      <c r="K35" s="609"/>
      <c r="L35" s="420" t="str">
        <f t="shared" si="4"/>
        <v/>
      </c>
      <c r="M35" s="401" t="str">
        <f t="shared" si="3"/>
        <v/>
      </c>
    </row>
    <row r="36" spans="1:13" ht="25" x14ac:dyDescent="0.25">
      <c r="A36" s="1"/>
      <c r="B36" s="58" t="s">
        <v>41</v>
      </c>
      <c r="C36" s="668" t="s">
        <v>2041</v>
      </c>
      <c r="D36" s="587" t="s">
        <v>577</v>
      </c>
      <c r="E36" s="587"/>
      <c r="F36" s="578">
        <f>Quantities!$S$472</f>
        <v>280</v>
      </c>
      <c r="G36" s="422">
        <v>1600</v>
      </c>
      <c r="H36" s="715">
        <f t="shared" si="0"/>
        <v>448000</v>
      </c>
      <c r="J36" s="61" t="s">
        <v>996</v>
      </c>
      <c r="K36" s="605">
        <f>ROUND(Labour_perc_roads*G36,0)</f>
        <v>46</v>
      </c>
      <c r="L36" s="420">
        <f t="shared" si="4"/>
        <v>12880</v>
      </c>
      <c r="M36" s="401">
        <f t="shared" si="3"/>
        <v>2.8750000000000001E-2</v>
      </c>
    </row>
    <row r="37" spans="1:13" x14ac:dyDescent="0.25">
      <c r="A37" s="1"/>
      <c r="B37" s="58"/>
      <c r="C37" s="386"/>
      <c r="D37" s="587"/>
      <c r="E37" s="587"/>
      <c r="F37" s="15"/>
      <c r="G37" s="422"/>
      <c r="H37" s="715" t="str">
        <f t="shared" si="0"/>
        <v/>
      </c>
      <c r="J37" s="61"/>
      <c r="K37" s="609"/>
      <c r="L37" s="420" t="str">
        <f t="shared" si="4"/>
        <v/>
      </c>
      <c r="M37" s="401" t="str">
        <f t="shared" si="3"/>
        <v/>
      </c>
    </row>
    <row r="38" spans="1:13" x14ac:dyDescent="0.25">
      <c r="A38" s="1"/>
      <c r="B38" s="58" t="s">
        <v>389</v>
      </c>
      <c r="C38" s="65" t="s">
        <v>1795</v>
      </c>
      <c r="D38" s="15"/>
      <c r="E38" s="15"/>
      <c r="F38" s="15"/>
      <c r="G38" s="422"/>
      <c r="H38" s="715" t="str">
        <f t="shared" si="0"/>
        <v/>
      </c>
      <c r="J38" s="61"/>
      <c r="K38" s="399"/>
      <c r="L38" s="420" t="str">
        <f t="shared" si="4"/>
        <v/>
      </c>
      <c r="M38" s="401" t="str">
        <f t="shared" si="3"/>
        <v/>
      </c>
    </row>
    <row r="39" spans="1:13" x14ac:dyDescent="0.25">
      <c r="A39" s="1"/>
      <c r="B39" s="58"/>
      <c r="C39" s="65"/>
      <c r="D39" s="15"/>
      <c r="E39" s="15"/>
      <c r="F39" s="15"/>
      <c r="G39" s="422"/>
      <c r="H39" s="715" t="str">
        <f t="shared" si="0"/>
        <v/>
      </c>
      <c r="J39" s="61"/>
      <c r="K39" s="62"/>
      <c r="L39" s="420" t="str">
        <f t="shared" si="4"/>
        <v/>
      </c>
      <c r="M39" s="401" t="str">
        <f t="shared" si="3"/>
        <v/>
      </c>
    </row>
    <row r="40" spans="1:13" ht="13" x14ac:dyDescent="0.3">
      <c r="A40" s="1"/>
      <c r="B40" s="58" t="s">
        <v>39</v>
      </c>
      <c r="C40" s="65" t="s">
        <v>1796</v>
      </c>
      <c r="D40" s="15" t="s">
        <v>511</v>
      </c>
      <c r="E40" s="15"/>
      <c r="F40" s="578">
        <f>Quantities!$S$482</f>
        <v>2600</v>
      </c>
      <c r="G40" s="422">
        <v>30</v>
      </c>
      <c r="H40" s="715">
        <f t="shared" si="0"/>
        <v>78000</v>
      </c>
      <c r="J40" s="61" t="s">
        <v>996</v>
      </c>
      <c r="K40" s="605">
        <f>ROUND(Labour_perc_roads*G40,0)</f>
        <v>1</v>
      </c>
      <c r="L40" s="420">
        <f t="shared" si="4"/>
        <v>2600</v>
      </c>
      <c r="M40" s="401">
        <f t="shared" si="3"/>
        <v>3.3333333333333333E-2</v>
      </c>
    </row>
    <row r="41" spans="1:13" x14ac:dyDescent="0.25">
      <c r="A41" s="1"/>
      <c r="B41" s="58"/>
      <c r="C41" s="65"/>
      <c r="D41" s="15"/>
      <c r="E41" s="15"/>
      <c r="F41" s="15"/>
      <c r="G41" s="422"/>
      <c r="H41" s="715" t="str">
        <f t="shared" si="0"/>
        <v/>
      </c>
      <c r="J41" s="61"/>
      <c r="K41" s="605"/>
      <c r="L41" s="420" t="str">
        <f t="shared" si="4"/>
        <v/>
      </c>
      <c r="M41" s="401" t="str">
        <f t="shared" si="3"/>
        <v/>
      </c>
    </row>
    <row r="42" spans="1:13" ht="13" x14ac:dyDescent="0.3">
      <c r="A42" s="1"/>
      <c r="B42" s="58" t="s">
        <v>41</v>
      </c>
      <c r="C42" s="65" t="s">
        <v>1797</v>
      </c>
      <c r="D42" s="15" t="s">
        <v>511</v>
      </c>
      <c r="E42" s="15"/>
      <c r="F42" s="578">
        <f>Quantities!$S$487</f>
        <v>2800</v>
      </c>
      <c r="G42" s="422">
        <v>30</v>
      </c>
      <c r="H42" s="715">
        <f t="shared" si="0"/>
        <v>84000</v>
      </c>
      <c r="J42" s="61" t="s">
        <v>996</v>
      </c>
      <c r="K42" s="605">
        <f>ROUND(Labour_perc_roads*G42,0)</f>
        <v>1</v>
      </c>
      <c r="L42" s="420">
        <f t="shared" si="4"/>
        <v>2800</v>
      </c>
      <c r="M42" s="401">
        <f t="shared" si="3"/>
        <v>3.3333333333333333E-2</v>
      </c>
    </row>
    <row r="43" spans="1:13" x14ac:dyDescent="0.25">
      <c r="A43" s="1"/>
      <c r="B43" s="58"/>
      <c r="C43" s="65"/>
      <c r="D43" s="61"/>
      <c r="E43" s="61"/>
      <c r="F43" s="15"/>
      <c r="G43" s="422"/>
      <c r="H43" s="715" t="str">
        <f t="shared" si="0"/>
        <v/>
      </c>
      <c r="I43" s="18"/>
      <c r="J43" s="61"/>
      <c r="K43" s="62"/>
      <c r="L43" s="420" t="str">
        <f t="shared" si="4"/>
        <v/>
      </c>
      <c r="M43" s="401" t="str">
        <f t="shared" si="3"/>
        <v/>
      </c>
    </row>
    <row r="44" spans="1:13" ht="25" x14ac:dyDescent="0.25">
      <c r="A44" s="1"/>
      <c r="B44" s="58" t="s">
        <v>2064</v>
      </c>
      <c r="C44" s="65" t="s">
        <v>2065</v>
      </c>
      <c r="D44" s="61" t="s">
        <v>577</v>
      </c>
      <c r="E44" s="61"/>
      <c r="F44" s="581">
        <f>$F$34+$F$36</f>
        <v>540</v>
      </c>
      <c r="G44" s="422">
        <v>150</v>
      </c>
      <c r="H44" s="715">
        <f t="shared" si="0"/>
        <v>81000</v>
      </c>
      <c r="I44" s="63"/>
      <c r="J44" s="61" t="s">
        <v>996</v>
      </c>
      <c r="K44" s="605">
        <f>G44*97/100</f>
        <v>145.5</v>
      </c>
      <c r="L44" s="420">
        <f t="shared" si="4"/>
        <v>78570</v>
      </c>
      <c r="M44" s="401">
        <f t="shared" si="3"/>
        <v>0.97</v>
      </c>
    </row>
    <row r="45" spans="1:13" x14ac:dyDescent="0.25">
      <c r="A45" s="1"/>
      <c r="B45" s="58"/>
      <c r="C45" s="65"/>
      <c r="D45" s="15"/>
      <c r="E45" s="15"/>
      <c r="F45" s="15"/>
      <c r="G45" s="422"/>
      <c r="H45" s="715" t="str">
        <f t="shared" si="0"/>
        <v/>
      </c>
      <c r="I45" s="18"/>
      <c r="J45" s="61"/>
      <c r="K45" s="62"/>
      <c r="L45" s="420" t="str">
        <f t="shared" si="4"/>
        <v/>
      </c>
      <c r="M45" s="401" t="str">
        <f t="shared" si="3"/>
        <v/>
      </c>
    </row>
    <row r="46" spans="1:13" ht="26" x14ac:dyDescent="0.25">
      <c r="A46" s="1"/>
      <c r="B46" s="146" t="s">
        <v>388</v>
      </c>
      <c r="C46" s="672" t="s">
        <v>2114</v>
      </c>
      <c r="D46" s="61"/>
      <c r="E46" s="61"/>
      <c r="F46" s="61"/>
      <c r="G46" s="422"/>
      <c r="H46" s="715" t="str">
        <f t="shared" ref="H46:H56" si="5">IF(D46="","",F46*G46)</f>
        <v/>
      </c>
      <c r="I46" s="63"/>
      <c r="J46" s="61"/>
      <c r="K46" s="62"/>
      <c r="L46" s="420" t="str">
        <f t="shared" ref="L46:L57" si="6">IF(J46="","",F46*K46)</f>
        <v/>
      </c>
      <c r="M46" s="401" t="str">
        <f t="shared" ref="M46:M57" si="7">IF(J46="","",IF(SUM(H46)=0,"",L46/H46))</f>
        <v/>
      </c>
    </row>
    <row r="47" spans="1:13" x14ac:dyDescent="0.25">
      <c r="A47" s="1"/>
      <c r="B47" s="58"/>
      <c r="C47" s="65"/>
      <c r="D47" s="15"/>
      <c r="E47" s="15"/>
      <c r="F47" s="15"/>
      <c r="G47" s="422"/>
      <c r="H47" s="715" t="str">
        <f t="shared" si="5"/>
        <v/>
      </c>
      <c r="I47" s="18"/>
      <c r="J47" s="61"/>
      <c r="K47" s="62"/>
      <c r="L47" s="420" t="str">
        <f t="shared" si="6"/>
        <v/>
      </c>
      <c r="M47" s="401" t="str">
        <f t="shared" si="7"/>
        <v/>
      </c>
    </row>
    <row r="48" spans="1:13" ht="25" x14ac:dyDescent="0.3">
      <c r="A48" s="1"/>
      <c r="B48" s="58" t="s">
        <v>387</v>
      </c>
      <c r="C48" s="65" t="s">
        <v>386</v>
      </c>
      <c r="D48" s="15" t="s">
        <v>511</v>
      </c>
      <c r="E48" s="15"/>
      <c r="F48" s="578">
        <f>Quantities!$S$501</f>
        <v>900</v>
      </c>
      <c r="G48" s="411">
        <v>130</v>
      </c>
      <c r="H48" s="715">
        <f t="shared" si="5"/>
        <v>117000</v>
      </c>
      <c r="J48" s="61" t="s">
        <v>996</v>
      </c>
      <c r="K48" s="605">
        <f>_Formwork*1.05</f>
        <v>140.70000000000002</v>
      </c>
      <c r="L48" s="420">
        <f t="shared" si="6"/>
        <v>126630.00000000001</v>
      </c>
      <c r="M48" s="401">
        <f t="shared" si="7"/>
        <v>1.0823076923076924</v>
      </c>
    </row>
    <row r="49" spans="1:13" x14ac:dyDescent="0.25">
      <c r="A49" s="1"/>
      <c r="B49" s="58"/>
      <c r="C49" s="65"/>
      <c r="D49" s="15"/>
      <c r="E49" s="15"/>
      <c r="F49" s="15"/>
      <c r="G49" s="411"/>
      <c r="H49" s="715" t="str">
        <f t="shared" si="5"/>
        <v/>
      </c>
      <c r="J49" s="61"/>
      <c r="K49" s="605"/>
      <c r="L49" s="420" t="str">
        <f t="shared" si="6"/>
        <v/>
      </c>
      <c r="M49" s="401" t="str">
        <f t="shared" si="7"/>
        <v/>
      </c>
    </row>
    <row r="50" spans="1:13" ht="13" x14ac:dyDescent="0.3">
      <c r="A50" s="1"/>
      <c r="B50" s="58" t="s">
        <v>385</v>
      </c>
      <c r="C50" s="65" t="s">
        <v>384</v>
      </c>
      <c r="D50" s="15" t="s">
        <v>511</v>
      </c>
      <c r="E50" s="15"/>
      <c r="F50" s="24">
        <f>Quantities!$S$511</f>
        <v>200</v>
      </c>
      <c r="G50" s="422">
        <v>150</v>
      </c>
      <c r="H50" s="715">
        <f t="shared" si="5"/>
        <v>30000</v>
      </c>
      <c r="J50" s="61" t="s">
        <v>996</v>
      </c>
      <c r="K50" s="605">
        <f>_Formwork*1.1</f>
        <v>147.4</v>
      </c>
      <c r="L50" s="420">
        <f t="shared" si="6"/>
        <v>29480</v>
      </c>
      <c r="M50" s="401">
        <f t="shared" si="7"/>
        <v>0.98266666666666669</v>
      </c>
    </row>
    <row r="51" spans="1:13" x14ac:dyDescent="0.25">
      <c r="A51" s="1"/>
      <c r="B51" s="58"/>
      <c r="C51" s="65"/>
      <c r="D51" s="15"/>
      <c r="E51" s="15"/>
      <c r="F51" s="24"/>
      <c r="G51" s="411"/>
      <c r="H51" s="715" t="str">
        <f t="shared" si="5"/>
        <v/>
      </c>
      <c r="J51" s="61"/>
      <c r="K51" s="62"/>
      <c r="L51" s="420" t="str">
        <f t="shared" si="6"/>
        <v/>
      </c>
      <c r="M51" s="401" t="str">
        <f t="shared" si="7"/>
        <v/>
      </c>
    </row>
    <row r="52" spans="1:13" ht="39" x14ac:dyDescent="0.25">
      <c r="A52" s="1"/>
      <c r="B52" s="146" t="s">
        <v>383</v>
      </c>
      <c r="C52" s="672" t="s">
        <v>2112</v>
      </c>
      <c r="D52" s="15"/>
      <c r="E52" s="15"/>
      <c r="F52" s="24"/>
      <c r="G52" s="422"/>
      <c r="H52" s="715" t="str">
        <f t="shared" si="5"/>
        <v/>
      </c>
      <c r="J52" s="61"/>
      <c r="K52" s="399"/>
      <c r="L52" s="420" t="str">
        <f t="shared" si="6"/>
        <v/>
      </c>
      <c r="M52" s="401" t="str">
        <f t="shared" si="7"/>
        <v/>
      </c>
    </row>
    <row r="53" spans="1:13" x14ac:dyDescent="0.25">
      <c r="B53" s="58"/>
      <c r="C53" s="65"/>
      <c r="D53" s="15"/>
      <c r="E53" s="15"/>
      <c r="F53" s="24"/>
      <c r="G53" s="411"/>
      <c r="H53" s="715" t="str">
        <f t="shared" si="5"/>
        <v/>
      </c>
      <c r="J53" s="61"/>
      <c r="K53" s="62"/>
      <c r="L53" s="420" t="str">
        <f t="shared" si="6"/>
        <v/>
      </c>
      <c r="M53" s="401" t="str">
        <f t="shared" si="7"/>
        <v/>
      </c>
    </row>
    <row r="54" spans="1:13" ht="25" x14ac:dyDescent="0.25">
      <c r="B54" s="58" t="s">
        <v>39</v>
      </c>
      <c r="C54" s="668" t="s">
        <v>1798</v>
      </c>
      <c r="D54" s="15" t="s">
        <v>6</v>
      </c>
      <c r="E54" s="15"/>
      <c r="F54" s="24">
        <f>Quantities!$S$524</f>
        <v>1400</v>
      </c>
      <c r="G54" s="411">
        <v>35</v>
      </c>
      <c r="H54" s="715">
        <f t="shared" si="5"/>
        <v>49000</v>
      </c>
      <c r="J54" s="61" t="s">
        <v>996</v>
      </c>
      <c r="K54" s="605">
        <f>ROUND(Labour_perc_roads*G54,0)</f>
        <v>1</v>
      </c>
      <c r="L54" s="420">
        <f t="shared" si="6"/>
        <v>1400</v>
      </c>
      <c r="M54" s="401">
        <f t="shared" si="7"/>
        <v>2.8571428571428571E-2</v>
      </c>
    </row>
    <row r="55" spans="1:13" x14ac:dyDescent="0.25">
      <c r="B55" s="58"/>
      <c r="C55" s="668"/>
      <c r="D55" s="15"/>
      <c r="E55" s="15"/>
      <c r="F55" s="24"/>
      <c r="G55" s="411"/>
      <c r="H55" s="715" t="str">
        <f t="shared" si="5"/>
        <v/>
      </c>
      <c r="J55" s="61"/>
      <c r="K55" s="605"/>
      <c r="L55" s="420" t="str">
        <f t="shared" si="6"/>
        <v/>
      </c>
      <c r="M55" s="401" t="str">
        <f t="shared" si="7"/>
        <v/>
      </c>
    </row>
    <row r="56" spans="1:13" ht="25" x14ac:dyDescent="0.25">
      <c r="B56" s="58" t="s">
        <v>41</v>
      </c>
      <c r="C56" s="668" t="s">
        <v>1799</v>
      </c>
      <c r="D56" s="15" t="s">
        <v>6</v>
      </c>
      <c r="E56" s="15"/>
      <c r="F56" s="24">
        <f>Quantities!$S$533</f>
        <v>500</v>
      </c>
      <c r="G56" s="411">
        <v>60</v>
      </c>
      <c r="H56" s="715">
        <f t="shared" si="5"/>
        <v>30000</v>
      </c>
      <c r="J56" s="61" t="s">
        <v>996</v>
      </c>
      <c r="K56" s="605">
        <f>_Expansion*1.3</f>
        <v>14.559999999999999</v>
      </c>
      <c r="L56" s="420">
        <f t="shared" si="6"/>
        <v>7279.9999999999991</v>
      </c>
      <c r="M56" s="401">
        <f t="shared" si="7"/>
        <v>0.24266666666666664</v>
      </c>
    </row>
    <row r="57" spans="1:13" ht="8.15" customHeight="1" x14ac:dyDescent="0.25">
      <c r="B57" s="58"/>
      <c r="C57" s="65"/>
      <c r="D57" s="15"/>
      <c r="E57" s="15"/>
      <c r="F57" s="24"/>
      <c r="G57" s="411"/>
      <c r="H57" s="715" t="str">
        <f t="shared" si="0"/>
        <v/>
      </c>
      <c r="J57" s="592"/>
      <c r="K57" s="711"/>
      <c r="L57" s="420" t="str">
        <f t="shared" si="6"/>
        <v/>
      </c>
      <c r="M57" s="401" t="str">
        <f t="shared" si="7"/>
        <v/>
      </c>
    </row>
    <row r="58" spans="1:13" s="28" customFormat="1" ht="19.5" customHeight="1" x14ac:dyDescent="0.25">
      <c r="B58" s="135" t="str">
        <f>$B$12</f>
        <v>C3.3</v>
      </c>
      <c r="C58" s="30" t="str">
        <f>"TOTAL CARRIED FORWARD"&amp;IF(H58=H$1," TO SUMMARY","")</f>
        <v>TOTAL CARRIED FORWARD</v>
      </c>
      <c r="D58" s="31"/>
      <c r="E58" s="31"/>
      <c r="F58" s="32"/>
      <c r="G58" s="31"/>
      <c r="H58" s="33">
        <f>SUM(H11:H57)</f>
        <v>1946875</v>
      </c>
      <c r="I58" s="34"/>
      <c r="J58" s="408"/>
      <c r="K58" s="406"/>
      <c r="L58" s="418">
        <f>SUM(L11:L57)</f>
        <v>387822.08571428573</v>
      </c>
      <c r="M58" s="407" t="str">
        <f t="shared" ref="M58" si="8">IF(J58="","",IF(SUM(H58)=0,"",L58/H58))</f>
        <v/>
      </c>
    </row>
    <row r="59" spans="1:13" s="1" customFormat="1" ht="13" x14ac:dyDescent="0.25">
      <c r="B59" s="1108" t="str">
        <f>Client1</f>
        <v>Province of KwaZulu-Natal</v>
      </c>
      <c r="C59" s="1108"/>
      <c r="D59" s="1108"/>
      <c r="E59" s="87"/>
      <c r="F59" s="1109" t="str">
        <f>"Contract No. "&amp;ContractNo</f>
        <v>Contract No. ZNB 00399/00000/HOD/INF/21/T</v>
      </c>
      <c r="G59" s="1109"/>
      <c r="H59" s="1109"/>
      <c r="I59" s="5"/>
    </row>
    <row r="60" spans="1:13" s="1" customFormat="1" ht="13" x14ac:dyDescent="0.25">
      <c r="B60" s="1108" t="str">
        <f>Client2</f>
        <v>Department of Transport</v>
      </c>
      <c r="C60" s="1108"/>
      <c r="D60" s="1108"/>
      <c r="E60" s="87"/>
      <c r="F60" s="1109"/>
      <c r="G60" s="1109"/>
      <c r="H60" s="1109"/>
      <c r="I60" s="5"/>
    </row>
    <row r="61" spans="1:13" s="1" customFormat="1" x14ac:dyDescent="0.25">
      <c r="B61" s="1111"/>
      <c r="C61" s="1111"/>
      <c r="D61" s="1111"/>
      <c r="E61" s="78"/>
      <c r="F61" s="1110"/>
      <c r="G61" s="1110"/>
      <c r="H61" s="1110"/>
      <c r="I61" s="5"/>
    </row>
    <row r="62" spans="1:13" s="1" customFormat="1" ht="13" x14ac:dyDescent="0.25">
      <c r="B62" s="1112" t="s">
        <v>8</v>
      </c>
      <c r="C62" s="1113"/>
      <c r="D62" s="1113"/>
      <c r="E62" s="1113"/>
      <c r="F62" s="1113"/>
      <c r="G62" s="1113"/>
      <c r="H62" s="1128" t="str">
        <f>$H$6</f>
        <v>CHAPTER C3.3</v>
      </c>
      <c r="I62" s="6"/>
    </row>
    <row r="63" spans="1:13" s="1" customFormat="1" ht="13" x14ac:dyDescent="0.25">
      <c r="B63" s="1117" t="str">
        <f>ContractDescription</f>
        <v>THE CONSTRUCTION OF EARTHWORKS, LAYERWORKS, SURFACING, CULVERTS AND CWAKA RIVER BRIDGE FROM KM 11.600 TO KM 14.000 ON MAIN ROAD P494 IN THE KING CETSHWAYO DISTRICT UNDER EMPANGENI REGION</v>
      </c>
      <c r="C63" s="1118"/>
      <c r="D63" s="1118"/>
      <c r="E63" s="1118"/>
      <c r="F63" s="1118"/>
      <c r="G63" s="1118"/>
      <c r="H63" s="1109"/>
      <c r="I63" s="8"/>
    </row>
    <row r="64" spans="1:13" s="1" customFormat="1" ht="13" x14ac:dyDescent="0.25">
      <c r="B64" s="1117"/>
      <c r="C64" s="1118"/>
      <c r="D64" s="1118"/>
      <c r="E64" s="1118"/>
      <c r="F64" s="1118"/>
      <c r="G64" s="1118"/>
      <c r="H64" s="1109"/>
      <c r="I64" s="8"/>
    </row>
    <row r="65" spans="2:13" s="1" customFormat="1" ht="13" x14ac:dyDescent="0.25">
      <c r="B65" s="1119"/>
      <c r="C65" s="1120"/>
      <c r="D65" s="1120"/>
      <c r="E65" s="1120"/>
      <c r="F65" s="1120"/>
      <c r="G65" s="1120"/>
      <c r="H65" s="1110"/>
      <c r="I65" s="8"/>
    </row>
    <row r="66" spans="2:13" s="9" customFormat="1" ht="25" customHeight="1" x14ac:dyDescent="0.25">
      <c r="B66" s="74" t="s">
        <v>0</v>
      </c>
      <c r="C66" s="11" t="s">
        <v>1</v>
      </c>
      <c r="D66" s="11" t="s">
        <v>2</v>
      </c>
      <c r="E66" s="11" t="s">
        <v>996</v>
      </c>
      <c r="F66" s="11" t="s">
        <v>3</v>
      </c>
      <c r="G66" s="11" t="s">
        <v>4</v>
      </c>
      <c r="H66" s="11" t="s">
        <v>5</v>
      </c>
      <c r="I66" s="12"/>
      <c r="J66" s="408" t="s">
        <v>996</v>
      </c>
      <c r="K66" s="253" t="s">
        <v>997</v>
      </c>
      <c r="L66" s="253" t="s">
        <v>998</v>
      </c>
      <c r="M66" s="253" t="s">
        <v>999</v>
      </c>
    </row>
    <row r="67" spans="2:13" s="28" customFormat="1" ht="20.149999999999999" customHeight="1" x14ac:dyDescent="0.25">
      <c r="B67" s="80"/>
      <c r="C67" s="30" t="s">
        <v>27</v>
      </c>
      <c r="D67" s="31"/>
      <c r="E67" s="31"/>
      <c r="F67" s="32"/>
      <c r="G67" s="31"/>
      <c r="H67" s="33">
        <f>H58</f>
        <v>1946875</v>
      </c>
      <c r="I67" s="34"/>
      <c r="J67" s="416"/>
      <c r="K67" s="409"/>
      <c r="L67" s="419">
        <f>L58</f>
        <v>387822.08571428573</v>
      </c>
      <c r="M67" s="410" t="str">
        <f>IF(F67="","",IF(SUM(I67)=0,"",L67/I67))</f>
        <v/>
      </c>
    </row>
    <row r="68" spans="2:13" x14ac:dyDescent="0.25">
      <c r="B68" s="58"/>
      <c r="C68" s="786"/>
      <c r="D68" s="15"/>
      <c r="E68" s="15"/>
      <c r="F68" s="24"/>
      <c r="G68" s="411"/>
      <c r="H68" s="17" t="str">
        <f t="shared" ref="H68:H101" si="9">IF(D68="","",F68*G68)</f>
        <v/>
      </c>
      <c r="J68" s="61"/>
      <c r="K68" s="399"/>
      <c r="L68" s="420" t="str">
        <f t="shared" ref="L68" si="10">IF(J68="","",F68*K68)</f>
        <v/>
      </c>
      <c r="M68" s="401" t="str">
        <f t="shared" ref="M68" si="11">IF(J68="","",IF(SUM(H68)=0,"",L68/H68))</f>
        <v/>
      </c>
    </row>
    <row r="69" spans="2:13" ht="13" x14ac:dyDescent="0.25">
      <c r="B69" s="146" t="s">
        <v>382</v>
      </c>
      <c r="C69" s="789" t="s">
        <v>381</v>
      </c>
      <c r="D69" s="15"/>
      <c r="E69" s="15"/>
      <c r="F69" s="24"/>
      <c r="G69" s="411"/>
      <c r="H69" s="17" t="str">
        <f t="shared" si="9"/>
        <v/>
      </c>
      <c r="J69" s="62"/>
      <c r="K69" s="62"/>
      <c r="L69" s="420" t="str">
        <f t="shared" ref="L69:L94" si="12">IF(J69="","",F69*K69)</f>
        <v/>
      </c>
      <c r="M69" s="401" t="str">
        <f t="shared" ref="M69:M102" si="13">IF(J69="","",IF(SUM(H69)=0,"",L69/H69))</f>
        <v/>
      </c>
    </row>
    <row r="70" spans="2:13" x14ac:dyDescent="0.25">
      <c r="B70" s="58"/>
      <c r="C70" s="65"/>
      <c r="D70" s="15"/>
      <c r="E70" s="15"/>
      <c r="F70" s="24"/>
      <c r="G70" s="423"/>
      <c r="H70" s="17" t="str">
        <f t="shared" si="9"/>
        <v/>
      </c>
      <c r="J70" s="62"/>
      <c r="K70" s="62"/>
      <c r="L70" s="420" t="str">
        <f t="shared" si="12"/>
        <v/>
      </c>
      <c r="M70" s="401" t="str">
        <f t="shared" si="13"/>
        <v/>
      </c>
    </row>
    <row r="71" spans="2:13" x14ac:dyDescent="0.25">
      <c r="B71" s="58" t="s">
        <v>378</v>
      </c>
      <c r="C71" s="242" t="s">
        <v>1853</v>
      </c>
      <c r="D71" s="15" t="s">
        <v>24</v>
      </c>
      <c r="E71" s="15" t="s">
        <v>996</v>
      </c>
      <c r="F71" s="24">
        <f>Quantities!$S$542</f>
        <v>10400</v>
      </c>
      <c r="G71" s="422">
        <v>20</v>
      </c>
      <c r="H71" s="17">
        <f t="shared" si="9"/>
        <v>208000</v>
      </c>
      <c r="J71" s="61" t="s">
        <v>996</v>
      </c>
      <c r="K71" s="609">
        <f>_Mesh*1.04</f>
        <v>4.68</v>
      </c>
      <c r="L71" s="420">
        <f t="shared" si="12"/>
        <v>48672</v>
      </c>
      <c r="M71" s="401">
        <f t="shared" si="13"/>
        <v>0.23400000000000001</v>
      </c>
    </row>
    <row r="72" spans="2:13" x14ac:dyDescent="0.25">
      <c r="B72" s="58"/>
      <c r="C72" s="786"/>
      <c r="D72" s="15"/>
      <c r="E72" s="15"/>
      <c r="F72" s="24"/>
      <c r="G72" s="411"/>
      <c r="H72" s="17" t="str">
        <f t="shared" si="9"/>
        <v/>
      </c>
      <c r="J72" s="61"/>
      <c r="K72" s="399"/>
      <c r="L72" s="420" t="str">
        <f t="shared" si="12"/>
        <v/>
      </c>
      <c r="M72" s="401" t="str">
        <f t="shared" si="13"/>
        <v/>
      </c>
    </row>
    <row r="73" spans="2:13" ht="26" x14ac:dyDescent="0.3">
      <c r="B73" s="146" t="s">
        <v>376</v>
      </c>
      <c r="C73" s="672" t="s">
        <v>2115</v>
      </c>
      <c r="D73" s="15" t="s">
        <v>511</v>
      </c>
      <c r="E73" s="15" t="s">
        <v>996</v>
      </c>
      <c r="F73" s="24">
        <f>Quantities!$S$550</f>
        <v>5400</v>
      </c>
      <c r="G73" s="422">
        <v>5.5</v>
      </c>
      <c r="H73" s="17">
        <f t="shared" si="9"/>
        <v>29700</v>
      </c>
      <c r="J73" s="61" t="s">
        <v>996</v>
      </c>
      <c r="K73" s="609">
        <f>_Sheeting*1.01</f>
        <v>3.7370000000000001</v>
      </c>
      <c r="L73" s="420">
        <f t="shared" si="12"/>
        <v>20179.8</v>
      </c>
      <c r="M73" s="401">
        <f t="shared" si="13"/>
        <v>0.67945454545454542</v>
      </c>
    </row>
    <row r="74" spans="2:13" x14ac:dyDescent="0.25">
      <c r="B74" s="58"/>
      <c r="C74" s="68"/>
      <c r="D74" s="61"/>
      <c r="E74" s="61"/>
      <c r="F74" s="24"/>
      <c r="G74" s="421"/>
      <c r="H74" s="17" t="str">
        <f t="shared" si="9"/>
        <v/>
      </c>
      <c r="J74" s="61"/>
      <c r="K74" s="399"/>
      <c r="L74" s="420" t="str">
        <f t="shared" si="12"/>
        <v/>
      </c>
      <c r="M74" s="401" t="str">
        <f t="shared" si="13"/>
        <v/>
      </c>
    </row>
    <row r="75" spans="2:13" ht="26" x14ac:dyDescent="0.25">
      <c r="B75" s="146" t="s">
        <v>1892</v>
      </c>
      <c r="C75" s="807" t="s">
        <v>1801</v>
      </c>
      <c r="D75" s="666"/>
      <c r="E75" s="666"/>
      <c r="F75" s="24"/>
      <c r="G75" s="422"/>
      <c r="H75" s="17" t="str">
        <f t="shared" si="9"/>
        <v/>
      </c>
      <c r="J75" s="61"/>
      <c r="K75" s="399"/>
      <c r="L75" s="420" t="str">
        <f t="shared" si="12"/>
        <v/>
      </c>
      <c r="M75" s="401" t="str">
        <f t="shared" si="13"/>
        <v/>
      </c>
    </row>
    <row r="76" spans="2:13" x14ac:dyDescent="0.25">
      <c r="B76" s="58"/>
      <c r="C76" s="667"/>
      <c r="D76" s="666"/>
      <c r="E76" s="666"/>
      <c r="F76" s="24"/>
      <c r="G76" s="421"/>
      <c r="H76" s="17" t="str">
        <f t="shared" si="9"/>
        <v/>
      </c>
      <c r="J76" s="61"/>
      <c r="K76" s="400"/>
      <c r="L76" s="420" t="str">
        <f t="shared" si="12"/>
        <v/>
      </c>
      <c r="M76" s="401" t="str">
        <f t="shared" si="13"/>
        <v/>
      </c>
    </row>
    <row r="77" spans="2:13" ht="37.5" x14ac:dyDescent="0.25">
      <c r="B77" s="58" t="s">
        <v>39</v>
      </c>
      <c r="C77" s="667" t="s">
        <v>1802</v>
      </c>
      <c r="D77" s="666" t="s">
        <v>34</v>
      </c>
      <c r="E77" s="666"/>
      <c r="F77" s="24">
        <f>Quantities!$S$381</f>
        <v>8</v>
      </c>
      <c r="G77" s="423">
        <v>2600</v>
      </c>
      <c r="H77" s="17">
        <f t="shared" si="9"/>
        <v>20800</v>
      </c>
      <c r="J77" s="61" t="s">
        <v>996</v>
      </c>
      <c r="K77" s="605">
        <f>ROUND(6%*G77,0)</f>
        <v>156</v>
      </c>
      <c r="L77" s="420">
        <f t="shared" si="12"/>
        <v>1248</v>
      </c>
      <c r="M77" s="401">
        <f t="shared" si="13"/>
        <v>0.06</v>
      </c>
    </row>
    <row r="78" spans="2:13" x14ac:dyDescent="0.25">
      <c r="B78" s="58"/>
      <c r="C78" s="667"/>
      <c r="D78" s="666"/>
      <c r="E78" s="666"/>
      <c r="F78" s="24"/>
      <c r="G78" s="421"/>
      <c r="H78" s="17" t="str">
        <f t="shared" si="9"/>
        <v/>
      </c>
      <c r="J78" s="61"/>
      <c r="K78" s="399"/>
      <c r="L78" s="420" t="str">
        <f t="shared" si="12"/>
        <v/>
      </c>
      <c r="M78" s="401" t="str">
        <f t="shared" si="13"/>
        <v/>
      </c>
    </row>
    <row r="79" spans="2:13" ht="37.5" x14ac:dyDescent="0.25">
      <c r="B79" s="58" t="s">
        <v>41</v>
      </c>
      <c r="C79" s="667" t="s">
        <v>1803</v>
      </c>
      <c r="D79" s="666" t="s">
        <v>34</v>
      </c>
      <c r="E79" s="666"/>
      <c r="F79" s="24">
        <f>Quantities!$S$388</f>
        <v>8</v>
      </c>
      <c r="G79" s="423">
        <v>2600</v>
      </c>
      <c r="H79" s="17">
        <f t="shared" si="9"/>
        <v>20800</v>
      </c>
      <c r="J79" s="61" t="s">
        <v>996</v>
      </c>
      <c r="K79" s="605">
        <f>ROUND(6%*G79,0)</f>
        <v>156</v>
      </c>
      <c r="L79" s="420">
        <f t="shared" si="12"/>
        <v>1248</v>
      </c>
      <c r="M79" s="401">
        <f t="shared" si="13"/>
        <v>0.06</v>
      </c>
    </row>
    <row r="80" spans="2:13" x14ac:dyDescent="0.25">
      <c r="B80" s="58"/>
      <c r="C80" s="667"/>
      <c r="D80" s="666"/>
      <c r="E80" s="666"/>
      <c r="F80" s="24"/>
      <c r="G80" s="411"/>
      <c r="H80" s="17" t="str">
        <f t="shared" si="9"/>
        <v/>
      </c>
      <c r="J80" s="61"/>
      <c r="K80" s="402"/>
      <c r="L80" s="420" t="str">
        <f t="shared" si="12"/>
        <v/>
      </c>
      <c r="M80" s="401" t="str">
        <f t="shared" si="13"/>
        <v/>
      </c>
    </row>
    <row r="81" spans="2:13" ht="62.5" x14ac:dyDescent="0.25">
      <c r="B81" s="58" t="s">
        <v>52</v>
      </c>
      <c r="C81" s="667" t="s">
        <v>1804</v>
      </c>
      <c r="D81" s="666" t="s">
        <v>34</v>
      </c>
      <c r="E81" s="666"/>
      <c r="F81" s="24">
        <f>Quantities!$S$396</f>
        <v>4</v>
      </c>
      <c r="G81" s="423">
        <v>2600</v>
      </c>
      <c r="H81" s="17">
        <f t="shared" si="9"/>
        <v>10400</v>
      </c>
      <c r="J81" s="61" t="s">
        <v>996</v>
      </c>
      <c r="K81" s="605">
        <f>ROUND(6%*G81,0)</f>
        <v>156</v>
      </c>
      <c r="L81" s="420">
        <f t="shared" si="12"/>
        <v>624</v>
      </c>
      <c r="M81" s="401">
        <f t="shared" si="13"/>
        <v>0.06</v>
      </c>
    </row>
    <row r="82" spans="2:13" x14ac:dyDescent="0.25">
      <c r="B82" s="58"/>
      <c r="C82" s="667"/>
      <c r="D82" s="666"/>
      <c r="E82" s="666"/>
      <c r="F82" s="24"/>
      <c r="G82" s="422"/>
      <c r="H82" s="17" t="str">
        <f t="shared" si="9"/>
        <v/>
      </c>
      <c r="J82" s="61"/>
      <c r="K82" s="402"/>
      <c r="L82" s="420" t="str">
        <f t="shared" si="12"/>
        <v/>
      </c>
      <c r="M82" s="401" t="str">
        <f t="shared" si="13"/>
        <v/>
      </c>
    </row>
    <row r="83" spans="2:13" ht="62.5" x14ac:dyDescent="0.25">
      <c r="B83" s="58" t="s">
        <v>43</v>
      </c>
      <c r="C83" s="667" t="s">
        <v>2117</v>
      </c>
      <c r="D83" s="666" t="s">
        <v>34</v>
      </c>
      <c r="E83" s="666"/>
      <c r="F83" s="24">
        <f>Quantities!$S$407</f>
        <v>16</v>
      </c>
      <c r="G83" s="423">
        <v>2600</v>
      </c>
      <c r="H83" s="17">
        <f t="shared" si="9"/>
        <v>41600</v>
      </c>
      <c r="J83" s="61" t="s">
        <v>996</v>
      </c>
      <c r="K83" s="605">
        <f>ROUND(6%*G83,0)</f>
        <v>156</v>
      </c>
      <c r="L83" s="420">
        <f t="shared" si="12"/>
        <v>2496</v>
      </c>
      <c r="M83" s="401">
        <f t="shared" si="13"/>
        <v>0.06</v>
      </c>
    </row>
    <row r="84" spans="2:13" x14ac:dyDescent="0.25">
      <c r="B84" s="58"/>
      <c r="C84" s="65"/>
      <c r="D84" s="15"/>
      <c r="E84" s="15"/>
      <c r="F84" s="24"/>
      <c r="G84" s="411"/>
      <c r="H84" s="17" t="str">
        <f t="shared" si="9"/>
        <v/>
      </c>
      <c r="J84" s="61"/>
      <c r="K84" s="402"/>
      <c r="L84" s="420" t="str">
        <f t="shared" si="12"/>
        <v/>
      </c>
      <c r="M84" s="401" t="str">
        <f t="shared" si="13"/>
        <v/>
      </c>
    </row>
    <row r="85" spans="2:13" ht="57.5" x14ac:dyDescent="0.25">
      <c r="B85" s="58" t="s">
        <v>44</v>
      </c>
      <c r="C85" s="584" t="s">
        <v>1805</v>
      </c>
      <c r="D85" s="587" t="s">
        <v>34</v>
      </c>
      <c r="E85" s="587"/>
      <c r="F85" s="24">
        <f>Quantities!$S$412</f>
        <v>6</v>
      </c>
      <c r="G85" s="423">
        <v>2600</v>
      </c>
      <c r="H85" s="17">
        <f t="shared" si="9"/>
        <v>15600</v>
      </c>
      <c r="J85" s="61" t="s">
        <v>996</v>
      </c>
      <c r="K85" s="605">
        <f>ROUND(6%*G85,0)</f>
        <v>156</v>
      </c>
      <c r="L85" s="420">
        <f t="shared" si="12"/>
        <v>936</v>
      </c>
      <c r="M85" s="401">
        <f t="shared" si="13"/>
        <v>0.06</v>
      </c>
    </row>
    <row r="86" spans="2:13" x14ac:dyDescent="0.25">
      <c r="B86" s="58"/>
      <c r="C86" s="584"/>
      <c r="D86" s="587"/>
      <c r="E86" s="587"/>
      <c r="F86" s="24"/>
      <c r="G86" s="411"/>
      <c r="H86" s="17" t="str">
        <f t="shared" si="9"/>
        <v/>
      </c>
      <c r="J86" s="62"/>
      <c r="K86" s="62"/>
      <c r="L86" s="420" t="str">
        <f t="shared" si="12"/>
        <v/>
      </c>
      <c r="M86" s="401" t="str">
        <f t="shared" si="13"/>
        <v/>
      </c>
    </row>
    <row r="87" spans="2:13" ht="57.5" x14ac:dyDescent="0.25">
      <c r="B87" s="58" t="s">
        <v>45</v>
      </c>
      <c r="C87" s="584" t="s">
        <v>1806</v>
      </c>
      <c r="D87" s="587" t="s">
        <v>34</v>
      </c>
      <c r="E87" s="587"/>
      <c r="F87" s="24">
        <f>Quantities!$S$419</f>
        <v>16</v>
      </c>
      <c r="G87" s="423">
        <v>2600</v>
      </c>
      <c r="H87" s="17">
        <f t="shared" si="9"/>
        <v>41600</v>
      </c>
      <c r="J87" s="61" t="s">
        <v>996</v>
      </c>
      <c r="K87" s="605">
        <f>ROUND(6%*G87,0)</f>
        <v>156</v>
      </c>
      <c r="L87" s="420">
        <f t="shared" si="12"/>
        <v>2496</v>
      </c>
      <c r="M87" s="401">
        <f t="shared" si="13"/>
        <v>0.06</v>
      </c>
    </row>
    <row r="88" spans="2:13" x14ac:dyDescent="0.25">
      <c r="B88" s="58"/>
      <c r="C88" s="584"/>
      <c r="D88" s="587"/>
      <c r="E88" s="587"/>
      <c r="F88" s="24"/>
      <c r="G88" s="411"/>
      <c r="H88" s="17" t="str">
        <f t="shared" si="9"/>
        <v/>
      </c>
      <c r="J88" s="62"/>
      <c r="K88" s="62"/>
      <c r="L88" s="420" t="str">
        <f t="shared" si="12"/>
        <v/>
      </c>
      <c r="M88" s="401" t="str">
        <f t="shared" si="13"/>
        <v/>
      </c>
    </row>
    <row r="89" spans="2:13" ht="69" x14ac:dyDescent="0.25">
      <c r="B89" s="58" t="s">
        <v>239</v>
      </c>
      <c r="C89" s="584" t="s">
        <v>2049</v>
      </c>
      <c r="D89" s="587" t="s">
        <v>34</v>
      </c>
      <c r="E89" s="587"/>
      <c r="F89" s="24">
        <f>Quantities!$S$424</f>
        <v>32</v>
      </c>
      <c r="G89" s="423">
        <v>2600</v>
      </c>
      <c r="H89" s="17">
        <f t="shared" si="9"/>
        <v>83200</v>
      </c>
      <c r="J89" s="61" t="s">
        <v>996</v>
      </c>
      <c r="K89" s="605">
        <f>ROUND(6%*G89,0)</f>
        <v>156</v>
      </c>
      <c r="L89" s="420">
        <f t="shared" si="12"/>
        <v>4992</v>
      </c>
      <c r="M89" s="401">
        <f t="shared" si="13"/>
        <v>0.06</v>
      </c>
    </row>
    <row r="90" spans="2:13" x14ac:dyDescent="0.25">
      <c r="B90" s="58"/>
      <c r="C90" s="584"/>
      <c r="D90" s="587"/>
      <c r="E90" s="587"/>
      <c r="F90" s="15"/>
      <c r="G90" s="411"/>
      <c r="H90" s="17" t="str">
        <f t="shared" si="9"/>
        <v/>
      </c>
      <c r="J90" s="62"/>
      <c r="K90" s="62"/>
      <c r="L90" s="420" t="str">
        <f t="shared" si="12"/>
        <v/>
      </c>
      <c r="M90" s="401" t="str">
        <f t="shared" si="13"/>
        <v/>
      </c>
    </row>
    <row r="91" spans="2:13" ht="26" x14ac:dyDescent="0.25">
      <c r="B91" s="146" t="s">
        <v>2006</v>
      </c>
      <c r="C91" s="789" t="s">
        <v>2116</v>
      </c>
      <c r="D91" s="15" t="s">
        <v>577</v>
      </c>
      <c r="E91" s="15"/>
      <c r="F91" s="15">
        <v>10</v>
      </c>
      <c r="G91" s="424">
        <v>2200</v>
      </c>
      <c r="H91" s="17">
        <f t="shared" si="9"/>
        <v>22000</v>
      </c>
      <c r="J91" s="62" t="s">
        <v>996</v>
      </c>
      <c r="K91" s="605">
        <f>ROUND(_Mix+_Haul+_Place*1.02,1)</f>
        <v>800.5</v>
      </c>
      <c r="L91" s="420">
        <f t="shared" si="12"/>
        <v>8005</v>
      </c>
      <c r="M91" s="401">
        <f t="shared" si="13"/>
        <v>0.36386363636363639</v>
      </c>
    </row>
    <row r="92" spans="2:13" x14ac:dyDescent="0.25">
      <c r="B92" s="58"/>
      <c r="C92" s="584"/>
      <c r="D92" s="587"/>
      <c r="E92" s="587"/>
      <c r="F92" s="15"/>
      <c r="G92" s="422"/>
      <c r="H92" s="17" t="str">
        <f t="shared" si="9"/>
        <v/>
      </c>
      <c r="J92" s="62"/>
      <c r="K92" s="62"/>
      <c r="L92" s="420" t="str">
        <f t="shared" si="12"/>
        <v/>
      </c>
      <c r="M92" s="401" t="str">
        <f t="shared" si="13"/>
        <v/>
      </c>
    </row>
    <row r="93" spans="2:13" ht="26" x14ac:dyDescent="0.25">
      <c r="B93" s="146" t="s">
        <v>1800</v>
      </c>
      <c r="C93" s="672" t="s">
        <v>1079</v>
      </c>
      <c r="D93" s="15"/>
      <c r="E93" s="15"/>
      <c r="F93" s="15"/>
      <c r="G93" s="424"/>
      <c r="H93" s="743" t="str">
        <f t="shared" si="9"/>
        <v/>
      </c>
      <c r="J93" s="62"/>
      <c r="K93" s="62"/>
      <c r="L93" s="420" t="str">
        <f t="shared" si="12"/>
        <v/>
      </c>
      <c r="M93" s="401" t="str">
        <f t="shared" si="13"/>
        <v/>
      </c>
    </row>
    <row r="94" spans="2:13" x14ac:dyDescent="0.25">
      <c r="B94" s="58"/>
      <c r="C94" s="65"/>
      <c r="D94" s="15"/>
      <c r="E94" s="15"/>
      <c r="F94" s="578"/>
      <c r="G94" s="424"/>
      <c r="H94" s="743" t="str">
        <f t="shared" si="9"/>
        <v/>
      </c>
      <c r="J94" s="62"/>
      <c r="K94" s="605"/>
      <c r="L94" s="420" t="str">
        <f t="shared" si="12"/>
        <v/>
      </c>
      <c r="M94" s="401" t="str">
        <f t="shared" si="13"/>
        <v/>
      </c>
    </row>
    <row r="95" spans="2:13" x14ac:dyDescent="0.25">
      <c r="B95" s="58" t="s">
        <v>39</v>
      </c>
      <c r="C95" s="65" t="s">
        <v>800</v>
      </c>
      <c r="D95" s="15" t="s">
        <v>700</v>
      </c>
      <c r="E95" s="15"/>
      <c r="F95" s="578">
        <f>Quantities!$S$452</f>
        <v>3600</v>
      </c>
      <c r="G95" s="424">
        <v>20</v>
      </c>
      <c r="H95" s="743">
        <f t="shared" ref="H95:H97" si="14">IF(D95="","",F95*G95)</f>
        <v>72000</v>
      </c>
      <c r="J95" s="62" t="s">
        <v>996</v>
      </c>
      <c r="K95" s="605">
        <f>ROUND(_LabourRate/7,1)</f>
        <v>6.4</v>
      </c>
      <c r="L95" s="420">
        <f t="shared" ref="L95:L101" si="15">IF(J95="","",F95*K95)</f>
        <v>23040</v>
      </c>
      <c r="M95" s="401">
        <f t="shared" ref="M95:M101" si="16">IF(J95="","",IF(SUM(H95)=0,"",L95/H95))</f>
        <v>0.32</v>
      </c>
    </row>
    <row r="96" spans="2:13" x14ac:dyDescent="0.25">
      <c r="B96" s="58"/>
      <c r="C96" s="65"/>
      <c r="D96" s="15"/>
      <c r="E96" s="15"/>
      <c r="F96" s="15"/>
      <c r="G96" s="424"/>
      <c r="H96" s="743" t="str">
        <f t="shared" si="14"/>
        <v/>
      </c>
      <c r="J96" s="62"/>
      <c r="K96" s="605"/>
      <c r="L96" s="420" t="str">
        <f t="shared" si="15"/>
        <v/>
      </c>
      <c r="M96" s="401" t="str">
        <f t="shared" si="16"/>
        <v/>
      </c>
    </row>
    <row r="97" spans="2:13" x14ac:dyDescent="0.25">
      <c r="B97" s="58" t="s">
        <v>41</v>
      </c>
      <c r="C97" s="65" t="s">
        <v>1080</v>
      </c>
      <c r="D97" s="15" t="s">
        <v>700</v>
      </c>
      <c r="E97" s="15"/>
      <c r="F97" s="578">
        <f>Quantities!$S$457</f>
        <v>2400</v>
      </c>
      <c r="G97" s="424">
        <v>120</v>
      </c>
      <c r="H97" s="743">
        <f t="shared" si="14"/>
        <v>288000</v>
      </c>
      <c r="J97" s="62" t="s">
        <v>996</v>
      </c>
      <c r="K97" s="605">
        <f>ROUND(_LabourRate/7*2,1)</f>
        <v>12.8</v>
      </c>
      <c r="L97" s="420">
        <f t="shared" si="15"/>
        <v>30720</v>
      </c>
      <c r="M97" s="401">
        <f t="shared" si="16"/>
        <v>0.10666666666666667</v>
      </c>
    </row>
    <row r="98" spans="2:13" x14ac:dyDescent="0.25">
      <c r="B98" s="58"/>
      <c r="C98" s="584"/>
      <c r="D98" s="587"/>
      <c r="E98" s="587"/>
      <c r="F98" s="15"/>
      <c r="G98" s="422"/>
      <c r="H98" s="17" t="str">
        <f t="shared" si="9"/>
        <v/>
      </c>
      <c r="J98" s="62"/>
      <c r="K98" s="769"/>
      <c r="L98" s="420" t="str">
        <f t="shared" si="15"/>
        <v/>
      </c>
      <c r="M98" s="401" t="str">
        <f t="shared" si="16"/>
        <v/>
      </c>
    </row>
    <row r="99" spans="2:13" x14ac:dyDescent="0.25">
      <c r="B99" s="58"/>
      <c r="C99" s="584"/>
      <c r="D99" s="587"/>
      <c r="E99" s="587"/>
      <c r="F99" s="15"/>
      <c r="G99" s="422"/>
      <c r="H99" s="17" t="str">
        <f t="shared" si="9"/>
        <v/>
      </c>
      <c r="J99" s="62"/>
      <c r="K99" s="769"/>
      <c r="L99" s="420" t="str">
        <f t="shared" si="15"/>
        <v/>
      </c>
      <c r="M99" s="401" t="str">
        <f t="shared" si="16"/>
        <v/>
      </c>
    </row>
    <row r="100" spans="2:13" x14ac:dyDescent="0.25">
      <c r="B100" s="58"/>
      <c r="C100" s="584"/>
      <c r="D100" s="587"/>
      <c r="E100" s="587"/>
      <c r="F100" s="578"/>
      <c r="G100" s="422"/>
      <c r="H100" s="17"/>
      <c r="J100" s="61"/>
      <c r="K100" s="605"/>
      <c r="L100" s="420"/>
      <c r="M100" s="401"/>
    </row>
    <row r="101" spans="2:13" x14ac:dyDescent="0.25">
      <c r="B101" s="58"/>
      <c r="C101" s="793"/>
      <c r="D101" s="61"/>
      <c r="E101" s="61"/>
      <c r="F101" s="24"/>
      <c r="G101" s="421"/>
      <c r="H101" s="17" t="str">
        <f t="shared" si="9"/>
        <v/>
      </c>
      <c r="J101" s="711"/>
      <c r="K101" s="711"/>
      <c r="L101" s="420" t="str">
        <f t="shared" si="15"/>
        <v/>
      </c>
      <c r="M101" s="401" t="str">
        <f t="shared" si="16"/>
        <v/>
      </c>
    </row>
    <row r="102" spans="2:13" s="28" customFormat="1" ht="19.5" customHeight="1" x14ac:dyDescent="0.25">
      <c r="B102" s="135" t="str">
        <f>$B$12</f>
        <v>C3.3</v>
      </c>
      <c r="C102" s="30" t="str">
        <f>"TOTAL CARRIED FORWARD"&amp;IF(H102=H$1," TO SUMMARY","")</f>
        <v>TOTAL CARRIED FORWARD TO SUMMARY</v>
      </c>
      <c r="D102" s="31"/>
      <c r="E102" s="31"/>
      <c r="F102" s="32"/>
      <c r="G102" s="31"/>
      <c r="H102" s="33">
        <f>SUM(H67:H101)</f>
        <v>2800575</v>
      </c>
      <c r="I102" s="34"/>
      <c r="J102" s="408"/>
      <c r="K102" s="406"/>
      <c r="L102" s="418">
        <f>SUM(L67:L101)</f>
        <v>532478.88571428577</v>
      </c>
      <c r="M102" s="407" t="str">
        <f t="shared" si="13"/>
        <v/>
      </c>
    </row>
    <row r="103" spans="2:13" s="1" customFormat="1" ht="13" x14ac:dyDescent="0.25">
      <c r="B103" s="1108" t="str">
        <f>Client1</f>
        <v>Province of KwaZulu-Natal</v>
      </c>
      <c r="C103" s="1108"/>
      <c r="D103" s="1108"/>
      <c r="E103" s="87"/>
      <c r="F103" s="1109" t="str">
        <f>"Contract No. "&amp;ContractNo</f>
        <v>Contract No. ZNB 00399/00000/HOD/INF/21/T</v>
      </c>
      <c r="G103" s="1109"/>
      <c r="H103" s="1109"/>
      <c r="I103" s="5"/>
    </row>
    <row r="104" spans="2:13" s="1" customFormat="1" ht="13" x14ac:dyDescent="0.25">
      <c r="B104" s="1108" t="str">
        <f>Client2</f>
        <v>Department of Transport</v>
      </c>
      <c r="C104" s="1108"/>
      <c r="D104" s="1108"/>
      <c r="E104" s="87"/>
      <c r="F104" s="1109"/>
      <c r="G104" s="1109"/>
      <c r="H104" s="1109"/>
      <c r="I104" s="5"/>
    </row>
    <row r="105" spans="2:13" s="1" customFormat="1" x14ac:dyDescent="0.25">
      <c r="B105" s="1111"/>
      <c r="C105" s="1111"/>
      <c r="D105" s="1111"/>
      <c r="E105" s="78"/>
      <c r="F105" s="1110"/>
      <c r="G105" s="1110"/>
      <c r="H105" s="1110"/>
      <c r="I105" s="5"/>
    </row>
    <row r="106" spans="2:13" s="1" customFormat="1" ht="13" x14ac:dyDescent="0.25">
      <c r="B106" s="1112" t="s">
        <v>8</v>
      </c>
      <c r="C106" s="1113"/>
      <c r="D106" s="1113"/>
      <c r="E106" s="1113"/>
      <c r="F106" s="1113"/>
      <c r="G106" s="1113"/>
      <c r="H106" s="1114" t="str">
        <f>$H$6</f>
        <v>CHAPTER C3.3</v>
      </c>
      <c r="I106" s="6"/>
    </row>
    <row r="107" spans="2:13" s="1" customFormat="1" ht="13" x14ac:dyDescent="0.25">
      <c r="B107" s="1117" t="str">
        <f>ContractDescription</f>
        <v>THE CONSTRUCTION OF EARTHWORKS, LAYERWORKS, SURFACING, CULVERTS AND CWAKA RIVER BRIDGE FROM KM 11.600 TO KM 14.000 ON MAIN ROAD P494 IN THE KING CETSHWAYO DISTRICT UNDER EMPANGENI REGION</v>
      </c>
      <c r="C107" s="1118"/>
      <c r="D107" s="1118"/>
      <c r="E107" s="1118"/>
      <c r="F107" s="1118"/>
      <c r="G107" s="1118"/>
      <c r="H107" s="1115"/>
      <c r="I107" s="8"/>
    </row>
    <row r="108" spans="2:13" s="1" customFormat="1" ht="13" x14ac:dyDescent="0.25">
      <c r="B108" s="1117"/>
      <c r="C108" s="1118"/>
      <c r="D108" s="1118"/>
      <c r="E108" s="1118"/>
      <c r="F108" s="1118"/>
      <c r="G108" s="1118"/>
      <c r="H108" s="1115"/>
      <c r="I108" s="8"/>
    </row>
    <row r="109" spans="2:13" s="1" customFormat="1" ht="13" x14ac:dyDescent="0.25">
      <c r="B109" s="1119"/>
      <c r="C109" s="1120"/>
      <c r="D109" s="1120"/>
      <c r="E109" s="1120"/>
      <c r="F109" s="1120"/>
      <c r="G109" s="1120"/>
      <c r="H109" s="1116"/>
      <c r="I109" s="8"/>
    </row>
    <row r="110" spans="2:13" s="9" customFormat="1" ht="25" customHeight="1" x14ac:dyDescent="0.25">
      <c r="B110" s="74" t="s">
        <v>0</v>
      </c>
      <c r="C110" s="11" t="s">
        <v>1</v>
      </c>
      <c r="D110" s="11" t="s">
        <v>2</v>
      </c>
      <c r="E110" s="11"/>
      <c r="F110" s="11" t="s">
        <v>3</v>
      </c>
      <c r="G110" s="11" t="s">
        <v>4</v>
      </c>
      <c r="H110" s="11" t="s">
        <v>5</v>
      </c>
      <c r="I110" s="12"/>
      <c r="J110" s="408" t="s">
        <v>996</v>
      </c>
      <c r="K110" s="253" t="s">
        <v>997</v>
      </c>
      <c r="L110" s="253" t="s">
        <v>998</v>
      </c>
      <c r="M110" s="253" t="s">
        <v>999</v>
      </c>
    </row>
    <row r="111" spans="2:13" s="28" customFormat="1" ht="20.149999999999999" customHeight="1" x14ac:dyDescent="0.25">
      <c r="B111" s="80"/>
      <c r="C111" s="30" t="s">
        <v>27</v>
      </c>
      <c r="D111" s="31"/>
      <c r="E111" s="31"/>
      <c r="F111" s="32"/>
      <c r="G111" s="31"/>
      <c r="H111" s="33">
        <f>H102</f>
        <v>2800575</v>
      </c>
      <c r="I111" s="34"/>
      <c r="J111" s="416"/>
      <c r="K111" s="409"/>
      <c r="L111" s="419">
        <f>L102</f>
        <v>532478.88571428577</v>
      </c>
      <c r="M111" s="410" t="str">
        <f>IF(F111="","",IF(SUM(I111)=0,"",L111/I111))</f>
        <v/>
      </c>
    </row>
    <row r="112" spans="2:13" x14ac:dyDescent="0.25">
      <c r="B112" s="58"/>
      <c r="C112" s="133"/>
      <c r="D112" s="61"/>
      <c r="E112" s="61"/>
      <c r="F112" s="24"/>
      <c r="G112" s="421"/>
      <c r="H112" s="17" t="str">
        <f t="shared" ref="H112:H174" si="17">IF(D112="","",F112*G112)</f>
        <v/>
      </c>
      <c r="J112" s="61"/>
      <c r="K112" s="399"/>
      <c r="L112" s="420" t="str">
        <f t="shared" ref="L112" si="18">IF(J112="","",F112*K112)</f>
        <v/>
      </c>
      <c r="M112" s="401" t="str">
        <f t="shared" ref="M112" si="19">IF(J112="","",IF(SUM(H112)=0,"",L112/H112))</f>
        <v/>
      </c>
    </row>
    <row r="113" spans="2:13" ht="13" x14ac:dyDescent="0.25">
      <c r="B113" s="73"/>
      <c r="C113" s="7"/>
      <c r="D113" s="15"/>
      <c r="E113" s="15"/>
      <c r="F113" s="15"/>
      <c r="G113" s="424"/>
      <c r="H113" s="17" t="str">
        <f t="shared" si="17"/>
        <v/>
      </c>
      <c r="J113" s="62"/>
      <c r="K113" s="716"/>
      <c r="L113" s="420" t="str">
        <f t="shared" ref="L113:L174" si="20">IF(J113="","",F113*K113)</f>
        <v/>
      </c>
      <c r="M113" s="401" t="str">
        <f t="shared" ref="M113:M175" si="21">IF(J113="","",IF(SUM(H113)=0,"",L113/H113))</f>
        <v/>
      </c>
    </row>
    <row r="114" spans="2:13" x14ac:dyDescent="0.25">
      <c r="B114" s="58"/>
      <c r="C114" s="14"/>
      <c r="D114" s="15"/>
      <c r="E114" s="15"/>
      <c r="F114" s="15"/>
      <c r="G114" s="424"/>
      <c r="H114" s="17" t="str">
        <f t="shared" si="17"/>
        <v/>
      </c>
      <c r="J114" s="62"/>
      <c r="K114" s="62"/>
      <c r="L114" s="420" t="str">
        <f t="shared" si="20"/>
        <v/>
      </c>
      <c r="M114" s="401" t="str">
        <f t="shared" si="21"/>
        <v/>
      </c>
    </row>
    <row r="115" spans="2:13" ht="13" x14ac:dyDescent="0.25">
      <c r="B115" s="73"/>
      <c r="C115" s="19"/>
      <c r="D115" s="15"/>
      <c r="E115" s="15"/>
      <c r="F115" s="15"/>
      <c r="G115" s="424"/>
      <c r="H115" s="743" t="str">
        <f t="shared" si="17"/>
        <v/>
      </c>
      <c r="J115" s="62"/>
      <c r="K115" s="62"/>
      <c r="L115" s="420" t="str">
        <f t="shared" si="20"/>
        <v/>
      </c>
      <c r="M115" s="401" t="str">
        <f t="shared" si="21"/>
        <v/>
      </c>
    </row>
    <row r="116" spans="2:13" x14ac:dyDescent="0.25">
      <c r="B116" s="58"/>
      <c r="C116" s="14"/>
      <c r="D116" s="15"/>
      <c r="E116" s="15"/>
      <c r="F116" s="578"/>
      <c r="G116" s="424"/>
      <c r="H116" s="743" t="str">
        <f t="shared" si="17"/>
        <v/>
      </c>
      <c r="J116" s="62"/>
      <c r="K116" s="716"/>
      <c r="L116" s="420" t="str">
        <f t="shared" si="20"/>
        <v/>
      </c>
      <c r="M116" s="401" t="str">
        <f t="shared" si="21"/>
        <v/>
      </c>
    </row>
    <row r="117" spans="2:13" x14ac:dyDescent="0.25">
      <c r="B117" s="58"/>
      <c r="C117" s="14"/>
      <c r="D117" s="15"/>
      <c r="E117" s="15"/>
      <c r="F117" s="15"/>
      <c r="G117" s="424"/>
      <c r="H117" s="743" t="str">
        <f t="shared" si="17"/>
        <v/>
      </c>
      <c r="J117" s="62"/>
      <c r="K117" s="605"/>
      <c r="L117" s="420" t="str">
        <f t="shared" si="20"/>
        <v/>
      </c>
      <c r="M117" s="401" t="str">
        <f t="shared" si="21"/>
        <v/>
      </c>
    </row>
    <row r="118" spans="2:13" x14ac:dyDescent="0.25">
      <c r="B118" s="58"/>
      <c r="C118" s="14"/>
      <c r="D118" s="15"/>
      <c r="E118" s="15"/>
      <c r="F118" s="578"/>
      <c r="G118" s="424"/>
      <c r="H118" s="743" t="str">
        <f t="shared" si="17"/>
        <v/>
      </c>
      <c r="J118" s="62"/>
      <c r="K118" s="716"/>
      <c r="L118" s="420" t="str">
        <f t="shared" si="20"/>
        <v/>
      </c>
      <c r="M118" s="401" t="str">
        <f t="shared" si="21"/>
        <v/>
      </c>
    </row>
    <row r="119" spans="2:13" x14ac:dyDescent="0.25">
      <c r="B119" s="58"/>
      <c r="C119" s="14"/>
      <c r="D119" s="15"/>
      <c r="E119" s="15"/>
      <c r="F119" s="15"/>
      <c r="G119" s="424"/>
      <c r="H119" s="17" t="str">
        <f t="shared" si="17"/>
        <v/>
      </c>
      <c r="J119" s="62"/>
      <c r="K119" s="62"/>
      <c r="L119" s="420" t="str">
        <f t="shared" si="20"/>
        <v/>
      </c>
      <c r="M119" s="401" t="str">
        <f t="shared" si="21"/>
        <v/>
      </c>
    </row>
    <row r="120" spans="2:13" ht="13" x14ac:dyDescent="0.25">
      <c r="B120" s="73"/>
      <c r="C120" s="19"/>
      <c r="D120" s="15"/>
      <c r="E120" s="15"/>
      <c r="F120" s="647"/>
      <c r="G120" s="753"/>
      <c r="H120" s="17" t="str">
        <f t="shared" si="17"/>
        <v/>
      </c>
      <c r="J120" s="62"/>
      <c r="K120" s="62"/>
      <c r="L120" s="420" t="str">
        <f t="shared" si="20"/>
        <v/>
      </c>
      <c r="M120" s="401" t="str">
        <f t="shared" si="21"/>
        <v/>
      </c>
    </row>
    <row r="121" spans="2:13" x14ac:dyDescent="0.25">
      <c r="B121" s="46"/>
      <c r="C121" s="14"/>
      <c r="D121" s="15"/>
      <c r="E121" s="15"/>
      <c r="F121" s="647"/>
      <c r="G121" s="753"/>
      <c r="H121" s="17" t="str">
        <f t="shared" si="17"/>
        <v/>
      </c>
      <c r="J121" s="62"/>
      <c r="K121" s="62"/>
      <c r="L121" s="420" t="str">
        <f t="shared" si="20"/>
        <v/>
      </c>
      <c r="M121" s="401" t="str">
        <f t="shared" si="21"/>
        <v/>
      </c>
    </row>
    <row r="122" spans="2:13" x14ac:dyDescent="0.25">
      <c r="B122" s="46"/>
      <c r="C122" s="14"/>
      <c r="D122" s="15"/>
      <c r="E122" s="15"/>
      <c r="F122" s="647"/>
      <c r="G122" s="753"/>
      <c r="H122" s="17" t="str">
        <f t="shared" si="17"/>
        <v/>
      </c>
      <c r="J122" s="61"/>
      <c r="K122" s="62"/>
      <c r="L122" s="420" t="str">
        <f t="shared" si="20"/>
        <v/>
      </c>
      <c r="M122" s="401" t="str">
        <f t="shared" si="21"/>
        <v/>
      </c>
    </row>
    <row r="123" spans="2:13" x14ac:dyDescent="0.25">
      <c r="B123" s="46"/>
      <c r="C123" s="14"/>
      <c r="D123" s="15"/>
      <c r="E123" s="15"/>
      <c r="F123" s="647"/>
      <c r="G123" s="753"/>
      <c r="H123" s="17" t="str">
        <f t="shared" si="17"/>
        <v/>
      </c>
      <c r="J123" s="62"/>
      <c r="K123" s="62"/>
      <c r="L123" s="420" t="str">
        <f t="shared" si="20"/>
        <v/>
      </c>
      <c r="M123" s="401" t="str">
        <f t="shared" si="21"/>
        <v/>
      </c>
    </row>
    <row r="124" spans="2:13" x14ac:dyDescent="0.25">
      <c r="B124" s="46"/>
      <c r="C124" s="14"/>
      <c r="D124" s="15"/>
      <c r="E124" s="15"/>
      <c r="F124" s="647"/>
      <c r="G124" s="753"/>
      <c r="H124" s="17" t="str">
        <f t="shared" si="17"/>
        <v/>
      </c>
      <c r="J124" s="62"/>
      <c r="K124" s="62"/>
      <c r="L124" s="420" t="str">
        <f t="shared" si="20"/>
        <v/>
      </c>
      <c r="M124" s="401" t="str">
        <f t="shared" si="21"/>
        <v/>
      </c>
    </row>
    <row r="125" spans="2:13" x14ac:dyDescent="0.25">
      <c r="B125" s="46"/>
      <c r="C125" s="14"/>
      <c r="D125" s="15"/>
      <c r="E125" s="15"/>
      <c r="F125" s="647"/>
      <c r="G125" s="424"/>
      <c r="H125" s="17" t="str">
        <f t="shared" si="17"/>
        <v/>
      </c>
      <c r="J125" s="61"/>
      <c r="K125" s="402"/>
      <c r="L125" s="420" t="str">
        <f t="shared" si="20"/>
        <v/>
      </c>
      <c r="M125" s="401" t="str">
        <f t="shared" si="21"/>
        <v/>
      </c>
    </row>
    <row r="126" spans="2:13" x14ac:dyDescent="0.25">
      <c r="B126" s="58"/>
      <c r="C126" s="14"/>
      <c r="D126" s="15"/>
      <c r="E126" s="15"/>
      <c r="F126" s="24"/>
      <c r="G126" s="411"/>
      <c r="H126" s="17" t="str">
        <f t="shared" si="17"/>
        <v/>
      </c>
      <c r="J126" s="62"/>
      <c r="K126" s="62"/>
      <c r="L126" s="420" t="str">
        <f t="shared" si="20"/>
        <v/>
      </c>
      <c r="M126" s="401" t="str">
        <f t="shared" si="21"/>
        <v/>
      </c>
    </row>
    <row r="127" spans="2:13" x14ac:dyDescent="0.25">
      <c r="B127" s="58"/>
      <c r="C127" s="65"/>
      <c r="D127" s="15"/>
      <c r="E127" s="15"/>
      <c r="F127" s="24"/>
      <c r="G127" s="423"/>
      <c r="H127" s="17" t="str">
        <f t="shared" si="17"/>
        <v/>
      </c>
      <c r="J127" s="62"/>
      <c r="K127" s="62"/>
      <c r="L127" s="420" t="str">
        <f t="shared" si="20"/>
        <v/>
      </c>
      <c r="M127" s="401" t="str">
        <f t="shared" si="21"/>
        <v/>
      </c>
    </row>
    <row r="128" spans="2:13" x14ac:dyDescent="0.25">
      <c r="B128" s="58"/>
      <c r="C128" s="14"/>
      <c r="D128" s="15"/>
      <c r="E128" s="15"/>
      <c r="F128" s="15"/>
      <c r="G128" s="411"/>
      <c r="H128" s="17" t="str">
        <f t="shared" si="17"/>
        <v/>
      </c>
      <c r="J128" s="62"/>
      <c r="K128" s="62"/>
      <c r="L128" s="420" t="str">
        <f t="shared" si="20"/>
        <v/>
      </c>
      <c r="M128" s="401" t="str">
        <f t="shared" si="21"/>
        <v/>
      </c>
    </row>
    <row r="129" spans="2:13" x14ac:dyDescent="0.25">
      <c r="B129" s="58"/>
      <c r="C129" s="65"/>
      <c r="D129" s="15"/>
      <c r="E129" s="15"/>
      <c r="F129" s="15"/>
      <c r="G129" s="422"/>
      <c r="H129" s="17" t="str">
        <f t="shared" si="17"/>
        <v/>
      </c>
      <c r="J129" s="62"/>
      <c r="K129" s="62"/>
      <c r="L129" s="420" t="str">
        <f t="shared" si="20"/>
        <v/>
      </c>
      <c r="M129" s="401" t="str">
        <f t="shared" si="21"/>
        <v/>
      </c>
    </row>
    <row r="130" spans="2:13" x14ac:dyDescent="0.25">
      <c r="B130" s="58"/>
      <c r="C130" s="14"/>
      <c r="D130" s="15"/>
      <c r="E130" s="15"/>
      <c r="F130" s="15"/>
      <c r="G130" s="422"/>
      <c r="H130" s="17" t="str">
        <f t="shared" si="17"/>
        <v/>
      </c>
      <c r="J130" s="62"/>
      <c r="K130" s="62"/>
      <c r="L130" s="420" t="str">
        <f t="shared" si="20"/>
        <v/>
      </c>
      <c r="M130" s="401" t="str">
        <f t="shared" si="21"/>
        <v/>
      </c>
    </row>
    <row r="131" spans="2:13" x14ac:dyDescent="0.25">
      <c r="B131" s="58"/>
      <c r="C131" s="65"/>
      <c r="D131" s="15"/>
      <c r="E131" s="15"/>
      <c r="F131" s="15"/>
      <c r="G131" s="422"/>
      <c r="H131" s="17" t="str">
        <f t="shared" si="17"/>
        <v/>
      </c>
      <c r="J131" s="62"/>
      <c r="K131" s="62"/>
      <c r="L131" s="420" t="str">
        <f t="shared" si="20"/>
        <v/>
      </c>
      <c r="M131" s="401" t="str">
        <f t="shared" si="21"/>
        <v/>
      </c>
    </row>
    <row r="132" spans="2:13" x14ac:dyDescent="0.25">
      <c r="B132" s="58"/>
      <c r="C132" s="14"/>
      <c r="D132" s="15"/>
      <c r="E132" s="15"/>
      <c r="F132" s="15"/>
      <c r="G132" s="422"/>
      <c r="H132" s="17" t="str">
        <f t="shared" si="17"/>
        <v/>
      </c>
      <c r="J132" s="62"/>
      <c r="K132" s="62"/>
      <c r="L132" s="420" t="str">
        <f t="shared" si="20"/>
        <v/>
      </c>
      <c r="M132" s="401" t="str">
        <f t="shared" si="21"/>
        <v/>
      </c>
    </row>
    <row r="133" spans="2:13" x14ac:dyDescent="0.25">
      <c r="B133" s="58"/>
      <c r="C133" s="14"/>
      <c r="D133" s="15"/>
      <c r="E133" s="15"/>
      <c r="F133" s="15"/>
      <c r="G133" s="424"/>
      <c r="H133" s="17" t="str">
        <f t="shared" si="17"/>
        <v/>
      </c>
      <c r="J133" s="62"/>
      <c r="K133" s="62"/>
      <c r="L133" s="420" t="str">
        <f t="shared" si="20"/>
        <v/>
      </c>
      <c r="M133" s="401" t="str">
        <f t="shared" si="21"/>
        <v/>
      </c>
    </row>
    <row r="134" spans="2:13" x14ac:dyDescent="0.25">
      <c r="B134" s="58"/>
      <c r="C134" s="14"/>
      <c r="D134" s="15"/>
      <c r="E134" s="15"/>
      <c r="F134" s="15"/>
      <c r="G134" s="424"/>
      <c r="H134" s="17" t="str">
        <f t="shared" si="17"/>
        <v/>
      </c>
      <c r="J134" s="62"/>
      <c r="K134" s="62"/>
      <c r="L134" s="420" t="str">
        <f t="shared" si="20"/>
        <v/>
      </c>
      <c r="M134" s="401" t="str">
        <f t="shared" si="21"/>
        <v/>
      </c>
    </row>
    <row r="135" spans="2:13" x14ac:dyDescent="0.25">
      <c r="B135" s="237"/>
      <c r="C135" s="499"/>
      <c r="D135" s="394"/>
      <c r="E135" s="394"/>
      <c r="F135" s="394"/>
      <c r="G135" s="700"/>
      <c r="H135" s="389" t="str">
        <f t="shared" si="17"/>
        <v/>
      </c>
      <c r="J135" s="62"/>
      <c r="K135" s="402"/>
      <c r="L135" s="420" t="str">
        <f t="shared" si="20"/>
        <v/>
      </c>
      <c r="M135" s="401" t="str">
        <f t="shared" si="21"/>
        <v/>
      </c>
    </row>
    <row r="136" spans="2:13" x14ac:dyDescent="0.25">
      <c r="B136" s="58"/>
      <c r="C136" s="14"/>
      <c r="D136" s="15"/>
      <c r="E136" s="15"/>
      <c r="F136" s="15"/>
      <c r="G136" s="424"/>
      <c r="H136" s="17" t="str">
        <f t="shared" si="17"/>
        <v/>
      </c>
      <c r="J136" s="62"/>
      <c r="K136" s="62"/>
      <c r="L136" s="420" t="str">
        <f t="shared" si="20"/>
        <v/>
      </c>
      <c r="M136" s="401" t="str">
        <f t="shared" si="21"/>
        <v/>
      </c>
    </row>
    <row r="137" spans="2:13" x14ac:dyDescent="0.25">
      <c r="B137" s="237"/>
      <c r="C137" s="238"/>
      <c r="D137" s="15"/>
      <c r="E137" s="15"/>
      <c r="F137" s="15"/>
      <c r="G137" s="424"/>
      <c r="H137" s="17" t="str">
        <f t="shared" si="17"/>
        <v/>
      </c>
      <c r="J137" s="62"/>
      <c r="K137" s="62"/>
      <c r="L137" s="420" t="str">
        <f t="shared" si="20"/>
        <v/>
      </c>
      <c r="M137" s="401" t="str">
        <f t="shared" si="21"/>
        <v/>
      </c>
    </row>
    <row r="138" spans="2:13" x14ac:dyDescent="0.25">
      <c r="B138" s="395"/>
      <c r="C138" s="238"/>
      <c r="D138" s="394"/>
      <c r="E138" s="394"/>
      <c r="F138" s="665"/>
      <c r="G138" s="700"/>
      <c r="H138" s="389" t="str">
        <f t="shared" si="17"/>
        <v/>
      </c>
      <c r="J138" s="62"/>
      <c r="K138" s="399"/>
      <c r="L138" s="420" t="str">
        <f t="shared" si="20"/>
        <v/>
      </c>
      <c r="M138" s="401" t="str">
        <f t="shared" si="21"/>
        <v/>
      </c>
    </row>
    <row r="139" spans="2:13" x14ac:dyDescent="0.25">
      <c r="B139" s="58"/>
      <c r="C139" s="14"/>
      <c r="D139" s="15"/>
      <c r="E139" s="15"/>
      <c r="F139" s="15"/>
      <c r="G139" s="424"/>
      <c r="H139" s="17" t="str">
        <f t="shared" si="17"/>
        <v/>
      </c>
      <c r="J139" s="62"/>
      <c r="K139" s="399"/>
      <c r="L139" s="420" t="str">
        <f t="shared" si="20"/>
        <v/>
      </c>
      <c r="M139" s="401" t="str">
        <f t="shared" si="21"/>
        <v/>
      </c>
    </row>
    <row r="140" spans="2:13" x14ac:dyDescent="0.25">
      <c r="B140" s="395"/>
      <c r="C140" s="238"/>
      <c r="D140" s="394"/>
      <c r="E140" s="394"/>
      <c r="F140" s="665"/>
      <c r="G140" s="700"/>
      <c r="H140" s="389" t="str">
        <f t="shared" si="17"/>
        <v/>
      </c>
      <c r="J140" s="62"/>
      <c r="K140" s="399"/>
      <c r="L140" s="420" t="str">
        <f t="shared" si="20"/>
        <v/>
      </c>
      <c r="M140" s="401" t="str">
        <f t="shared" si="21"/>
        <v/>
      </c>
    </row>
    <row r="141" spans="2:13" x14ac:dyDescent="0.25">
      <c r="B141" s="58"/>
      <c r="C141" s="14"/>
      <c r="D141" s="15"/>
      <c r="E141" s="15"/>
      <c r="F141" s="15"/>
      <c r="G141" s="424"/>
      <c r="H141" s="17" t="str">
        <f t="shared" si="17"/>
        <v/>
      </c>
      <c r="J141" s="62"/>
      <c r="K141" s="62"/>
      <c r="L141" s="420" t="str">
        <f t="shared" si="20"/>
        <v/>
      </c>
      <c r="M141" s="401" t="str">
        <f t="shared" si="21"/>
        <v/>
      </c>
    </row>
    <row r="142" spans="2:13" x14ac:dyDescent="0.25">
      <c r="B142" s="237"/>
      <c r="C142" s="238"/>
      <c r="D142" s="394"/>
      <c r="E142" s="394"/>
      <c r="F142" s="24"/>
      <c r="G142" s="423"/>
      <c r="H142" s="17" t="str">
        <f t="shared" si="17"/>
        <v/>
      </c>
      <c r="J142" s="62"/>
      <c r="K142" s="62"/>
      <c r="L142" s="420" t="str">
        <f t="shared" si="20"/>
        <v/>
      </c>
      <c r="M142" s="401" t="str">
        <f t="shared" si="21"/>
        <v/>
      </c>
    </row>
    <row r="143" spans="2:13" x14ac:dyDescent="0.25">
      <c r="B143" s="237"/>
      <c r="C143" s="238"/>
      <c r="D143" s="394"/>
      <c r="E143" s="394"/>
      <c r="F143" s="24"/>
      <c r="G143" s="423"/>
      <c r="H143" s="17" t="str">
        <f t="shared" si="17"/>
        <v/>
      </c>
      <c r="J143" s="62"/>
      <c r="K143" s="62"/>
      <c r="L143" s="420" t="str">
        <f t="shared" si="20"/>
        <v/>
      </c>
      <c r="M143" s="401" t="str">
        <f t="shared" si="21"/>
        <v/>
      </c>
    </row>
    <row r="144" spans="2:13" x14ac:dyDescent="0.25">
      <c r="B144" s="237"/>
      <c r="C144" s="238"/>
      <c r="D144" s="394"/>
      <c r="E144" s="394"/>
      <c r="F144" s="24"/>
      <c r="G144" s="423"/>
      <c r="H144" s="17" t="str">
        <f t="shared" si="17"/>
        <v/>
      </c>
      <c r="J144" s="61"/>
      <c r="K144" s="62"/>
      <c r="L144" s="420" t="str">
        <f t="shared" si="20"/>
        <v/>
      </c>
      <c r="M144" s="401" t="str">
        <f t="shared" si="21"/>
        <v/>
      </c>
    </row>
    <row r="145" spans="2:13" x14ac:dyDescent="0.25">
      <c r="B145" s="237"/>
      <c r="C145" s="238"/>
      <c r="D145" s="394"/>
      <c r="E145" s="394"/>
      <c r="F145" s="24"/>
      <c r="G145" s="423"/>
      <c r="H145" s="17" t="str">
        <f t="shared" si="17"/>
        <v/>
      </c>
      <c r="J145" s="62"/>
      <c r="K145" s="62"/>
      <c r="L145" s="420" t="str">
        <f t="shared" si="20"/>
        <v/>
      </c>
      <c r="M145" s="401" t="str">
        <f t="shared" si="21"/>
        <v/>
      </c>
    </row>
    <row r="146" spans="2:13" x14ac:dyDescent="0.25">
      <c r="B146" s="237"/>
      <c r="C146" s="238"/>
      <c r="D146" s="394"/>
      <c r="E146" s="394"/>
      <c r="F146" s="24"/>
      <c r="G146" s="423"/>
      <c r="H146" s="17" t="str">
        <f t="shared" si="17"/>
        <v/>
      </c>
      <c r="J146" s="62"/>
      <c r="K146" s="62"/>
      <c r="L146" s="420" t="str">
        <f t="shared" si="20"/>
        <v/>
      </c>
      <c r="M146" s="401" t="str">
        <f t="shared" si="21"/>
        <v/>
      </c>
    </row>
    <row r="147" spans="2:13" x14ac:dyDescent="0.25">
      <c r="B147" s="58"/>
      <c r="C147" s="14"/>
      <c r="D147" s="15"/>
      <c r="E147" s="15"/>
      <c r="F147" s="15"/>
      <c r="G147" s="424"/>
      <c r="H147" s="17" t="str">
        <f t="shared" si="17"/>
        <v/>
      </c>
      <c r="J147" s="62"/>
      <c r="K147" s="62"/>
      <c r="L147" s="420" t="str">
        <f t="shared" si="20"/>
        <v/>
      </c>
      <c r="M147" s="401" t="str">
        <f t="shared" si="21"/>
        <v/>
      </c>
    </row>
    <row r="148" spans="2:13" x14ac:dyDescent="0.25">
      <c r="B148" s="58"/>
      <c r="C148" s="14"/>
      <c r="D148" s="15"/>
      <c r="E148" s="15"/>
      <c r="F148" s="15"/>
      <c r="G148" s="424"/>
      <c r="H148" s="17" t="str">
        <f t="shared" si="17"/>
        <v/>
      </c>
      <c r="J148" s="62"/>
      <c r="K148" s="62"/>
      <c r="L148" s="420" t="str">
        <f t="shared" si="20"/>
        <v/>
      </c>
      <c r="M148" s="401" t="str">
        <f t="shared" si="21"/>
        <v/>
      </c>
    </row>
    <row r="149" spans="2:13" x14ac:dyDescent="0.25">
      <c r="B149" s="58"/>
      <c r="C149" s="14"/>
      <c r="D149" s="15"/>
      <c r="E149" s="15"/>
      <c r="F149" s="15"/>
      <c r="G149" s="424"/>
      <c r="H149" s="17" t="str">
        <f t="shared" si="17"/>
        <v/>
      </c>
      <c r="J149" s="62"/>
      <c r="K149" s="62"/>
      <c r="L149" s="420" t="str">
        <f t="shared" si="20"/>
        <v/>
      </c>
      <c r="M149" s="401" t="str">
        <f t="shared" si="21"/>
        <v/>
      </c>
    </row>
    <row r="150" spans="2:13" x14ac:dyDescent="0.25">
      <c r="B150" s="58"/>
      <c r="C150" s="14"/>
      <c r="D150" s="15"/>
      <c r="E150" s="15"/>
      <c r="F150" s="15"/>
      <c r="G150" s="424"/>
      <c r="H150" s="17" t="str">
        <f t="shared" si="17"/>
        <v/>
      </c>
      <c r="J150" s="62"/>
      <c r="K150" s="62"/>
      <c r="L150" s="420" t="str">
        <f t="shared" si="20"/>
        <v/>
      </c>
      <c r="M150" s="401" t="str">
        <f t="shared" si="21"/>
        <v/>
      </c>
    </row>
    <row r="151" spans="2:13" x14ac:dyDescent="0.25">
      <c r="B151" s="58"/>
      <c r="C151" s="14"/>
      <c r="D151" s="15"/>
      <c r="E151" s="15"/>
      <c r="F151" s="15"/>
      <c r="G151" s="424"/>
      <c r="H151" s="17" t="str">
        <f t="shared" si="17"/>
        <v/>
      </c>
      <c r="J151" s="62"/>
      <c r="K151" s="62"/>
      <c r="L151" s="420" t="str">
        <f t="shared" si="20"/>
        <v/>
      </c>
      <c r="M151" s="401" t="str">
        <f t="shared" si="21"/>
        <v/>
      </c>
    </row>
    <row r="152" spans="2:13" x14ac:dyDescent="0.25">
      <c r="B152" s="58"/>
      <c r="C152" s="14"/>
      <c r="D152" s="15"/>
      <c r="E152" s="15"/>
      <c r="F152" s="15"/>
      <c r="G152" s="424"/>
      <c r="H152" s="17" t="str">
        <f t="shared" si="17"/>
        <v/>
      </c>
      <c r="J152" s="62"/>
      <c r="K152" s="62"/>
      <c r="L152" s="420" t="str">
        <f t="shared" si="20"/>
        <v/>
      </c>
      <c r="M152" s="401" t="str">
        <f t="shared" si="21"/>
        <v/>
      </c>
    </row>
    <row r="153" spans="2:13" x14ac:dyDescent="0.25">
      <c r="B153" s="58"/>
      <c r="C153" s="14"/>
      <c r="D153" s="15"/>
      <c r="E153" s="15"/>
      <c r="F153" s="15"/>
      <c r="G153" s="424"/>
      <c r="H153" s="17" t="str">
        <f t="shared" si="17"/>
        <v/>
      </c>
      <c r="J153" s="62"/>
      <c r="K153" s="62"/>
      <c r="L153" s="420" t="str">
        <f t="shared" si="20"/>
        <v/>
      </c>
      <c r="M153" s="401" t="str">
        <f t="shared" si="21"/>
        <v/>
      </c>
    </row>
    <row r="154" spans="2:13" x14ac:dyDescent="0.25">
      <c r="B154" s="58"/>
      <c r="C154" s="14"/>
      <c r="D154" s="15"/>
      <c r="E154" s="15"/>
      <c r="F154" s="15"/>
      <c r="G154" s="424"/>
      <c r="H154" s="17" t="str">
        <f t="shared" si="17"/>
        <v/>
      </c>
      <c r="J154" s="62"/>
      <c r="K154" s="62"/>
      <c r="L154" s="420" t="str">
        <f t="shared" si="20"/>
        <v/>
      </c>
      <c r="M154" s="401" t="str">
        <f t="shared" si="21"/>
        <v/>
      </c>
    </row>
    <row r="155" spans="2:13" x14ac:dyDescent="0.25">
      <c r="B155" s="58"/>
      <c r="C155" s="14"/>
      <c r="D155" s="15"/>
      <c r="E155" s="15"/>
      <c r="F155" s="15"/>
      <c r="G155" s="424"/>
      <c r="H155" s="17" t="str">
        <f t="shared" si="17"/>
        <v/>
      </c>
      <c r="J155" s="62"/>
      <c r="K155" s="62"/>
      <c r="L155" s="420" t="str">
        <f t="shared" si="20"/>
        <v/>
      </c>
      <c r="M155" s="401" t="str">
        <f t="shared" si="21"/>
        <v/>
      </c>
    </row>
    <row r="156" spans="2:13" x14ac:dyDescent="0.25">
      <c r="B156" s="58"/>
      <c r="C156" s="14"/>
      <c r="D156" s="15"/>
      <c r="E156" s="15"/>
      <c r="F156" s="15"/>
      <c r="G156" s="424"/>
      <c r="H156" s="17" t="str">
        <f t="shared" si="17"/>
        <v/>
      </c>
      <c r="J156" s="62"/>
      <c r="K156" s="62"/>
      <c r="L156" s="420" t="str">
        <f t="shared" si="20"/>
        <v/>
      </c>
      <c r="M156" s="401" t="str">
        <f t="shared" si="21"/>
        <v/>
      </c>
    </row>
    <row r="157" spans="2:13" x14ac:dyDescent="0.25">
      <c r="B157" s="58"/>
      <c r="C157" s="14"/>
      <c r="D157" s="15"/>
      <c r="E157" s="15"/>
      <c r="F157" s="15"/>
      <c r="G157" s="424"/>
      <c r="H157" s="17" t="str">
        <f t="shared" si="17"/>
        <v/>
      </c>
      <c r="J157" s="62"/>
      <c r="K157" s="62"/>
      <c r="L157" s="420" t="str">
        <f t="shared" si="20"/>
        <v/>
      </c>
      <c r="M157" s="401" t="str">
        <f t="shared" si="21"/>
        <v/>
      </c>
    </row>
    <row r="158" spans="2:13" x14ac:dyDescent="0.25">
      <c r="B158" s="58"/>
      <c r="C158" s="14"/>
      <c r="D158" s="15"/>
      <c r="E158" s="15"/>
      <c r="F158" s="15"/>
      <c r="G158" s="424"/>
      <c r="H158" s="17" t="str">
        <f t="shared" si="17"/>
        <v/>
      </c>
      <c r="J158" s="62"/>
      <c r="K158" s="62"/>
      <c r="L158" s="420" t="str">
        <f t="shared" si="20"/>
        <v/>
      </c>
      <c r="M158" s="401" t="str">
        <f t="shared" si="21"/>
        <v/>
      </c>
    </row>
    <row r="159" spans="2:13" x14ac:dyDescent="0.25">
      <c r="B159" s="58"/>
      <c r="C159" s="14"/>
      <c r="D159" s="15"/>
      <c r="E159" s="15"/>
      <c r="F159" s="15"/>
      <c r="G159" s="424"/>
      <c r="H159" s="17" t="str">
        <f t="shared" si="17"/>
        <v/>
      </c>
      <c r="J159" s="62"/>
      <c r="K159" s="62"/>
      <c r="L159" s="420" t="str">
        <f t="shared" si="20"/>
        <v/>
      </c>
      <c r="M159" s="401" t="str">
        <f t="shared" si="21"/>
        <v/>
      </c>
    </row>
    <row r="160" spans="2:13" x14ac:dyDescent="0.25">
      <c r="B160" s="58"/>
      <c r="C160" s="14"/>
      <c r="D160" s="15"/>
      <c r="E160" s="15"/>
      <c r="F160" s="15"/>
      <c r="G160" s="424"/>
      <c r="H160" s="17" t="str">
        <f t="shared" si="17"/>
        <v/>
      </c>
      <c r="J160" s="62"/>
      <c r="K160" s="62"/>
      <c r="L160" s="420" t="str">
        <f t="shared" si="20"/>
        <v/>
      </c>
      <c r="M160" s="401" t="str">
        <f t="shared" si="21"/>
        <v/>
      </c>
    </row>
    <row r="161" spans="2:13" x14ac:dyDescent="0.25">
      <c r="B161" s="58"/>
      <c r="C161" s="14"/>
      <c r="D161" s="15"/>
      <c r="E161" s="15"/>
      <c r="F161" s="15"/>
      <c r="G161" s="424"/>
      <c r="H161" s="17" t="str">
        <f t="shared" si="17"/>
        <v/>
      </c>
      <c r="J161" s="62"/>
      <c r="K161" s="62"/>
      <c r="L161" s="420" t="str">
        <f t="shared" si="20"/>
        <v/>
      </c>
      <c r="M161" s="401" t="str">
        <f t="shared" si="21"/>
        <v/>
      </c>
    </row>
    <row r="162" spans="2:13" x14ac:dyDescent="0.25">
      <c r="B162" s="58"/>
      <c r="C162" s="14"/>
      <c r="D162" s="15"/>
      <c r="E162" s="15"/>
      <c r="F162" s="15"/>
      <c r="G162" s="424"/>
      <c r="H162" s="17" t="str">
        <f t="shared" si="17"/>
        <v/>
      </c>
      <c r="J162" s="62"/>
      <c r="K162" s="62"/>
      <c r="L162" s="420" t="str">
        <f t="shared" si="20"/>
        <v/>
      </c>
      <c r="M162" s="401" t="str">
        <f t="shared" si="21"/>
        <v/>
      </c>
    </row>
    <row r="163" spans="2:13" x14ac:dyDescent="0.25">
      <c r="B163" s="58"/>
      <c r="C163" s="14"/>
      <c r="D163" s="15"/>
      <c r="E163" s="15"/>
      <c r="F163" s="15"/>
      <c r="G163" s="424"/>
      <c r="H163" s="17" t="str">
        <f t="shared" si="17"/>
        <v/>
      </c>
      <c r="J163" s="62"/>
      <c r="K163" s="62"/>
      <c r="L163" s="420" t="str">
        <f t="shared" si="20"/>
        <v/>
      </c>
      <c r="M163" s="401" t="str">
        <f t="shared" si="21"/>
        <v/>
      </c>
    </row>
    <row r="164" spans="2:13" x14ac:dyDescent="0.25">
      <c r="B164" s="58"/>
      <c r="C164" s="14"/>
      <c r="D164" s="15"/>
      <c r="E164" s="15"/>
      <c r="F164" s="15"/>
      <c r="G164" s="424"/>
      <c r="H164" s="17" t="str">
        <f t="shared" si="17"/>
        <v/>
      </c>
      <c r="J164" s="62"/>
      <c r="K164" s="62"/>
      <c r="L164" s="420" t="str">
        <f t="shared" si="20"/>
        <v/>
      </c>
      <c r="M164" s="401" t="str">
        <f t="shared" si="21"/>
        <v/>
      </c>
    </row>
    <row r="165" spans="2:13" x14ac:dyDescent="0.25">
      <c r="B165" s="58"/>
      <c r="C165" s="14"/>
      <c r="D165" s="15"/>
      <c r="E165" s="15"/>
      <c r="F165" s="15"/>
      <c r="G165" s="424"/>
      <c r="H165" s="17" t="str">
        <f t="shared" si="17"/>
        <v/>
      </c>
      <c r="J165" s="62"/>
      <c r="K165" s="62"/>
      <c r="L165" s="420" t="str">
        <f t="shared" si="20"/>
        <v/>
      </c>
      <c r="M165" s="401" t="str">
        <f t="shared" si="21"/>
        <v/>
      </c>
    </row>
    <row r="166" spans="2:13" x14ac:dyDescent="0.25">
      <c r="B166" s="58"/>
      <c r="C166" s="14"/>
      <c r="D166" s="15"/>
      <c r="E166" s="15"/>
      <c r="F166" s="15"/>
      <c r="G166" s="424"/>
      <c r="H166" s="17" t="str">
        <f t="shared" si="17"/>
        <v/>
      </c>
      <c r="J166" s="62"/>
      <c r="K166" s="62"/>
      <c r="L166" s="420" t="str">
        <f t="shared" si="20"/>
        <v/>
      </c>
      <c r="M166" s="401" t="str">
        <f t="shared" si="21"/>
        <v/>
      </c>
    </row>
    <row r="167" spans="2:13" x14ac:dyDescent="0.25">
      <c r="B167" s="58"/>
      <c r="C167" s="14"/>
      <c r="D167" s="15"/>
      <c r="E167" s="15"/>
      <c r="F167" s="15"/>
      <c r="G167" s="424"/>
      <c r="H167" s="17" t="str">
        <f t="shared" si="17"/>
        <v/>
      </c>
      <c r="J167" s="62"/>
      <c r="K167" s="62"/>
      <c r="L167" s="420" t="str">
        <f t="shared" si="20"/>
        <v/>
      </c>
      <c r="M167" s="401" t="str">
        <f t="shared" si="21"/>
        <v/>
      </c>
    </row>
    <row r="168" spans="2:13" x14ac:dyDescent="0.25">
      <c r="B168" s="58"/>
      <c r="C168" s="14"/>
      <c r="D168" s="15"/>
      <c r="E168" s="15"/>
      <c r="F168" s="15"/>
      <c r="G168" s="424"/>
      <c r="H168" s="17" t="str">
        <f t="shared" si="17"/>
        <v/>
      </c>
      <c r="J168" s="62"/>
      <c r="K168" s="62"/>
      <c r="L168" s="420" t="str">
        <f t="shared" si="20"/>
        <v/>
      </c>
      <c r="M168" s="401" t="str">
        <f t="shared" si="21"/>
        <v/>
      </c>
    </row>
    <row r="169" spans="2:13" x14ac:dyDescent="0.25">
      <c r="B169" s="58"/>
      <c r="C169" s="14"/>
      <c r="D169" s="15"/>
      <c r="E169" s="15"/>
      <c r="F169" s="15"/>
      <c r="G169" s="424"/>
      <c r="H169" s="17" t="str">
        <f t="shared" si="17"/>
        <v/>
      </c>
      <c r="J169" s="62"/>
      <c r="K169" s="62"/>
      <c r="L169" s="420" t="str">
        <f t="shared" si="20"/>
        <v/>
      </c>
      <c r="M169" s="401" t="str">
        <f t="shared" si="21"/>
        <v/>
      </c>
    </row>
    <row r="170" spans="2:13" x14ac:dyDescent="0.25">
      <c r="B170" s="58"/>
      <c r="C170" s="14"/>
      <c r="D170" s="15"/>
      <c r="E170" s="15"/>
      <c r="F170" s="15"/>
      <c r="G170" s="424"/>
      <c r="H170" s="17" t="str">
        <f t="shared" si="17"/>
        <v/>
      </c>
      <c r="J170" s="62"/>
      <c r="K170" s="62"/>
      <c r="L170" s="420" t="str">
        <f t="shared" si="20"/>
        <v/>
      </c>
      <c r="M170" s="401" t="str">
        <f t="shared" si="21"/>
        <v/>
      </c>
    </row>
    <row r="171" spans="2:13" x14ac:dyDescent="0.25">
      <c r="B171" s="58"/>
      <c r="C171" s="14"/>
      <c r="D171" s="15"/>
      <c r="E171" s="15"/>
      <c r="F171" s="15"/>
      <c r="G171" s="424"/>
      <c r="H171" s="17" t="str">
        <f t="shared" si="17"/>
        <v/>
      </c>
      <c r="J171" s="62"/>
      <c r="K171" s="62"/>
      <c r="L171" s="420" t="str">
        <f t="shared" si="20"/>
        <v/>
      </c>
      <c r="M171" s="401" t="str">
        <f t="shared" si="21"/>
        <v/>
      </c>
    </row>
    <row r="172" spans="2:13" x14ac:dyDescent="0.25">
      <c r="B172" s="58"/>
      <c r="C172" s="14"/>
      <c r="D172" s="15"/>
      <c r="E172" s="15"/>
      <c r="F172" s="15"/>
      <c r="G172" s="424"/>
      <c r="H172" s="17" t="str">
        <f t="shared" si="17"/>
        <v/>
      </c>
      <c r="J172" s="62"/>
      <c r="K172" s="62"/>
      <c r="L172" s="420" t="str">
        <f t="shared" si="20"/>
        <v/>
      </c>
      <c r="M172" s="401" t="str">
        <f t="shared" si="21"/>
        <v/>
      </c>
    </row>
    <row r="173" spans="2:13" x14ac:dyDescent="0.25">
      <c r="B173" s="58"/>
      <c r="C173" s="14"/>
      <c r="D173" s="15"/>
      <c r="E173" s="15"/>
      <c r="F173" s="15"/>
      <c r="G173" s="424"/>
      <c r="H173" s="17" t="str">
        <f t="shared" si="17"/>
        <v/>
      </c>
      <c r="J173" s="62"/>
      <c r="K173" s="62"/>
      <c r="L173" s="420" t="str">
        <f t="shared" si="20"/>
        <v/>
      </c>
      <c r="M173" s="401" t="str">
        <f t="shared" si="21"/>
        <v/>
      </c>
    </row>
    <row r="174" spans="2:13" x14ac:dyDescent="0.25">
      <c r="B174" s="58"/>
      <c r="C174" s="14"/>
      <c r="D174" s="15"/>
      <c r="E174" s="15"/>
      <c r="F174" s="15"/>
      <c r="G174" s="424"/>
      <c r="H174" s="17" t="str">
        <f t="shared" si="17"/>
        <v/>
      </c>
      <c r="J174" s="711"/>
      <c r="K174" s="711"/>
      <c r="L174" s="420" t="str">
        <f t="shared" si="20"/>
        <v/>
      </c>
      <c r="M174" s="401" t="str">
        <f t="shared" si="21"/>
        <v/>
      </c>
    </row>
    <row r="175" spans="2:13" s="28" customFormat="1" ht="25" customHeight="1" x14ac:dyDescent="0.25">
      <c r="B175" s="84" t="str">
        <f>$B$12</f>
        <v>C3.3</v>
      </c>
      <c r="C175" s="30" t="str">
        <f>"TOTAL CARRIED FORWARD"&amp;IF(H175=H$1," TO SUMMARY","")</f>
        <v>TOTAL CARRIED FORWARD TO SUMMARY</v>
      </c>
      <c r="D175" s="31"/>
      <c r="E175" s="31"/>
      <c r="F175" s="32"/>
      <c r="G175" s="31"/>
      <c r="H175" s="33">
        <f>SUM(H111:H174)</f>
        <v>2800575</v>
      </c>
      <c r="I175" s="34"/>
      <c r="J175" s="408"/>
      <c r="K175" s="406"/>
      <c r="L175" s="418">
        <f>SUM(L111:L174)</f>
        <v>532478.88571428577</v>
      </c>
      <c r="M175" s="407" t="str">
        <f t="shared" si="21"/>
        <v/>
      </c>
    </row>
  </sheetData>
  <mergeCells count="18">
    <mergeCell ref="B106:G106"/>
    <mergeCell ref="H106:H109"/>
    <mergeCell ref="B107:G109"/>
    <mergeCell ref="B62:G62"/>
    <mergeCell ref="H62:H65"/>
    <mergeCell ref="B63:G65"/>
    <mergeCell ref="B103:D103"/>
    <mergeCell ref="F103:H105"/>
    <mergeCell ref="B104:D104"/>
    <mergeCell ref="B105:D105"/>
    <mergeCell ref="F3:H3"/>
    <mergeCell ref="B6:G6"/>
    <mergeCell ref="H6:H9"/>
    <mergeCell ref="B7:G9"/>
    <mergeCell ref="B59:D59"/>
    <mergeCell ref="F59:H61"/>
    <mergeCell ref="B60:D60"/>
    <mergeCell ref="B61:D61"/>
  </mergeCells>
  <conditionalFormatting sqref="G11:H58 G67:H102 G111:H175">
    <cfRule type="expression" dxfId="26" priority="1">
      <formula>_Show_Price=FALSE</formula>
    </cfRule>
  </conditionalFormatting>
  <pageMargins left="0.43307086614173229" right="0.31496062992125984" top="0.43307086614173229" bottom="0.62992125984251968" header="0.35433070866141736" footer="0.31496062992125984"/>
  <pageSetup paperSize="9" scale="77"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58" max="7"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FF00"/>
  </sheetPr>
  <dimension ref="A1:N246"/>
  <sheetViews>
    <sheetView view="pageBreakPreview"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50"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MAX(H2:H246)</f>
        <v>1631000</v>
      </c>
      <c r="I1" s="247">
        <f>MAX(I2:I223)</f>
        <v>0</v>
      </c>
      <c r="J1" s="248"/>
      <c r="K1" s="249"/>
      <c r="L1" s="247">
        <f>MAX(L2:L246)</f>
        <v>39880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90"/>
      <c r="D5" s="78"/>
      <c r="E5" s="78"/>
      <c r="F5" s="78"/>
      <c r="G5" s="79"/>
      <c r="H5" s="89"/>
    </row>
    <row r="6" spans="1:14" ht="13" x14ac:dyDescent="0.25">
      <c r="B6" s="1112" t="s">
        <v>8</v>
      </c>
      <c r="C6" s="1113"/>
      <c r="D6" s="1113"/>
      <c r="E6" s="1113"/>
      <c r="F6" s="1113"/>
      <c r="G6" s="1113"/>
      <c r="H6" s="1121" t="str">
        <f>"CHAPTER "&amp;B12</f>
        <v>CHAPTER C5.3</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6"/>
      <c r="C11" s="65"/>
      <c r="D11" s="15"/>
      <c r="E11" s="15"/>
      <c r="F11" s="15"/>
      <c r="G11" s="411"/>
      <c r="H11" s="17" t="str">
        <f t="shared" ref="H11:H33" si="0">IF(D11="","",F11*G11)</f>
        <v/>
      </c>
      <c r="I11" s="18"/>
      <c r="J11" s="702"/>
      <c r="K11" s="619"/>
      <c r="L11" s="420" t="str">
        <f t="shared" ref="L11" si="1">IF(J11="","",F11*K11)</f>
        <v/>
      </c>
      <c r="M11" s="401" t="str">
        <f t="shared" ref="M11" si="2">IF(J11="","",IF(SUM(H11)=0,"",L11/H11))</f>
        <v/>
      </c>
    </row>
    <row r="12" spans="1:14" ht="13" x14ac:dyDescent="0.25">
      <c r="B12" s="146" t="s">
        <v>232</v>
      </c>
      <c r="C12" s="672" t="s">
        <v>233</v>
      </c>
      <c r="D12" s="15"/>
      <c r="E12" s="15"/>
      <c r="F12" s="15"/>
      <c r="G12" s="411"/>
      <c r="H12" s="17" t="str">
        <f t="shared" si="0"/>
        <v/>
      </c>
      <c r="I12" s="18"/>
      <c r="J12" s="61"/>
      <c r="K12" s="399"/>
      <c r="L12" s="420" t="str">
        <f t="shared" ref="L12:L20" si="3">IF(J12="","",F12*K12)</f>
        <v/>
      </c>
      <c r="M12" s="401" t="str">
        <f t="shared" ref="M12:M20" si="4">IF(J12="","",IF(SUM(H12)=0,"",L12/H12))</f>
        <v/>
      </c>
    </row>
    <row r="13" spans="1:14" x14ac:dyDescent="0.25">
      <c r="B13" s="58"/>
      <c r="C13" s="65"/>
      <c r="D13" s="15"/>
      <c r="E13" s="15"/>
      <c r="F13" s="15"/>
      <c r="G13" s="411"/>
      <c r="H13" s="17" t="str">
        <f t="shared" si="0"/>
        <v/>
      </c>
      <c r="I13" s="18"/>
      <c r="J13" s="61"/>
      <c r="K13" s="399"/>
      <c r="L13" s="420" t="str">
        <f t="shared" si="3"/>
        <v/>
      </c>
      <c r="M13" s="401" t="str">
        <f t="shared" si="4"/>
        <v/>
      </c>
    </row>
    <row r="14" spans="1:14" x14ac:dyDescent="0.25">
      <c r="B14" s="58"/>
      <c r="C14" s="65"/>
      <c r="D14" s="15"/>
      <c r="E14" s="15"/>
      <c r="F14" s="15"/>
      <c r="G14" s="411"/>
      <c r="H14" s="743" t="str">
        <f t="shared" si="0"/>
        <v/>
      </c>
      <c r="I14" s="18"/>
      <c r="J14" s="61"/>
      <c r="K14" s="399"/>
      <c r="L14" s="420" t="str">
        <f t="shared" si="3"/>
        <v/>
      </c>
      <c r="M14" s="401" t="str">
        <f t="shared" si="4"/>
        <v/>
      </c>
    </row>
    <row r="15" spans="1:14" x14ac:dyDescent="0.25">
      <c r="B15" s="58"/>
      <c r="C15" s="65"/>
      <c r="D15" s="15"/>
      <c r="E15" s="15"/>
      <c r="F15" s="15"/>
      <c r="G15" s="411"/>
      <c r="H15" s="17" t="str">
        <f t="shared" si="0"/>
        <v/>
      </c>
      <c r="I15" s="18"/>
      <c r="J15" s="61"/>
      <c r="K15" s="399"/>
      <c r="L15" s="420" t="str">
        <f t="shared" si="3"/>
        <v/>
      </c>
      <c r="M15" s="401" t="str">
        <f t="shared" si="4"/>
        <v/>
      </c>
    </row>
    <row r="16" spans="1:14" ht="13" x14ac:dyDescent="0.25">
      <c r="B16" s="146" t="s">
        <v>1938</v>
      </c>
      <c r="C16" s="672" t="s">
        <v>234</v>
      </c>
      <c r="D16" s="15"/>
      <c r="E16" s="15"/>
      <c r="F16" s="15"/>
      <c r="G16" s="411"/>
      <c r="H16" s="17" t="str">
        <f t="shared" si="0"/>
        <v/>
      </c>
      <c r="I16" s="18"/>
      <c r="J16" s="61"/>
      <c r="K16" s="399"/>
      <c r="L16" s="420" t="str">
        <f t="shared" si="3"/>
        <v/>
      </c>
      <c r="M16" s="401" t="str">
        <f t="shared" si="4"/>
        <v/>
      </c>
    </row>
    <row r="17" spans="2:13" x14ac:dyDescent="0.25">
      <c r="B17" s="58"/>
      <c r="C17" s="65"/>
      <c r="D17" s="15"/>
      <c r="E17" s="15"/>
      <c r="F17" s="15"/>
      <c r="G17" s="411"/>
      <c r="H17" s="17" t="str">
        <f t="shared" si="0"/>
        <v/>
      </c>
      <c r="I17" s="18"/>
      <c r="J17" s="61"/>
      <c r="K17" s="399"/>
      <c r="L17" s="420" t="str">
        <f t="shared" si="3"/>
        <v/>
      </c>
      <c r="M17" s="401" t="str">
        <f t="shared" si="4"/>
        <v/>
      </c>
    </row>
    <row r="18" spans="2:13" ht="25" x14ac:dyDescent="0.25">
      <c r="B18" s="58" t="s">
        <v>1939</v>
      </c>
      <c r="C18" s="65" t="s">
        <v>1688</v>
      </c>
      <c r="D18" s="15"/>
      <c r="E18" s="15"/>
      <c r="F18" s="24"/>
      <c r="G18" s="703"/>
      <c r="H18" s="17" t="str">
        <f t="shared" si="0"/>
        <v/>
      </c>
      <c r="I18" s="57"/>
      <c r="J18" s="61"/>
      <c r="K18" s="400"/>
      <c r="L18" s="420" t="str">
        <f t="shared" si="3"/>
        <v/>
      </c>
      <c r="M18" s="401" t="str">
        <f t="shared" si="4"/>
        <v/>
      </c>
    </row>
    <row r="19" spans="2:13" x14ac:dyDescent="0.25">
      <c r="B19" s="58"/>
      <c r="C19" s="65"/>
      <c r="D19" s="15"/>
      <c r="E19" s="15"/>
      <c r="F19" s="24"/>
      <c r="G19" s="703"/>
      <c r="H19" s="17" t="str">
        <f t="shared" si="0"/>
        <v/>
      </c>
      <c r="I19" s="57"/>
      <c r="J19" s="61"/>
      <c r="K19" s="399"/>
      <c r="L19" s="420" t="str">
        <f t="shared" si="3"/>
        <v/>
      </c>
      <c r="M19" s="401" t="str">
        <f t="shared" si="4"/>
        <v/>
      </c>
    </row>
    <row r="20" spans="2:13" ht="25" x14ac:dyDescent="0.25">
      <c r="B20" s="58" t="s">
        <v>41</v>
      </c>
      <c r="C20" s="65" t="s">
        <v>2120</v>
      </c>
      <c r="D20" s="15" t="s">
        <v>577</v>
      </c>
      <c r="E20" s="15"/>
      <c r="F20" s="24">
        <f>Quantities!$S$701</f>
        <v>4000</v>
      </c>
      <c r="G20" s="423">
        <v>70</v>
      </c>
      <c r="H20" s="715">
        <f t="shared" si="0"/>
        <v>280000</v>
      </c>
      <c r="I20" s="57"/>
      <c r="J20" s="61" t="s">
        <v>1721</v>
      </c>
      <c r="K20" s="400">
        <f>IF(D20="","",ROUND(Labour_perc_roads*G20,1))</f>
        <v>2</v>
      </c>
      <c r="L20" s="420">
        <f t="shared" si="3"/>
        <v>8000</v>
      </c>
      <c r="M20" s="401">
        <f t="shared" si="4"/>
        <v>2.8571428571428571E-2</v>
      </c>
    </row>
    <row r="21" spans="2:13" x14ac:dyDescent="0.25">
      <c r="B21" s="58"/>
      <c r="C21" s="65"/>
      <c r="D21" s="15"/>
      <c r="E21" s="15"/>
      <c r="F21" s="24"/>
      <c r="G21" s="703"/>
      <c r="H21" s="17" t="str">
        <f t="shared" si="0"/>
        <v/>
      </c>
      <c r="I21" s="57"/>
      <c r="J21" s="61"/>
      <c r="K21" s="402"/>
      <c r="L21" s="420" t="str">
        <f t="shared" ref="L21:L36" si="5">IF(J21="","",F21*K21)</f>
        <v/>
      </c>
      <c r="M21" s="401" t="str">
        <f t="shared" ref="M21:M36" si="6">IF(J21="","",IF(SUM(H21)=0,"",L21/H21))</f>
        <v/>
      </c>
    </row>
    <row r="22" spans="2:13" ht="25" x14ac:dyDescent="0.25">
      <c r="B22" s="58" t="s">
        <v>52</v>
      </c>
      <c r="C22" s="65" t="s">
        <v>2121</v>
      </c>
      <c r="D22" s="15" t="s">
        <v>577</v>
      </c>
      <c r="E22" s="15"/>
      <c r="F22" s="24">
        <f>Quantities!$S$704</f>
        <v>3800</v>
      </c>
      <c r="G22" s="411">
        <v>70</v>
      </c>
      <c r="H22" s="17">
        <f t="shared" si="0"/>
        <v>266000</v>
      </c>
      <c r="I22" s="57"/>
      <c r="J22" s="61" t="s">
        <v>1721</v>
      </c>
      <c r="K22" s="400">
        <f>IF(D22="","",ROUND(Labour_perc_roads*G22,1))</f>
        <v>2</v>
      </c>
      <c r="L22" s="420">
        <f t="shared" si="5"/>
        <v>7600</v>
      </c>
      <c r="M22" s="401">
        <f t="shared" si="6"/>
        <v>2.8571428571428571E-2</v>
      </c>
    </row>
    <row r="23" spans="2:13" x14ac:dyDescent="0.25">
      <c r="B23" s="58"/>
      <c r="C23" s="65"/>
      <c r="D23" s="15"/>
      <c r="E23" s="15"/>
      <c r="F23" s="24"/>
      <c r="G23" s="411"/>
      <c r="H23" s="17" t="str">
        <f t="shared" si="0"/>
        <v/>
      </c>
      <c r="I23" s="57"/>
      <c r="J23" s="61"/>
      <c r="K23" s="400"/>
      <c r="L23" s="420" t="str">
        <f t="shared" si="5"/>
        <v/>
      </c>
      <c r="M23" s="401" t="str">
        <f t="shared" si="6"/>
        <v/>
      </c>
    </row>
    <row r="24" spans="2:13" ht="25" x14ac:dyDescent="0.25">
      <c r="B24" s="58" t="s">
        <v>239</v>
      </c>
      <c r="C24" s="65" t="s">
        <v>2122</v>
      </c>
      <c r="D24" s="15" t="s">
        <v>577</v>
      </c>
      <c r="E24" s="15"/>
      <c r="F24" s="24">
        <f>Quantities!$S$732</f>
        <v>600</v>
      </c>
      <c r="G24" s="421">
        <v>70</v>
      </c>
      <c r="H24" s="17">
        <f t="shared" si="0"/>
        <v>42000</v>
      </c>
      <c r="I24" s="63"/>
      <c r="J24" s="61" t="s">
        <v>1721</v>
      </c>
      <c r="K24" s="400">
        <f>IF(D24="","",ROUND(Labour_perc_roads*G24,1))</f>
        <v>2</v>
      </c>
      <c r="L24" s="420">
        <f t="shared" si="5"/>
        <v>1200</v>
      </c>
      <c r="M24" s="401">
        <f t="shared" si="6"/>
        <v>2.8571428571428571E-2</v>
      </c>
    </row>
    <row r="25" spans="2:13" x14ac:dyDescent="0.25">
      <c r="B25" s="58"/>
      <c r="C25" s="65"/>
      <c r="D25" s="15"/>
      <c r="E25" s="15"/>
      <c r="F25" s="24"/>
      <c r="G25" s="421"/>
      <c r="H25" s="17" t="str">
        <f t="shared" si="0"/>
        <v/>
      </c>
      <c r="I25" s="63"/>
      <c r="J25" s="61"/>
      <c r="K25" s="399"/>
      <c r="L25" s="420" t="str">
        <f t="shared" si="5"/>
        <v/>
      </c>
      <c r="M25" s="401" t="str">
        <f t="shared" si="6"/>
        <v/>
      </c>
    </row>
    <row r="26" spans="2:13" ht="25" x14ac:dyDescent="0.25">
      <c r="B26" s="58" t="s">
        <v>50</v>
      </c>
      <c r="C26" s="65" t="s">
        <v>2123</v>
      </c>
      <c r="D26" s="15" t="s">
        <v>577</v>
      </c>
      <c r="E26" s="15"/>
      <c r="F26" s="24">
        <f>Quantities!$S$726+Quantities!$S$707</f>
        <v>3500</v>
      </c>
      <c r="G26" s="422">
        <v>70</v>
      </c>
      <c r="H26" s="17">
        <f t="shared" si="0"/>
        <v>245000</v>
      </c>
      <c r="I26" s="63"/>
      <c r="J26" s="61" t="s">
        <v>1721</v>
      </c>
      <c r="K26" s="400">
        <f>IF(D26="","",ROUND(Labour_perc_roads*G26,1))</f>
        <v>2</v>
      </c>
      <c r="L26" s="420">
        <f t="shared" si="5"/>
        <v>7000</v>
      </c>
      <c r="M26" s="401">
        <f t="shared" si="6"/>
        <v>2.8571428571428571E-2</v>
      </c>
    </row>
    <row r="27" spans="2:13" x14ac:dyDescent="0.25">
      <c r="B27" s="58"/>
      <c r="C27" s="65"/>
      <c r="D27" s="15"/>
      <c r="E27" s="15"/>
      <c r="F27" s="24"/>
      <c r="G27" s="411"/>
      <c r="H27" s="17" t="str">
        <f t="shared" si="0"/>
        <v/>
      </c>
      <c r="I27" s="63"/>
      <c r="J27" s="61"/>
      <c r="K27" s="399"/>
      <c r="L27" s="420" t="str">
        <f t="shared" si="5"/>
        <v/>
      </c>
      <c r="M27" s="401" t="str">
        <f t="shared" si="6"/>
        <v/>
      </c>
    </row>
    <row r="28" spans="2:13" ht="25" x14ac:dyDescent="0.25">
      <c r="B28" s="58" t="s">
        <v>236</v>
      </c>
      <c r="C28" s="65" t="s">
        <v>2124</v>
      </c>
      <c r="D28" s="15" t="s">
        <v>577</v>
      </c>
      <c r="E28" s="15"/>
      <c r="F28" s="24">
        <f>Quantities!$S$712</f>
        <v>1800</v>
      </c>
      <c r="G28" s="411">
        <v>80</v>
      </c>
      <c r="H28" s="17">
        <f t="shared" si="0"/>
        <v>144000</v>
      </c>
      <c r="I28" s="63"/>
      <c r="J28" s="61" t="s">
        <v>1721</v>
      </c>
      <c r="K28" s="400">
        <f>IF(D28="","",ROUND(Labour_perc_roads*G28,1))</f>
        <v>2.2999999999999998</v>
      </c>
      <c r="L28" s="420">
        <f t="shared" si="5"/>
        <v>4140</v>
      </c>
      <c r="M28" s="401">
        <f t="shared" si="6"/>
        <v>2.8750000000000001E-2</v>
      </c>
    </row>
    <row r="29" spans="2:13" x14ac:dyDescent="0.25">
      <c r="B29" s="58"/>
      <c r="C29" s="65"/>
      <c r="D29" s="15"/>
      <c r="E29" s="15"/>
      <c r="F29" s="24"/>
      <c r="G29" s="411"/>
      <c r="H29" s="17" t="str">
        <f t="shared" si="0"/>
        <v/>
      </c>
      <c r="I29" s="63"/>
      <c r="J29" s="61"/>
      <c r="K29" s="399"/>
      <c r="L29" s="420" t="str">
        <f t="shared" ref="L29:L31" si="7">IF(J29="","",F29*K29)</f>
        <v/>
      </c>
      <c r="M29" s="401" t="str">
        <f t="shared" ref="M29:M31" si="8">IF(J29="","",IF(SUM(H29)=0,"",L29/H29))</f>
        <v/>
      </c>
    </row>
    <row r="30" spans="2:13" ht="25" x14ac:dyDescent="0.25">
      <c r="B30" s="58" t="s">
        <v>237</v>
      </c>
      <c r="C30" s="65" t="s">
        <v>2125</v>
      </c>
      <c r="D30" s="15" t="s">
        <v>577</v>
      </c>
      <c r="E30" s="15"/>
      <c r="F30" s="24">
        <f>Quantities!$S$742</f>
        <v>1800</v>
      </c>
      <c r="G30" s="411">
        <v>80</v>
      </c>
      <c r="H30" s="17">
        <f t="shared" si="0"/>
        <v>144000</v>
      </c>
      <c r="I30" s="63"/>
      <c r="J30" s="61" t="s">
        <v>1721</v>
      </c>
      <c r="K30" s="400">
        <f>IF(D30="","",ROUND(Labour_perc_roads*G30,1))</f>
        <v>2.2999999999999998</v>
      </c>
      <c r="L30" s="420">
        <f t="shared" si="7"/>
        <v>4140</v>
      </c>
      <c r="M30" s="401">
        <f t="shared" si="8"/>
        <v>2.8750000000000001E-2</v>
      </c>
    </row>
    <row r="31" spans="2:13" x14ac:dyDescent="0.25">
      <c r="B31" s="58"/>
      <c r="C31" s="65"/>
      <c r="D31" s="15"/>
      <c r="E31" s="15"/>
      <c r="F31" s="24"/>
      <c r="G31" s="411"/>
      <c r="H31" s="17" t="str">
        <f t="shared" si="0"/>
        <v/>
      </c>
      <c r="I31" s="63"/>
      <c r="J31" s="61"/>
      <c r="K31" s="399"/>
      <c r="L31" s="420" t="str">
        <f t="shared" si="7"/>
        <v/>
      </c>
      <c r="M31" s="401" t="str">
        <f t="shared" si="8"/>
        <v/>
      </c>
    </row>
    <row r="32" spans="2:13" ht="25" x14ac:dyDescent="0.25">
      <c r="B32" s="58" t="s">
        <v>238</v>
      </c>
      <c r="C32" s="65" t="s">
        <v>2126</v>
      </c>
      <c r="D32" s="15" t="s">
        <v>577</v>
      </c>
      <c r="E32" s="15"/>
      <c r="F32" s="24">
        <f>Quantities!$S$720+Quantities!$S$748</f>
        <v>3000</v>
      </c>
      <c r="G32" s="422">
        <v>90</v>
      </c>
      <c r="H32" s="17">
        <f t="shared" si="0"/>
        <v>270000</v>
      </c>
      <c r="I32" s="63"/>
      <c r="J32" s="61" t="s">
        <v>1721</v>
      </c>
      <c r="K32" s="400">
        <f>IF(D32="","",ROUND(Labour_perc_roads*G32,1))</f>
        <v>2.6</v>
      </c>
      <c r="L32" s="420">
        <f t="shared" si="5"/>
        <v>7800</v>
      </c>
      <c r="M32" s="401">
        <f t="shared" si="6"/>
        <v>2.8888888888888888E-2</v>
      </c>
    </row>
    <row r="33" spans="2:13" x14ac:dyDescent="0.25">
      <c r="B33" s="58"/>
      <c r="C33" s="65"/>
      <c r="D33" s="15"/>
      <c r="E33" s="15"/>
      <c r="F33" s="647"/>
      <c r="G33" s="424"/>
      <c r="H33" s="743" t="str">
        <f t="shared" si="0"/>
        <v/>
      </c>
      <c r="I33" s="63"/>
      <c r="J33" s="61"/>
      <c r="K33" s="399"/>
      <c r="L33" s="420" t="str">
        <f t="shared" si="5"/>
        <v/>
      </c>
      <c r="M33" s="401" t="str">
        <f t="shared" si="6"/>
        <v/>
      </c>
    </row>
    <row r="34" spans="2:13" ht="26" x14ac:dyDescent="0.25">
      <c r="B34" s="146" t="s">
        <v>1953</v>
      </c>
      <c r="C34" s="672" t="s">
        <v>185</v>
      </c>
      <c r="D34" s="15"/>
      <c r="E34" s="15"/>
      <c r="F34" s="578"/>
      <c r="G34" s="424"/>
      <c r="H34" s="743" t="str">
        <f t="shared" ref="H34:H36" si="9">IF(D34="","",F34*G34)</f>
        <v/>
      </c>
      <c r="I34" s="63"/>
      <c r="J34" s="61"/>
      <c r="K34" s="399"/>
      <c r="L34" s="420" t="str">
        <f t="shared" si="5"/>
        <v/>
      </c>
      <c r="M34" s="401" t="str">
        <f t="shared" si="6"/>
        <v/>
      </c>
    </row>
    <row r="35" spans="2:13" x14ac:dyDescent="0.25">
      <c r="B35" s="58"/>
      <c r="C35" s="65"/>
      <c r="D35" s="15"/>
      <c r="E35" s="15"/>
      <c r="F35" s="647"/>
      <c r="G35" s="411"/>
      <c r="H35" s="743" t="str">
        <f t="shared" si="9"/>
        <v/>
      </c>
      <c r="I35" s="63"/>
      <c r="J35" s="61"/>
      <c r="K35" s="399"/>
      <c r="L35" s="420" t="str">
        <f t="shared" si="5"/>
        <v/>
      </c>
      <c r="M35" s="401" t="str">
        <f t="shared" si="6"/>
        <v/>
      </c>
    </row>
    <row r="36" spans="2:13" ht="25" x14ac:dyDescent="0.25">
      <c r="B36" s="58" t="s">
        <v>39</v>
      </c>
      <c r="C36" s="65" t="s">
        <v>186</v>
      </c>
      <c r="D36" s="15" t="s">
        <v>2211</v>
      </c>
      <c r="E36" s="15"/>
      <c r="F36" s="580">
        <v>30000</v>
      </c>
      <c r="G36" s="424">
        <v>8</v>
      </c>
      <c r="H36" s="743">
        <f t="shared" si="9"/>
        <v>240000</v>
      </c>
      <c r="I36" s="63"/>
      <c r="J36" s="61"/>
      <c r="K36" s="400"/>
      <c r="L36" s="420" t="str">
        <f t="shared" si="5"/>
        <v/>
      </c>
      <c r="M36" s="401" t="str">
        <f t="shared" si="6"/>
        <v/>
      </c>
    </row>
    <row r="37" spans="2:13" x14ac:dyDescent="0.25">
      <c r="B37" s="58"/>
      <c r="C37" s="65"/>
      <c r="D37" s="15"/>
      <c r="E37" s="15"/>
      <c r="F37" s="647"/>
      <c r="G37" s="411"/>
      <c r="H37" s="743" t="str">
        <f t="shared" ref="H37:H68" si="10">IF(D37="","",F37*G37)</f>
        <v/>
      </c>
      <c r="I37" s="63"/>
      <c r="J37" s="61"/>
      <c r="K37" s="399"/>
      <c r="L37" s="420" t="str">
        <f t="shared" ref="L37:L68" si="11">IF(J37="","",F37*K37)</f>
        <v/>
      </c>
      <c r="M37" s="401" t="str">
        <f t="shared" ref="M37:M69" si="12">IF(J37="","",IF(SUM(H37)=0,"",L37/H37))</f>
        <v/>
      </c>
    </row>
    <row r="38" spans="2:13" x14ac:dyDescent="0.25">
      <c r="B38" s="58"/>
      <c r="C38" s="65"/>
      <c r="D38" s="15"/>
      <c r="E38" s="15"/>
      <c r="F38" s="578"/>
      <c r="G38" s="424"/>
      <c r="H38" s="743" t="str">
        <f t="shared" si="10"/>
        <v/>
      </c>
      <c r="I38" s="18"/>
      <c r="J38" s="61"/>
      <c r="K38" s="402"/>
      <c r="L38" s="420" t="str">
        <f t="shared" si="11"/>
        <v/>
      </c>
      <c r="M38" s="401" t="str">
        <f t="shared" si="12"/>
        <v/>
      </c>
    </row>
    <row r="39" spans="2:13" x14ac:dyDescent="0.25">
      <c r="B39" s="58"/>
      <c r="C39" s="65"/>
      <c r="D39" s="15"/>
      <c r="E39" s="15"/>
      <c r="F39" s="647"/>
      <c r="G39" s="411"/>
      <c r="H39" s="743" t="str">
        <f t="shared" si="10"/>
        <v/>
      </c>
      <c r="I39" s="18"/>
      <c r="J39" s="61"/>
      <c r="K39" s="402"/>
      <c r="L39" s="420" t="str">
        <f t="shared" si="11"/>
        <v/>
      </c>
      <c r="M39" s="401" t="str">
        <f t="shared" si="12"/>
        <v/>
      </c>
    </row>
    <row r="40" spans="2:13" x14ac:dyDescent="0.25">
      <c r="B40" s="58"/>
      <c r="C40" s="65"/>
      <c r="D40" s="15"/>
      <c r="E40" s="15"/>
      <c r="F40" s="580"/>
      <c r="G40" s="424"/>
      <c r="H40" s="743" t="str">
        <f t="shared" si="10"/>
        <v/>
      </c>
      <c r="I40" s="18"/>
      <c r="J40" s="61"/>
      <c r="K40" s="399"/>
      <c r="L40" s="420" t="str">
        <f t="shared" si="11"/>
        <v/>
      </c>
      <c r="M40" s="401" t="str">
        <f t="shared" si="12"/>
        <v/>
      </c>
    </row>
    <row r="41" spans="2:13" x14ac:dyDescent="0.25">
      <c r="B41" s="58"/>
      <c r="C41" s="65"/>
      <c r="D41" s="15"/>
      <c r="E41" s="15"/>
      <c r="F41" s="647"/>
      <c r="G41" s="411"/>
      <c r="H41" s="743" t="str">
        <f t="shared" si="10"/>
        <v/>
      </c>
      <c r="I41" s="18"/>
      <c r="J41" s="61"/>
      <c r="K41" s="399"/>
      <c r="L41" s="420" t="str">
        <f t="shared" si="11"/>
        <v/>
      </c>
      <c r="M41" s="401" t="str">
        <f t="shared" si="12"/>
        <v/>
      </c>
    </row>
    <row r="42" spans="2:13" x14ac:dyDescent="0.25">
      <c r="B42" s="58"/>
      <c r="C42" s="65"/>
      <c r="D42" s="15"/>
      <c r="E42" s="15"/>
      <c r="F42" s="647"/>
      <c r="G42" s="411"/>
      <c r="H42" s="743" t="str">
        <f t="shared" si="10"/>
        <v/>
      </c>
      <c r="I42" s="18"/>
      <c r="J42" s="61"/>
      <c r="K42" s="399"/>
      <c r="L42" s="420" t="str">
        <f t="shared" si="11"/>
        <v/>
      </c>
      <c r="M42" s="401" t="str">
        <f t="shared" si="12"/>
        <v/>
      </c>
    </row>
    <row r="43" spans="2:13" x14ac:dyDescent="0.25">
      <c r="B43" s="58"/>
      <c r="C43" s="65"/>
      <c r="D43" s="15"/>
      <c r="E43" s="15"/>
      <c r="F43" s="24"/>
      <c r="G43" s="411"/>
      <c r="H43" s="17" t="str">
        <f t="shared" si="10"/>
        <v/>
      </c>
      <c r="I43" s="18"/>
      <c r="J43" s="61"/>
      <c r="K43" s="399"/>
      <c r="L43" s="420" t="str">
        <f t="shared" si="11"/>
        <v/>
      </c>
      <c r="M43" s="401" t="str">
        <f t="shared" si="12"/>
        <v/>
      </c>
    </row>
    <row r="44" spans="2:13" x14ac:dyDescent="0.25">
      <c r="B44" s="58"/>
      <c r="C44" s="65"/>
      <c r="D44" s="15"/>
      <c r="E44" s="15"/>
      <c r="F44" s="24"/>
      <c r="G44" s="411"/>
      <c r="H44" s="17" t="str">
        <f t="shared" si="10"/>
        <v/>
      </c>
      <c r="I44" s="18"/>
      <c r="J44" s="61"/>
      <c r="K44" s="399"/>
      <c r="L44" s="420" t="str">
        <f t="shared" si="11"/>
        <v/>
      </c>
      <c r="M44" s="401" t="str">
        <f t="shared" si="12"/>
        <v/>
      </c>
    </row>
    <row r="45" spans="2:13" x14ac:dyDescent="0.25">
      <c r="B45" s="58"/>
      <c r="C45" s="65"/>
      <c r="D45" s="15"/>
      <c r="E45" s="15"/>
      <c r="F45" s="24"/>
      <c r="G45" s="411"/>
      <c r="H45" s="17" t="str">
        <f t="shared" si="10"/>
        <v/>
      </c>
      <c r="I45" s="18"/>
      <c r="J45" s="61"/>
      <c r="K45" s="399"/>
      <c r="L45" s="420" t="str">
        <f t="shared" si="11"/>
        <v/>
      </c>
      <c r="M45" s="401" t="str">
        <f t="shared" si="12"/>
        <v/>
      </c>
    </row>
    <row r="46" spans="2:13" x14ac:dyDescent="0.25">
      <c r="B46" s="58"/>
      <c r="C46" s="65"/>
      <c r="D46" s="15"/>
      <c r="E46" s="15"/>
      <c r="F46" s="24"/>
      <c r="G46" s="411"/>
      <c r="H46" s="17" t="str">
        <f t="shared" si="10"/>
        <v/>
      </c>
      <c r="I46" s="18"/>
      <c r="J46" s="61"/>
      <c r="K46" s="399"/>
      <c r="L46" s="420" t="str">
        <f t="shared" si="11"/>
        <v/>
      </c>
      <c r="M46" s="401" t="str">
        <f t="shared" si="12"/>
        <v/>
      </c>
    </row>
    <row r="47" spans="2:13" x14ac:dyDescent="0.25">
      <c r="B47" s="58"/>
      <c r="C47" s="65"/>
      <c r="D47" s="15"/>
      <c r="E47" s="15"/>
      <c r="F47" s="24"/>
      <c r="G47" s="411"/>
      <c r="H47" s="17" t="str">
        <f t="shared" si="10"/>
        <v/>
      </c>
      <c r="I47" s="18"/>
      <c r="J47" s="61"/>
      <c r="K47" s="399"/>
      <c r="L47" s="420" t="str">
        <f t="shared" si="11"/>
        <v/>
      </c>
      <c r="M47" s="401" t="str">
        <f t="shared" si="12"/>
        <v/>
      </c>
    </row>
    <row r="48" spans="2:13" x14ac:dyDescent="0.25">
      <c r="B48" s="58"/>
      <c r="C48" s="65"/>
      <c r="D48" s="15"/>
      <c r="E48" s="15"/>
      <c r="F48" s="24"/>
      <c r="G48" s="411"/>
      <c r="H48" s="17" t="str">
        <f t="shared" si="10"/>
        <v/>
      </c>
      <c r="I48" s="18"/>
      <c r="J48" s="61"/>
      <c r="K48" s="399"/>
      <c r="L48" s="420" t="str">
        <f t="shared" si="11"/>
        <v/>
      </c>
      <c r="M48" s="401" t="str">
        <f t="shared" si="12"/>
        <v/>
      </c>
    </row>
    <row r="49" spans="2:13" x14ac:dyDescent="0.25">
      <c r="B49" s="58"/>
      <c r="C49" s="65"/>
      <c r="D49" s="15"/>
      <c r="E49" s="15"/>
      <c r="F49" s="24"/>
      <c r="G49" s="411"/>
      <c r="H49" s="17" t="str">
        <f t="shared" si="10"/>
        <v/>
      </c>
      <c r="I49" s="18"/>
      <c r="J49" s="61"/>
      <c r="K49" s="399"/>
      <c r="L49" s="420" t="str">
        <f t="shared" si="11"/>
        <v/>
      </c>
      <c r="M49" s="401" t="str">
        <f t="shared" si="12"/>
        <v/>
      </c>
    </row>
    <row r="50" spans="2:13" x14ac:dyDescent="0.25">
      <c r="B50" s="58"/>
      <c r="C50" s="65"/>
      <c r="D50" s="15"/>
      <c r="E50" s="15"/>
      <c r="F50" s="24"/>
      <c r="G50" s="411"/>
      <c r="H50" s="17" t="str">
        <f t="shared" si="10"/>
        <v/>
      </c>
      <c r="I50" s="18"/>
      <c r="J50" s="61"/>
      <c r="K50" s="399"/>
      <c r="L50" s="420" t="str">
        <f t="shared" si="11"/>
        <v/>
      </c>
      <c r="M50" s="401" t="str">
        <f t="shared" si="12"/>
        <v/>
      </c>
    </row>
    <row r="51" spans="2:13" x14ac:dyDescent="0.25">
      <c r="B51" s="58"/>
      <c r="C51" s="65"/>
      <c r="D51" s="15"/>
      <c r="E51" s="15"/>
      <c r="F51" s="24"/>
      <c r="G51" s="411"/>
      <c r="H51" s="17" t="str">
        <f t="shared" si="10"/>
        <v/>
      </c>
      <c r="I51" s="18"/>
      <c r="J51" s="61"/>
      <c r="K51" s="399"/>
      <c r="L51" s="420" t="str">
        <f t="shared" si="11"/>
        <v/>
      </c>
      <c r="M51" s="401" t="str">
        <f t="shared" si="12"/>
        <v/>
      </c>
    </row>
    <row r="52" spans="2:13" x14ac:dyDescent="0.25">
      <c r="B52" s="58"/>
      <c r="C52" s="65"/>
      <c r="D52" s="15"/>
      <c r="E52" s="15"/>
      <c r="F52" s="24"/>
      <c r="G52" s="411"/>
      <c r="H52" s="17" t="str">
        <f t="shared" si="10"/>
        <v/>
      </c>
      <c r="I52" s="18"/>
      <c r="J52" s="61"/>
      <c r="K52" s="399"/>
      <c r="L52" s="420" t="str">
        <f t="shared" si="11"/>
        <v/>
      </c>
      <c r="M52" s="401" t="str">
        <f t="shared" si="12"/>
        <v/>
      </c>
    </row>
    <row r="53" spans="2:13" x14ac:dyDescent="0.25">
      <c r="B53" s="58"/>
      <c r="C53" s="65"/>
      <c r="D53" s="15"/>
      <c r="E53" s="15"/>
      <c r="F53" s="24"/>
      <c r="G53" s="411"/>
      <c r="H53" s="17" t="str">
        <f t="shared" si="10"/>
        <v/>
      </c>
      <c r="I53" s="18"/>
      <c r="J53" s="61"/>
      <c r="K53" s="399"/>
      <c r="L53" s="420" t="str">
        <f t="shared" si="11"/>
        <v/>
      </c>
      <c r="M53" s="401" t="str">
        <f t="shared" si="12"/>
        <v/>
      </c>
    </row>
    <row r="54" spans="2:13" x14ac:dyDescent="0.25">
      <c r="B54" s="58"/>
      <c r="C54" s="65"/>
      <c r="D54" s="15"/>
      <c r="E54" s="15"/>
      <c r="F54" s="24"/>
      <c r="G54" s="411"/>
      <c r="H54" s="17" t="str">
        <f t="shared" si="10"/>
        <v/>
      </c>
      <c r="I54" s="18"/>
      <c r="J54" s="61"/>
      <c r="K54" s="399"/>
      <c r="L54" s="420" t="str">
        <f t="shared" si="11"/>
        <v/>
      </c>
      <c r="M54" s="401" t="str">
        <f t="shared" si="12"/>
        <v/>
      </c>
    </row>
    <row r="55" spans="2:13" x14ac:dyDescent="0.25">
      <c r="B55" s="58"/>
      <c r="C55" s="65"/>
      <c r="D55" s="15"/>
      <c r="E55" s="15"/>
      <c r="F55" s="24"/>
      <c r="G55" s="411"/>
      <c r="H55" s="17" t="str">
        <f t="shared" si="10"/>
        <v/>
      </c>
      <c r="I55" s="18"/>
      <c r="J55" s="61"/>
      <c r="K55" s="399"/>
      <c r="L55" s="420" t="str">
        <f t="shared" si="11"/>
        <v/>
      </c>
      <c r="M55" s="401" t="str">
        <f t="shared" si="12"/>
        <v/>
      </c>
    </row>
    <row r="56" spans="2:13" x14ac:dyDescent="0.25">
      <c r="B56" s="58"/>
      <c r="C56" s="65"/>
      <c r="D56" s="15"/>
      <c r="E56" s="15"/>
      <c r="F56" s="24"/>
      <c r="G56" s="411"/>
      <c r="H56" s="17" t="str">
        <f t="shared" si="10"/>
        <v/>
      </c>
      <c r="I56" s="18"/>
      <c r="J56" s="61"/>
      <c r="K56" s="399"/>
      <c r="L56" s="420" t="str">
        <f t="shared" si="11"/>
        <v/>
      </c>
      <c r="M56" s="401" t="str">
        <f t="shared" si="12"/>
        <v/>
      </c>
    </row>
    <row r="57" spans="2:13" x14ac:dyDescent="0.25">
      <c r="B57" s="58"/>
      <c r="C57" s="65"/>
      <c r="D57" s="15"/>
      <c r="E57" s="15"/>
      <c r="F57" s="24"/>
      <c r="G57" s="411"/>
      <c r="H57" s="17" t="str">
        <f t="shared" si="10"/>
        <v/>
      </c>
      <c r="I57" s="18"/>
      <c r="J57" s="61"/>
      <c r="K57" s="399"/>
      <c r="L57" s="420" t="str">
        <f t="shared" si="11"/>
        <v/>
      </c>
      <c r="M57" s="401" t="str">
        <f t="shared" si="12"/>
        <v/>
      </c>
    </row>
    <row r="58" spans="2:13" x14ac:dyDescent="0.25">
      <c r="B58" s="58"/>
      <c r="C58" s="65"/>
      <c r="D58" s="15"/>
      <c r="E58" s="15"/>
      <c r="F58" s="24"/>
      <c r="G58" s="411"/>
      <c r="H58" s="17" t="str">
        <f t="shared" si="10"/>
        <v/>
      </c>
      <c r="I58" s="18"/>
      <c r="J58" s="61"/>
      <c r="K58" s="399"/>
      <c r="L58" s="420" t="str">
        <f t="shared" si="11"/>
        <v/>
      </c>
      <c r="M58" s="401" t="str">
        <f t="shared" si="12"/>
        <v/>
      </c>
    </row>
    <row r="59" spans="2:13" x14ac:dyDescent="0.25">
      <c r="B59" s="58"/>
      <c r="C59" s="65"/>
      <c r="D59" s="15"/>
      <c r="E59" s="15"/>
      <c r="F59" s="24"/>
      <c r="G59" s="411"/>
      <c r="H59" s="17" t="str">
        <f t="shared" si="10"/>
        <v/>
      </c>
      <c r="I59" s="18"/>
      <c r="J59" s="61"/>
      <c r="K59" s="399"/>
      <c r="L59" s="420" t="str">
        <f t="shared" si="11"/>
        <v/>
      </c>
      <c r="M59" s="401" t="str">
        <f t="shared" si="12"/>
        <v/>
      </c>
    </row>
    <row r="60" spans="2:13" x14ac:dyDescent="0.25">
      <c r="B60" s="58"/>
      <c r="C60" s="65"/>
      <c r="D60" s="15"/>
      <c r="E60" s="15"/>
      <c r="F60" s="24"/>
      <c r="G60" s="411"/>
      <c r="H60" s="17" t="str">
        <f t="shared" si="10"/>
        <v/>
      </c>
      <c r="I60" s="18"/>
      <c r="J60" s="61"/>
      <c r="K60" s="399"/>
      <c r="L60" s="420" t="str">
        <f t="shared" si="11"/>
        <v/>
      </c>
      <c r="M60" s="401" t="str">
        <f t="shared" si="12"/>
        <v/>
      </c>
    </row>
    <row r="61" spans="2:13" x14ac:dyDescent="0.25">
      <c r="B61" s="58"/>
      <c r="C61" s="786"/>
      <c r="D61" s="15"/>
      <c r="E61" s="15"/>
      <c r="F61" s="24"/>
      <c r="G61" s="411"/>
      <c r="H61" s="17" t="str">
        <f t="shared" si="10"/>
        <v/>
      </c>
      <c r="I61" s="18"/>
      <c r="J61" s="61"/>
      <c r="K61" s="399"/>
      <c r="L61" s="420" t="str">
        <f t="shared" si="11"/>
        <v/>
      </c>
      <c r="M61" s="401" t="str">
        <f t="shared" si="12"/>
        <v/>
      </c>
    </row>
    <row r="62" spans="2:13" x14ac:dyDescent="0.25">
      <c r="B62" s="58"/>
      <c r="C62" s="786"/>
      <c r="D62" s="15"/>
      <c r="E62" s="15"/>
      <c r="F62" s="24"/>
      <c r="G62" s="411"/>
      <c r="H62" s="17" t="str">
        <f t="shared" si="10"/>
        <v/>
      </c>
      <c r="I62" s="18"/>
      <c r="J62" s="61"/>
      <c r="K62" s="399"/>
      <c r="L62" s="420" t="str">
        <f t="shared" si="11"/>
        <v/>
      </c>
      <c r="M62" s="401" t="str">
        <f t="shared" si="12"/>
        <v/>
      </c>
    </row>
    <row r="63" spans="2:13" x14ac:dyDescent="0.25">
      <c r="B63" s="58"/>
      <c r="C63" s="786"/>
      <c r="D63" s="15"/>
      <c r="E63" s="15"/>
      <c r="F63" s="24"/>
      <c r="G63" s="422"/>
      <c r="H63" s="17" t="str">
        <f t="shared" si="10"/>
        <v/>
      </c>
      <c r="I63" s="57"/>
      <c r="J63" s="62"/>
      <c r="K63" s="62"/>
      <c r="L63" s="420" t="str">
        <f t="shared" si="11"/>
        <v/>
      </c>
      <c r="M63" s="401" t="str">
        <f t="shared" si="12"/>
        <v/>
      </c>
    </row>
    <row r="64" spans="2:13" x14ac:dyDescent="0.25">
      <c r="B64" s="58"/>
      <c r="C64" s="65"/>
      <c r="D64" s="15"/>
      <c r="E64" s="15"/>
      <c r="F64" s="24"/>
      <c r="G64" s="422"/>
      <c r="H64" s="17" t="str">
        <f t="shared" si="10"/>
        <v/>
      </c>
      <c r="I64" s="57"/>
      <c r="J64" s="62"/>
      <c r="K64" s="62"/>
      <c r="L64" s="420" t="str">
        <f t="shared" si="11"/>
        <v/>
      </c>
      <c r="M64" s="401" t="str">
        <f t="shared" si="12"/>
        <v/>
      </c>
    </row>
    <row r="65" spans="2:13" x14ac:dyDescent="0.25">
      <c r="B65" s="58"/>
      <c r="C65" s="65"/>
      <c r="D65" s="15"/>
      <c r="E65" s="15"/>
      <c r="F65" s="24"/>
      <c r="G65" s="422"/>
      <c r="H65" s="17" t="str">
        <f t="shared" si="10"/>
        <v/>
      </c>
      <c r="I65" s="57"/>
      <c r="J65" s="62"/>
      <c r="K65" s="62"/>
      <c r="L65" s="420" t="str">
        <f t="shared" si="11"/>
        <v/>
      </c>
      <c r="M65" s="401" t="str">
        <f t="shared" si="12"/>
        <v/>
      </c>
    </row>
    <row r="66" spans="2:13" x14ac:dyDescent="0.25">
      <c r="B66" s="58"/>
      <c r="C66" s="65"/>
      <c r="D66" s="15"/>
      <c r="E66" s="15"/>
      <c r="F66" s="24"/>
      <c r="G66" s="422"/>
      <c r="H66" s="17" t="str">
        <f t="shared" si="10"/>
        <v/>
      </c>
      <c r="I66" s="57"/>
      <c r="J66" s="62"/>
      <c r="K66" s="62"/>
      <c r="L66" s="420" t="str">
        <f t="shared" si="11"/>
        <v/>
      </c>
      <c r="M66" s="401" t="str">
        <f t="shared" si="12"/>
        <v/>
      </c>
    </row>
    <row r="67" spans="2:13" x14ac:dyDescent="0.25">
      <c r="B67" s="58"/>
      <c r="C67" s="65"/>
      <c r="D67" s="15"/>
      <c r="E67" s="15"/>
      <c r="F67" s="24"/>
      <c r="G67" s="422"/>
      <c r="H67" s="17" t="str">
        <f t="shared" si="10"/>
        <v/>
      </c>
      <c r="I67" s="57"/>
      <c r="J67" s="61"/>
      <c r="K67" s="695"/>
      <c r="L67" s="420" t="str">
        <f t="shared" si="11"/>
        <v/>
      </c>
      <c r="M67" s="401" t="str">
        <f t="shared" si="12"/>
        <v/>
      </c>
    </row>
    <row r="68" spans="2:13" x14ac:dyDescent="0.25">
      <c r="B68" s="58"/>
      <c r="C68" s="65"/>
      <c r="D68" s="15"/>
      <c r="E68" s="15"/>
      <c r="F68" s="24"/>
      <c r="G68" s="422"/>
      <c r="H68" s="17" t="str">
        <f t="shared" si="10"/>
        <v/>
      </c>
      <c r="I68" s="57"/>
      <c r="J68" s="61"/>
      <c r="K68" s="696"/>
      <c r="L68" s="420" t="str">
        <f t="shared" si="11"/>
        <v/>
      </c>
      <c r="M68" s="401" t="str">
        <f t="shared" si="12"/>
        <v/>
      </c>
    </row>
    <row r="69" spans="2:13" s="28" customFormat="1" ht="19.5" customHeight="1" x14ac:dyDescent="0.25">
      <c r="B69" s="135" t="str">
        <f>$B$12</f>
        <v>C5.3</v>
      </c>
      <c r="C69" s="498" t="str">
        <f>"TOTAL CARRIED FORWARD"&amp;IF(H69=H$1," TO SUMMARY (Page C"&amp;Page_A&amp;")","")</f>
        <v>TOTAL CARRIED FORWARD TO SUMMARY (Page C48)</v>
      </c>
      <c r="D69" s="31"/>
      <c r="E69" s="31"/>
      <c r="F69" s="32"/>
      <c r="G69" s="31"/>
      <c r="H69" s="33">
        <f>SUM(H11:H68)</f>
        <v>1631000</v>
      </c>
      <c r="I69" s="34"/>
      <c r="J69" s="408"/>
      <c r="K69" s="406"/>
      <c r="L69" s="418">
        <f>SUM(L11:L68)</f>
        <v>39880</v>
      </c>
      <c r="M69" s="407" t="str">
        <f t="shared" si="12"/>
        <v/>
      </c>
    </row>
    <row r="70" spans="2:13" ht="13" x14ac:dyDescent="0.25">
      <c r="B70" s="1108" t="str">
        <f>Client1</f>
        <v>Province of KwaZulu-Natal</v>
      </c>
      <c r="C70" s="1108"/>
      <c r="D70" s="1108"/>
      <c r="E70" s="87"/>
      <c r="F70" s="1109" t="str">
        <f>"Contract No. "&amp;ContractNo</f>
        <v>Contract No. ZNB 00399/00000/HOD/INF/21/T</v>
      </c>
      <c r="G70" s="1109"/>
      <c r="H70" s="1109"/>
    </row>
    <row r="71" spans="2:13" ht="13" x14ac:dyDescent="0.25">
      <c r="B71" s="1108" t="str">
        <f>Client2</f>
        <v>Department of Transport</v>
      </c>
      <c r="C71" s="1108"/>
      <c r="D71" s="1108"/>
      <c r="E71" s="87"/>
      <c r="F71" s="1109"/>
      <c r="G71" s="1109"/>
      <c r="H71" s="1109"/>
    </row>
    <row r="72" spans="2:13" x14ac:dyDescent="0.25">
      <c r="B72" s="1111"/>
      <c r="C72" s="1111"/>
      <c r="D72" s="1111"/>
      <c r="E72" s="78"/>
      <c r="F72" s="1110"/>
      <c r="G72" s="1110"/>
      <c r="H72" s="1110"/>
    </row>
    <row r="73" spans="2:13" ht="13" x14ac:dyDescent="0.25">
      <c r="B73" s="1112" t="s">
        <v>8</v>
      </c>
      <c r="C73" s="1113"/>
      <c r="D73" s="1113"/>
      <c r="E73" s="1113"/>
      <c r="F73" s="1113"/>
      <c r="G73" s="1113"/>
      <c r="H73" s="1125" t="str">
        <f>$H$6</f>
        <v>CHAPTER C5.3</v>
      </c>
      <c r="I73" s="6"/>
    </row>
    <row r="74" spans="2:13" ht="13" x14ac:dyDescent="0.25">
      <c r="B74" s="1117" t="str">
        <f>ContractDescription</f>
        <v>THE CONSTRUCTION OF EARTHWORKS, LAYERWORKS, SURFACING, CULVERTS AND CWAKA RIVER BRIDGE FROM KM 11.600 TO KM 14.000 ON MAIN ROAD P494 IN THE KING CETSHWAYO DISTRICT UNDER EMPANGENI REGION</v>
      </c>
      <c r="C74" s="1118"/>
      <c r="D74" s="1118"/>
      <c r="E74" s="1118"/>
      <c r="F74" s="1118"/>
      <c r="G74" s="1118"/>
      <c r="H74" s="1126"/>
      <c r="I74" s="8"/>
    </row>
    <row r="75" spans="2:13" ht="13" x14ac:dyDescent="0.25">
      <c r="B75" s="1117"/>
      <c r="C75" s="1118"/>
      <c r="D75" s="1118"/>
      <c r="E75" s="1118"/>
      <c r="F75" s="1118"/>
      <c r="G75" s="1118"/>
      <c r="H75" s="1126"/>
      <c r="I75" s="8"/>
    </row>
    <row r="76" spans="2:13" ht="13" x14ac:dyDescent="0.25">
      <c r="B76" s="1119"/>
      <c r="C76" s="1120"/>
      <c r="D76" s="1120"/>
      <c r="E76" s="1120"/>
      <c r="F76" s="1120"/>
      <c r="G76" s="1120"/>
      <c r="H76" s="1127"/>
      <c r="I76" s="8"/>
    </row>
    <row r="77" spans="2:13" s="9" customFormat="1" ht="25" customHeight="1" x14ac:dyDescent="0.25">
      <c r="B77" s="74" t="s">
        <v>0</v>
      </c>
      <c r="C77" s="11" t="s">
        <v>1</v>
      </c>
      <c r="D77" s="11" t="s">
        <v>2</v>
      </c>
      <c r="E77" s="11"/>
      <c r="F77" s="11" t="s">
        <v>3</v>
      </c>
      <c r="G77" s="11" t="s">
        <v>4</v>
      </c>
      <c r="H77" s="11" t="s">
        <v>5</v>
      </c>
      <c r="I77" s="12"/>
      <c r="J77" s="408" t="s">
        <v>996</v>
      </c>
      <c r="K77" s="253" t="s">
        <v>997</v>
      </c>
      <c r="L77" s="253" t="s">
        <v>998</v>
      </c>
      <c r="M77" s="253" t="s">
        <v>999</v>
      </c>
    </row>
    <row r="78" spans="2:13" s="28" customFormat="1" ht="19.5" customHeight="1" x14ac:dyDescent="0.25">
      <c r="B78" s="80"/>
      <c r="C78" s="30" t="s">
        <v>27</v>
      </c>
      <c r="D78" s="31"/>
      <c r="E78" s="31"/>
      <c r="F78" s="32"/>
      <c r="G78" s="31"/>
      <c r="H78" s="33">
        <f>H69</f>
        <v>1631000</v>
      </c>
      <c r="I78" s="34"/>
      <c r="J78" s="416"/>
      <c r="K78" s="409"/>
      <c r="L78" s="419">
        <f>L69</f>
        <v>39880</v>
      </c>
      <c r="M78" s="410"/>
    </row>
    <row r="79" spans="2:13" x14ac:dyDescent="0.25">
      <c r="B79" s="58"/>
      <c r="C79" s="14"/>
      <c r="D79" s="15"/>
      <c r="E79" s="15"/>
      <c r="F79" s="24"/>
      <c r="G79" s="422"/>
      <c r="H79" s="17"/>
      <c r="I79" s="57"/>
      <c r="J79" s="61"/>
      <c r="K79" s="399"/>
      <c r="L79" s="420" t="str">
        <f t="shared" ref="L79:L113" si="13">IF(J79="","",F79*K79)</f>
        <v/>
      </c>
      <c r="M79" s="401" t="str">
        <f t="shared" ref="M79:M113" si="14">IF(J79="","",IF(SUM(H79)=0,"",L79/H79))</f>
        <v/>
      </c>
    </row>
    <row r="80" spans="2:13" x14ac:dyDescent="0.25">
      <c r="B80" s="58"/>
      <c r="C80" s="14"/>
      <c r="D80" s="15"/>
      <c r="E80" s="15"/>
      <c r="F80" s="24"/>
      <c r="G80" s="411"/>
      <c r="H80" s="17" t="str">
        <f t="shared" ref="H80:H120" si="15">IF(D80="","",F80*G80)</f>
        <v/>
      </c>
      <c r="I80" s="18"/>
      <c r="J80" s="61"/>
      <c r="K80" s="399"/>
      <c r="L80" s="420" t="str">
        <f t="shared" si="13"/>
        <v/>
      </c>
      <c r="M80" s="401" t="str">
        <f t="shared" si="14"/>
        <v/>
      </c>
    </row>
    <row r="81" spans="2:13" x14ac:dyDescent="0.25">
      <c r="B81" s="58"/>
      <c r="C81" s="14"/>
      <c r="D81" s="15"/>
      <c r="E81" s="15"/>
      <c r="F81" s="24"/>
      <c r="G81" s="411"/>
      <c r="H81" s="17" t="str">
        <f t="shared" si="15"/>
        <v/>
      </c>
      <c r="I81" s="18"/>
      <c r="J81" s="61"/>
      <c r="K81" s="399"/>
      <c r="L81" s="420" t="str">
        <f t="shared" si="13"/>
        <v/>
      </c>
      <c r="M81" s="401" t="str">
        <f t="shared" si="14"/>
        <v/>
      </c>
    </row>
    <row r="82" spans="2:13" x14ac:dyDescent="0.25">
      <c r="B82" s="58"/>
      <c r="C82" s="14"/>
      <c r="D82" s="15"/>
      <c r="E82" s="15"/>
      <c r="F82" s="24"/>
      <c r="G82" s="411"/>
      <c r="H82" s="17" t="str">
        <f t="shared" si="15"/>
        <v/>
      </c>
      <c r="I82" s="18"/>
      <c r="J82" s="61"/>
      <c r="K82" s="399"/>
      <c r="L82" s="420" t="str">
        <f t="shared" si="13"/>
        <v/>
      </c>
      <c r="M82" s="401" t="str">
        <f t="shared" si="14"/>
        <v/>
      </c>
    </row>
    <row r="83" spans="2:13" x14ac:dyDescent="0.25">
      <c r="B83" s="58"/>
      <c r="C83" s="14"/>
      <c r="D83" s="15"/>
      <c r="E83" s="15"/>
      <c r="F83" s="24"/>
      <c r="G83" s="411"/>
      <c r="H83" s="17" t="str">
        <f t="shared" si="15"/>
        <v/>
      </c>
      <c r="I83" s="18"/>
      <c r="J83" s="61"/>
      <c r="K83" s="400"/>
      <c r="L83" s="420" t="str">
        <f t="shared" si="13"/>
        <v/>
      </c>
      <c r="M83" s="401" t="str">
        <f t="shared" si="14"/>
        <v/>
      </c>
    </row>
    <row r="84" spans="2:13" x14ac:dyDescent="0.25">
      <c r="B84" s="58"/>
      <c r="C84" s="14"/>
      <c r="D84" s="15"/>
      <c r="E84" s="15"/>
      <c r="F84" s="24"/>
      <c r="G84" s="423"/>
      <c r="H84" s="17" t="str">
        <f t="shared" si="15"/>
        <v/>
      </c>
      <c r="I84" s="18"/>
      <c r="J84" s="61"/>
      <c r="K84" s="399"/>
      <c r="L84" s="420" t="str">
        <f t="shared" si="13"/>
        <v/>
      </c>
      <c r="M84" s="401" t="str">
        <f t="shared" si="14"/>
        <v/>
      </c>
    </row>
    <row r="85" spans="2:13" x14ac:dyDescent="0.25">
      <c r="B85" s="58"/>
      <c r="C85" s="14"/>
      <c r="D85" s="15"/>
      <c r="E85" s="15"/>
      <c r="F85" s="24"/>
      <c r="G85" s="423"/>
      <c r="H85" s="17" t="str">
        <f t="shared" si="15"/>
        <v/>
      </c>
      <c r="I85" s="18"/>
      <c r="J85" s="61"/>
      <c r="K85" s="399"/>
      <c r="L85" s="420" t="str">
        <f t="shared" si="13"/>
        <v/>
      </c>
      <c r="M85" s="401" t="str">
        <f t="shared" si="14"/>
        <v/>
      </c>
    </row>
    <row r="86" spans="2:13" x14ac:dyDescent="0.25">
      <c r="B86" s="58"/>
      <c r="C86" s="14"/>
      <c r="D86" s="15"/>
      <c r="E86" s="15"/>
      <c r="F86" s="24"/>
      <c r="G86" s="423"/>
      <c r="H86" s="17" t="str">
        <f t="shared" si="15"/>
        <v/>
      </c>
      <c r="I86" s="18"/>
      <c r="J86" s="61"/>
      <c r="K86" s="399"/>
      <c r="L86" s="420" t="str">
        <f t="shared" si="13"/>
        <v/>
      </c>
      <c r="M86" s="401" t="str">
        <f t="shared" si="14"/>
        <v/>
      </c>
    </row>
    <row r="87" spans="2:13" x14ac:dyDescent="0.25">
      <c r="B87" s="58"/>
      <c r="C87" s="14"/>
      <c r="D87" s="15"/>
      <c r="E87" s="15"/>
      <c r="F87" s="24"/>
      <c r="G87" s="423"/>
      <c r="H87" s="17" t="str">
        <f t="shared" si="15"/>
        <v/>
      </c>
      <c r="I87" s="18"/>
      <c r="J87" s="61"/>
      <c r="K87" s="402"/>
      <c r="L87" s="420" t="str">
        <f t="shared" si="13"/>
        <v/>
      </c>
      <c r="M87" s="401" t="str">
        <f t="shared" si="14"/>
        <v/>
      </c>
    </row>
    <row r="88" spans="2:13" x14ac:dyDescent="0.25">
      <c r="B88" s="58"/>
      <c r="C88" s="14"/>
      <c r="D88" s="15"/>
      <c r="E88" s="15"/>
      <c r="F88" s="15"/>
      <c r="G88" s="411"/>
      <c r="H88" s="17" t="str">
        <f t="shared" si="15"/>
        <v/>
      </c>
      <c r="I88" s="18"/>
      <c r="J88" s="61"/>
      <c r="K88" s="402"/>
      <c r="L88" s="420" t="str">
        <f t="shared" si="13"/>
        <v/>
      </c>
      <c r="M88" s="401" t="str">
        <f t="shared" si="14"/>
        <v/>
      </c>
    </row>
    <row r="89" spans="2:13" x14ac:dyDescent="0.25">
      <c r="B89" s="58"/>
      <c r="C89" s="14"/>
      <c r="D89" s="15"/>
      <c r="E89" s="15"/>
      <c r="F89" s="15"/>
      <c r="G89" s="411"/>
      <c r="H89" s="17" t="str">
        <f t="shared" si="15"/>
        <v/>
      </c>
      <c r="I89" s="18"/>
      <c r="J89" s="61"/>
      <c r="K89" s="402"/>
      <c r="L89" s="420" t="str">
        <f t="shared" si="13"/>
        <v/>
      </c>
      <c r="M89" s="401" t="str">
        <f t="shared" si="14"/>
        <v/>
      </c>
    </row>
    <row r="90" spans="2:13" x14ac:dyDescent="0.25">
      <c r="B90" s="58"/>
      <c r="C90" s="14"/>
      <c r="D90" s="15"/>
      <c r="E90" s="15"/>
      <c r="F90" s="15"/>
      <c r="G90" s="411"/>
      <c r="H90" s="17" t="str">
        <f t="shared" si="15"/>
        <v/>
      </c>
      <c r="I90" s="18"/>
      <c r="J90" s="61"/>
      <c r="K90" s="402"/>
      <c r="L90" s="420" t="str">
        <f t="shared" si="13"/>
        <v/>
      </c>
      <c r="M90" s="401" t="str">
        <f t="shared" si="14"/>
        <v/>
      </c>
    </row>
    <row r="91" spans="2:13" x14ac:dyDescent="0.25">
      <c r="B91" s="58"/>
      <c r="C91" s="14"/>
      <c r="D91" s="15"/>
      <c r="E91" s="15"/>
      <c r="F91" s="15"/>
      <c r="G91" s="411"/>
      <c r="H91" s="17" t="str">
        <f t="shared" si="15"/>
        <v/>
      </c>
      <c r="I91" s="18"/>
      <c r="J91" s="61"/>
      <c r="K91" s="402"/>
      <c r="L91" s="420" t="str">
        <f t="shared" si="13"/>
        <v/>
      </c>
      <c r="M91" s="401" t="str">
        <f t="shared" si="14"/>
        <v/>
      </c>
    </row>
    <row r="92" spans="2:13" x14ac:dyDescent="0.25">
      <c r="B92" s="58"/>
      <c r="C92" s="14"/>
      <c r="D92" s="15"/>
      <c r="E92" s="15"/>
      <c r="F92" s="15"/>
      <c r="G92" s="422"/>
      <c r="H92" s="17" t="str">
        <f t="shared" si="15"/>
        <v/>
      </c>
      <c r="I92" s="18"/>
      <c r="J92" s="61"/>
      <c r="K92" s="402"/>
      <c r="L92" s="420" t="str">
        <f t="shared" si="13"/>
        <v/>
      </c>
      <c r="M92" s="401" t="str">
        <f t="shared" si="14"/>
        <v/>
      </c>
    </row>
    <row r="93" spans="2:13" x14ac:dyDescent="0.25">
      <c r="B93" s="58"/>
      <c r="C93" s="14"/>
      <c r="D93" s="15"/>
      <c r="E93" s="15"/>
      <c r="F93" s="15"/>
      <c r="G93" s="422"/>
      <c r="H93" s="17" t="str">
        <f t="shared" si="15"/>
        <v/>
      </c>
      <c r="I93" s="18"/>
      <c r="J93" s="61"/>
      <c r="K93" s="399"/>
      <c r="L93" s="420" t="str">
        <f t="shared" si="13"/>
        <v/>
      </c>
      <c r="M93" s="401" t="str">
        <f t="shared" si="14"/>
        <v/>
      </c>
    </row>
    <row r="94" spans="2:13" x14ac:dyDescent="0.25">
      <c r="B94" s="58"/>
      <c r="C94" s="14"/>
      <c r="D94" s="15"/>
      <c r="E94" s="15"/>
      <c r="F94" s="15"/>
      <c r="G94" s="422"/>
      <c r="H94" s="17" t="str">
        <f t="shared" si="15"/>
        <v/>
      </c>
      <c r="I94" s="18"/>
      <c r="J94" s="61"/>
      <c r="K94" s="399"/>
      <c r="L94" s="420" t="str">
        <f t="shared" si="13"/>
        <v/>
      </c>
      <c r="M94" s="401" t="str">
        <f t="shared" si="14"/>
        <v/>
      </c>
    </row>
    <row r="95" spans="2:13" x14ac:dyDescent="0.25">
      <c r="B95" s="58"/>
      <c r="C95" s="14"/>
      <c r="D95" s="15"/>
      <c r="E95" s="15"/>
      <c r="F95" s="15"/>
      <c r="G95" s="422"/>
      <c r="H95" s="17" t="str">
        <f t="shared" si="15"/>
        <v/>
      </c>
      <c r="I95" s="18"/>
      <c r="J95" s="61"/>
      <c r="K95" s="400"/>
      <c r="L95" s="420" t="str">
        <f t="shared" si="13"/>
        <v/>
      </c>
      <c r="M95" s="401" t="str">
        <f t="shared" si="14"/>
        <v/>
      </c>
    </row>
    <row r="96" spans="2:13" x14ac:dyDescent="0.25">
      <c r="B96" s="58"/>
      <c r="C96" s="14"/>
      <c r="D96" s="15"/>
      <c r="E96" s="15"/>
      <c r="F96" s="15"/>
      <c r="G96" s="422"/>
      <c r="H96" s="17" t="str">
        <f t="shared" si="15"/>
        <v/>
      </c>
      <c r="I96" s="18"/>
      <c r="J96" s="61"/>
      <c r="K96" s="399"/>
      <c r="L96" s="420" t="str">
        <f t="shared" si="13"/>
        <v/>
      </c>
      <c r="M96" s="401" t="str">
        <f t="shared" si="14"/>
        <v/>
      </c>
    </row>
    <row r="97" spans="2:13" x14ac:dyDescent="0.25">
      <c r="B97" s="58"/>
      <c r="C97" s="14"/>
      <c r="D97" s="15"/>
      <c r="E97" s="15"/>
      <c r="F97" s="15"/>
      <c r="G97" s="422"/>
      <c r="H97" s="17" t="str">
        <f t="shared" si="15"/>
        <v/>
      </c>
      <c r="I97" s="18"/>
      <c r="J97" s="61"/>
      <c r="K97" s="399"/>
      <c r="L97" s="420" t="str">
        <f t="shared" si="13"/>
        <v/>
      </c>
      <c r="M97" s="401" t="str">
        <f t="shared" si="14"/>
        <v/>
      </c>
    </row>
    <row r="98" spans="2:13" x14ac:dyDescent="0.25">
      <c r="B98" s="58"/>
      <c r="C98" s="14"/>
      <c r="D98" s="15"/>
      <c r="E98" s="15"/>
      <c r="F98" s="15"/>
      <c r="G98" s="422"/>
      <c r="H98" s="17" t="str">
        <f t="shared" si="15"/>
        <v/>
      </c>
      <c r="I98" s="18"/>
      <c r="J98" s="61"/>
      <c r="K98" s="399"/>
      <c r="L98" s="420" t="str">
        <f t="shared" si="13"/>
        <v/>
      </c>
      <c r="M98" s="401" t="str">
        <f t="shared" si="14"/>
        <v/>
      </c>
    </row>
    <row r="99" spans="2:13" x14ac:dyDescent="0.25">
      <c r="B99" s="58"/>
      <c r="C99" s="14"/>
      <c r="D99" s="15"/>
      <c r="E99" s="15"/>
      <c r="F99" s="15"/>
      <c r="G99" s="422"/>
      <c r="H99" s="17" t="str">
        <f t="shared" si="15"/>
        <v/>
      </c>
      <c r="I99" s="18"/>
      <c r="J99" s="61"/>
      <c r="K99" s="399"/>
      <c r="L99" s="420" t="str">
        <f t="shared" si="13"/>
        <v/>
      </c>
      <c r="M99" s="401" t="str">
        <f t="shared" si="14"/>
        <v/>
      </c>
    </row>
    <row r="100" spans="2:13" x14ac:dyDescent="0.25">
      <c r="B100" s="58"/>
      <c r="C100" s="14"/>
      <c r="D100" s="15"/>
      <c r="E100" s="15"/>
      <c r="F100" s="15"/>
      <c r="G100" s="422"/>
      <c r="H100" s="17" t="str">
        <f t="shared" si="15"/>
        <v/>
      </c>
      <c r="I100" s="18"/>
      <c r="J100" s="61"/>
      <c r="K100" s="399"/>
      <c r="L100" s="420" t="str">
        <f t="shared" si="13"/>
        <v/>
      </c>
      <c r="M100" s="401" t="str">
        <f t="shared" si="14"/>
        <v/>
      </c>
    </row>
    <row r="101" spans="2:13" x14ac:dyDescent="0.25">
      <c r="B101" s="58"/>
      <c r="C101" s="14"/>
      <c r="D101" s="15"/>
      <c r="E101" s="15"/>
      <c r="F101" s="15"/>
      <c r="G101" s="422"/>
      <c r="H101" s="17" t="str">
        <f t="shared" si="15"/>
        <v/>
      </c>
      <c r="I101" s="18"/>
      <c r="J101" s="61"/>
      <c r="K101" s="400"/>
      <c r="L101" s="420" t="str">
        <f t="shared" si="13"/>
        <v/>
      </c>
      <c r="M101" s="401" t="str">
        <f t="shared" si="14"/>
        <v/>
      </c>
    </row>
    <row r="102" spans="2:13" x14ac:dyDescent="0.25">
      <c r="B102" s="58"/>
      <c r="C102" s="14"/>
      <c r="D102" s="15"/>
      <c r="E102" s="15"/>
      <c r="F102" s="15"/>
      <c r="G102" s="422"/>
      <c r="H102" s="17" t="str">
        <f t="shared" si="15"/>
        <v/>
      </c>
      <c r="I102" s="18"/>
      <c r="J102" s="61"/>
      <c r="K102" s="399"/>
      <c r="L102" s="420" t="str">
        <f t="shared" si="13"/>
        <v/>
      </c>
      <c r="M102" s="401" t="str">
        <f t="shared" si="14"/>
        <v/>
      </c>
    </row>
    <row r="103" spans="2:13" x14ac:dyDescent="0.25">
      <c r="B103" s="58"/>
      <c r="C103" s="14"/>
      <c r="D103" s="15"/>
      <c r="E103" s="15"/>
      <c r="F103" s="15"/>
      <c r="G103" s="422"/>
      <c r="H103" s="17" t="str">
        <f t="shared" si="15"/>
        <v/>
      </c>
      <c r="I103" s="18"/>
      <c r="J103" s="61"/>
      <c r="K103" s="399"/>
      <c r="L103" s="420" t="str">
        <f t="shared" si="13"/>
        <v/>
      </c>
      <c r="M103" s="401" t="str">
        <f t="shared" si="14"/>
        <v/>
      </c>
    </row>
    <row r="104" spans="2:13" x14ac:dyDescent="0.25">
      <c r="B104" s="58"/>
      <c r="C104" s="14"/>
      <c r="D104" s="15"/>
      <c r="E104" s="15"/>
      <c r="F104" s="15"/>
      <c r="G104" s="422"/>
      <c r="H104" s="17" t="str">
        <f t="shared" si="15"/>
        <v/>
      </c>
      <c r="I104" s="18"/>
      <c r="J104" s="61"/>
      <c r="K104" s="399"/>
      <c r="L104" s="420" t="str">
        <f t="shared" si="13"/>
        <v/>
      </c>
      <c r="M104" s="401" t="str">
        <f t="shared" si="14"/>
        <v/>
      </c>
    </row>
    <row r="105" spans="2:13" x14ac:dyDescent="0.25">
      <c r="B105" s="58"/>
      <c r="C105" s="14"/>
      <c r="D105" s="15"/>
      <c r="E105" s="15"/>
      <c r="F105" s="15"/>
      <c r="G105" s="422"/>
      <c r="H105" s="17" t="str">
        <f t="shared" si="15"/>
        <v/>
      </c>
      <c r="I105" s="18"/>
      <c r="J105" s="61"/>
      <c r="K105" s="399"/>
      <c r="L105" s="420" t="str">
        <f t="shared" si="13"/>
        <v/>
      </c>
      <c r="M105" s="401" t="str">
        <f t="shared" si="14"/>
        <v/>
      </c>
    </row>
    <row r="106" spans="2:13" x14ac:dyDescent="0.25">
      <c r="B106" s="58"/>
      <c r="C106" s="14"/>
      <c r="D106" s="15"/>
      <c r="E106" s="15"/>
      <c r="F106" s="15"/>
      <c r="G106" s="424"/>
      <c r="H106" s="17" t="str">
        <f t="shared" si="15"/>
        <v/>
      </c>
      <c r="I106" s="18"/>
      <c r="J106" s="61"/>
      <c r="K106" s="399"/>
      <c r="L106" s="420" t="str">
        <f t="shared" si="13"/>
        <v/>
      </c>
      <c r="M106" s="401" t="str">
        <f t="shared" si="14"/>
        <v/>
      </c>
    </row>
    <row r="107" spans="2:13" x14ac:dyDescent="0.25">
      <c r="B107" s="58"/>
      <c r="C107" s="14"/>
      <c r="D107" s="15"/>
      <c r="E107" s="15"/>
      <c r="F107" s="15"/>
      <c r="G107" s="424"/>
      <c r="H107" s="17" t="str">
        <f t="shared" si="15"/>
        <v/>
      </c>
      <c r="I107" s="18"/>
      <c r="J107" s="61"/>
      <c r="K107" s="399"/>
      <c r="L107" s="420" t="str">
        <f t="shared" si="13"/>
        <v/>
      </c>
      <c r="M107" s="401" t="str">
        <f t="shared" si="14"/>
        <v/>
      </c>
    </row>
    <row r="108" spans="2:13" x14ac:dyDescent="0.25">
      <c r="B108" s="58"/>
      <c r="C108" s="14"/>
      <c r="D108" s="15"/>
      <c r="E108" s="15"/>
      <c r="F108" s="15"/>
      <c r="G108" s="424"/>
      <c r="H108" s="17" t="str">
        <f t="shared" si="15"/>
        <v/>
      </c>
      <c r="I108" s="18"/>
      <c r="J108" s="61"/>
      <c r="K108" s="399"/>
      <c r="L108" s="420" t="str">
        <f t="shared" si="13"/>
        <v/>
      </c>
      <c r="M108" s="401" t="str">
        <f t="shared" si="14"/>
        <v/>
      </c>
    </row>
    <row r="109" spans="2:13" x14ac:dyDescent="0.25">
      <c r="B109" s="58"/>
      <c r="C109" s="14"/>
      <c r="D109" s="15"/>
      <c r="E109" s="15"/>
      <c r="F109" s="15"/>
      <c r="G109" s="424"/>
      <c r="H109" s="17" t="str">
        <f t="shared" si="15"/>
        <v/>
      </c>
      <c r="I109" s="18"/>
      <c r="J109" s="61"/>
      <c r="K109" s="399"/>
      <c r="L109" s="420" t="str">
        <f t="shared" si="13"/>
        <v/>
      </c>
      <c r="M109" s="401" t="str">
        <f t="shared" si="14"/>
        <v/>
      </c>
    </row>
    <row r="110" spans="2:13" x14ac:dyDescent="0.25">
      <c r="B110" s="58"/>
      <c r="C110" s="14"/>
      <c r="D110" s="15"/>
      <c r="E110" s="15"/>
      <c r="F110" s="15"/>
      <c r="G110" s="422"/>
      <c r="H110" s="17" t="str">
        <f t="shared" si="15"/>
        <v/>
      </c>
      <c r="I110" s="18"/>
      <c r="J110" s="61"/>
      <c r="K110" s="399"/>
      <c r="L110" s="420" t="str">
        <f t="shared" si="13"/>
        <v/>
      </c>
      <c r="M110" s="401" t="str">
        <f t="shared" si="14"/>
        <v/>
      </c>
    </row>
    <row r="111" spans="2:13" x14ac:dyDescent="0.25">
      <c r="B111" s="58"/>
      <c r="C111" s="14"/>
      <c r="D111" s="15"/>
      <c r="E111" s="15"/>
      <c r="F111" s="15"/>
      <c r="G111" s="422"/>
      <c r="H111" s="17" t="str">
        <f t="shared" si="15"/>
        <v/>
      </c>
      <c r="I111" s="18"/>
      <c r="J111" s="61"/>
      <c r="K111" s="399"/>
      <c r="L111" s="420" t="str">
        <f t="shared" si="13"/>
        <v/>
      </c>
      <c r="M111" s="401" t="str">
        <f t="shared" si="14"/>
        <v/>
      </c>
    </row>
    <row r="112" spans="2:13" x14ac:dyDescent="0.25">
      <c r="B112" s="58"/>
      <c r="C112" s="14"/>
      <c r="D112" s="15"/>
      <c r="E112" s="15"/>
      <c r="F112" s="15"/>
      <c r="G112" s="422"/>
      <c r="H112" s="17" t="str">
        <f t="shared" si="15"/>
        <v/>
      </c>
      <c r="I112" s="18"/>
      <c r="J112" s="61"/>
      <c r="K112" s="399"/>
      <c r="L112" s="420" t="str">
        <f t="shared" si="13"/>
        <v/>
      </c>
      <c r="M112" s="401" t="str">
        <f t="shared" si="14"/>
        <v/>
      </c>
    </row>
    <row r="113" spans="2:13" x14ac:dyDescent="0.25">
      <c r="B113" s="58"/>
      <c r="C113" s="14"/>
      <c r="D113" s="15"/>
      <c r="E113" s="15"/>
      <c r="F113" s="15"/>
      <c r="G113" s="422"/>
      <c r="H113" s="17" t="str">
        <f t="shared" si="15"/>
        <v/>
      </c>
      <c r="I113" s="18"/>
      <c r="J113" s="61"/>
      <c r="K113" s="402"/>
      <c r="L113" s="420" t="str">
        <f t="shared" si="13"/>
        <v/>
      </c>
      <c r="M113" s="401" t="str">
        <f t="shared" si="14"/>
        <v/>
      </c>
    </row>
    <row r="114" spans="2:13" x14ac:dyDescent="0.25">
      <c r="B114" s="58"/>
      <c r="C114" s="14"/>
      <c r="D114" s="15"/>
      <c r="E114" s="15"/>
      <c r="F114" s="15"/>
      <c r="G114" s="422"/>
      <c r="H114" s="17" t="str">
        <f t="shared" si="15"/>
        <v/>
      </c>
      <c r="I114" s="18"/>
      <c r="J114" s="61"/>
      <c r="K114" s="62"/>
      <c r="L114" s="420" t="str">
        <f t="shared" ref="L114:L121" si="16">IF(J114="","",F124*K114)</f>
        <v/>
      </c>
      <c r="M114" s="401" t="str">
        <f t="shared" ref="M114:M121" si="17">IF(J114="","",IF(SUM(H124)=0,"",L114/H124))</f>
        <v/>
      </c>
    </row>
    <row r="115" spans="2:13" x14ac:dyDescent="0.25">
      <c r="B115" s="58"/>
      <c r="C115" s="14"/>
      <c r="D115" s="15"/>
      <c r="E115" s="15"/>
      <c r="F115" s="15"/>
      <c r="G115" s="422"/>
      <c r="H115" s="17" t="str">
        <f t="shared" si="15"/>
        <v/>
      </c>
      <c r="I115" s="18"/>
      <c r="J115" s="61"/>
      <c r="K115" s="62"/>
      <c r="L115" s="420" t="str">
        <f t="shared" si="16"/>
        <v/>
      </c>
      <c r="M115" s="401" t="str">
        <f t="shared" si="17"/>
        <v/>
      </c>
    </row>
    <row r="116" spans="2:13" x14ac:dyDescent="0.25">
      <c r="B116" s="58"/>
      <c r="C116" s="14"/>
      <c r="D116" s="15"/>
      <c r="E116" s="15"/>
      <c r="F116" s="15"/>
      <c r="G116" s="422"/>
      <c r="H116" s="17" t="str">
        <f t="shared" si="15"/>
        <v/>
      </c>
      <c r="I116" s="18"/>
      <c r="J116" s="62"/>
      <c r="K116" s="62"/>
      <c r="L116" s="420" t="str">
        <f t="shared" si="16"/>
        <v/>
      </c>
      <c r="M116" s="401" t="str">
        <f t="shared" si="17"/>
        <v/>
      </c>
    </row>
    <row r="117" spans="2:13" x14ac:dyDescent="0.25">
      <c r="B117" s="58"/>
      <c r="C117" s="14"/>
      <c r="D117" s="15"/>
      <c r="E117" s="15"/>
      <c r="F117" s="15"/>
      <c r="G117" s="422"/>
      <c r="H117" s="17" t="str">
        <f t="shared" si="15"/>
        <v/>
      </c>
      <c r="I117" s="18"/>
      <c r="J117" s="62"/>
      <c r="K117" s="62"/>
      <c r="L117" s="420" t="str">
        <f t="shared" si="16"/>
        <v/>
      </c>
      <c r="M117" s="401" t="str">
        <f t="shared" si="17"/>
        <v/>
      </c>
    </row>
    <row r="118" spans="2:13" x14ac:dyDescent="0.25">
      <c r="B118" s="58"/>
      <c r="C118" s="14"/>
      <c r="D118" s="15"/>
      <c r="E118" s="15"/>
      <c r="F118" s="15"/>
      <c r="G118" s="422"/>
      <c r="H118" s="17" t="str">
        <f t="shared" si="15"/>
        <v/>
      </c>
      <c r="I118" s="18"/>
      <c r="J118" s="62"/>
      <c r="K118" s="62"/>
      <c r="L118" s="420" t="str">
        <f t="shared" si="16"/>
        <v/>
      </c>
      <c r="M118" s="401" t="str">
        <f t="shared" si="17"/>
        <v/>
      </c>
    </row>
    <row r="119" spans="2:13" x14ac:dyDescent="0.25">
      <c r="B119" s="58"/>
      <c r="C119" s="14"/>
      <c r="D119" s="15"/>
      <c r="E119" s="15"/>
      <c r="F119" s="15"/>
      <c r="G119" s="422"/>
      <c r="H119" s="17" t="str">
        <f t="shared" si="15"/>
        <v/>
      </c>
      <c r="I119" s="18"/>
      <c r="J119" s="62"/>
      <c r="K119" s="62"/>
      <c r="L119" s="420" t="str">
        <f t="shared" si="16"/>
        <v/>
      </c>
      <c r="M119" s="401" t="str">
        <f t="shared" si="17"/>
        <v/>
      </c>
    </row>
    <row r="120" spans="2:13" x14ac:dyDescent="0.25">
      <c r="B120" s="58"/>
      <c r="C120" s="14"/>
      <c r="D120" s="15"/>
      <c r="E120" s="15"/>
      <c r="F120" s="15"/>
      <c r="G120" s="422"/>
      <c r="H120" s="17" t="str">
        <f t="shared" si="15"/>
        <v/>
      </c>
      <c r="I120" s="18"/>
      <c r="J120" s="62"/>
      <c r="K120" s="62"/>
      <c r="L120" s="420" t="str">
        <f t="shared" si="16"/>
        <v/>
      </c>
      <c r="M120" s="401" t="str">
        <f t="shared" si="17"/>
        <v/>
      </c>
    </row>
    <row r="121" spans="2:13" x14ac:dyDescent="0.25">
      <c r="B121" s="58"/>
      <c r="C121" s="14"/>
      <c r="D121" s="15"/>
      <c r="E121" s="15"/>
      <c r="F121" s="15"/>
      <c r="G121" s="422"/>
      <c r="H121" s="17"/>
      <c r="I121" s="18"/>
      <c r="J121" s="62"/>
      <c r="K121" s="62"/>
      <c r="L121" s="420" t="str">
        <f t="shared" si="16"/>
        <v/>
      </c>
      <c r="M121" s="401" t="str">
        <f t="shared" si="17"/>
        <v/>
      </c>
    </row>
    <row r="122" spans="2:13" x14ac:dyDescent="0.25">
      <c r="B122" s="58"/>
      <c r="C122" s="14"/>
      <c r="D122" s="15"/>
      <c r="E122" s="15"/>
      <c r="F122" s="15"/>
      <c r="G122" s="422"/>
      <c r="H122" s="17"/>
      <c r="I122" s="18"/>
      <c r="J122" s="61"/>
      <c r="K122" s="695"/>
      <c r="L122" s="420" t="str">
        <f>IF(J122="","",F136*K122)</f>
        <v/>
      </c>
      <c r="M122" s="401" t="str">
        <f>IF(J122="","",IF(SUM(H136)=0,"",L122/H136))</f>
        <v/>
      </c>
    </row>
    <row r="123" spans="2:13" x14ac:dyDescent="0.25">
      <c r="B123" s="58"/>
      <c r="C123" s="14"/>
      <c r="D123" s="15"/>
      <c r="E123" s="15"/>
      <c r="F123" s="15"/>
      <c r="G123" s="422"/>
      <c r="H123" s="17" t="str">
        <f>IF(D123="","",F123*G123)</f>
        <v/>
      </c>
      <c r="I123" s="18"/>
      <c r="J123" s="61"/>
      <c r="K123" s="696"/>
      <c r="L123" s="420" t="str">
        <f>IF(J123="","",F137*K123)</f>
        <v/>
      </c>
      <c r="M123" s="401" t="str">
        <f>IF(J123="","",IF(SUM(H137)=0,"",L123/H137))</f>
        <v/>
      </c>
    </row>
    <row r="124" spans="2:13" s="28" customFormat="1" ht="19.5" customHeight="1" x14ac:dyDescent="0.25">
      <c r="B124" s="135" t="str">
        <f>$B$12</f>
        <v>C5.3</v>
      </c>
      <c r="C124" s="498" t="str">
        <f>"TOTAL CARRIED FORWARD"&amp;IF(H124=H$1," TO SUMMARY (Page C"&amp;Page_A&amp;")","")</f>
        <v>TOTAL CARRIED FORWARD TO SUMMARY (Page C48)</v>
      </c>
      <c r="D124" s="31"/>
      <c r="E124" s="31"/>
      <c r="F124" s="32"/>
      <c r="G124" s="31"/>
      <c r="H124" s="33">
        <f>SUM(H78:H123)</f>
        <v>1631000</v>
      </c>
      <c r="I124" s="34"/>
      <c r="J124" s="408"/>
      <c r="K124" s="406"/>
      <c r="L124" s="418">
        <f>SUM(L78:L123)</f>
        <v>39880</v>
      </c>
      <c r="M124" s="407" t="str">
        <f>IF(J124="","",IF(SUM(H138)=0,"",L124/H138))</f>
        <v/>
      </c>
    </row>
    <row r="125" spans="2:13" ht="13" x14ac:dyDescent="0.25">
      <c r="B125" s="1108" t="str">
        <f>Client1</f>
        <v>Province of KwaZulu-Natal</v>
      </c>
      <c r="C125" s="1108"/>
      <c r="D125" s="1108"/>
      <c r="E125" s="87"/>
      <c r="F125" s="1109" t="str">
        <f>"Contract No. "&amp;ContractNo</f>
        <v>Contract No. ZNB 00399/00000/HOD/INF/21/T</v>
      </c>
      <c r="G125" s="1109"/>
      <c r="H125" s="1109"/>
    </row>
    <row r="126" spans="2:13" ht="13" x14ac:dyDescent="0.25">
      <c r="B126" s="1108" t="str">
        <f>Client2</f>
        <v>Department of Transport</v>
      </c>
      <c r="C126" s="1108"/>
      <c r="D126" s="1108"/>
      <c r="E126" s="87"/>
      <c r="F126" s="1109"/>
      <c r="G126" s="1109"/>
      <c r="H126" s="1109"/>
    </row>
    <row r="127" spans="2:13" x14ac:dyDescent="0.25">
      <c r="B127" s="1111"/>
      <c r="C127" s="1111"/>
      <c r="D127" s="1111"/>
      <c r="E127" s="78"/>
      <c r="F127" s="1110"/>
      <c r="G127" s="1110"/>
      <c r="H127" s="1110"/>
    </row>
    <row r="128" spans="2:13" ht="13" x14ac:dyDescent="0.25">
      <c r="B128" s="1112" t="s">
        <v>8</v>
      </c>
      <c r="C128" s="1113"/>
      <c r="D128" s="1113"/>
      <c r="E128" s="1113"/>
      <c r="F128" s="1113"/>
      <c r="G128" s="1113"/>
      <c r="H128" s="1125" t="str">
        <f>$H$6</f>
        <v>CHAPTER C5.3</v>
      </c>
      <c r="I128" s="6"/>
    </row>
    <row r="129" spans="2:13" ht="13" x14ac:dyDescent="0.25">
      <c r="B129" s="1117" t="str">
        <f>ContractDescription</f>
        <v>THE CONSTRUCTION OF EARTHWORKS, LAYERWORKS, SURFACING, CULVERTS AND CWAKA RIVER BRIDGE FROM KM 11.600 TO KM 14.000 ON MAIN ROAD P494 IN THE KING CETSHWAYO DISTRICT UNDER EMPANGENI REGION</v>
      </c>
      <c r="C129" s="1118"/>
      <c r="D129" s="1118"/>
      <c r="E129" s="1118"/>
      <c r="F129" s="1118"/>
      <c r="G129" s="1118"/>
      <c r="H129" s="1126"/>
      <c r="I129" s="8"/>
    </row>
    <row r="130" spans="2:13" ht="13" x14ac:dyDescent="0.25">
      <c r="B130" s="1117"/>
      <c r="C130" s="1118"/>
      <c r="D130" s="1118"/>
      <c r="E130" s="1118"/>
      <c r="F130" s="1118"/>
      <c r="G130" s="1118"/>
      <c r="H130" s="1126"/>
      <c r="I130" s="8"/>
    </row>
    <row r="131" spans="2:13" ht="13" x14ac:dyDescent="0.25">
      <c r="B131" s="1119"/>
      <c r="C131" s="1120"/>
      <c r="D131" s="1120"/>
      <c r="E131" s="1120"/>
      <c r="F131" s="1120"/>
      <c r="G131" s="1120"/>
      <c r="H131" s="1127"/>
      <c r="I131" s="8"/>
    </row>
    <row r="132" spans="2:13" s="9" customFormat="1" ht="25" customHeight="1" x14ac:dyDescent="0.25">
      <c r="B132" s="74" t="s">
        <v>0</v>
      </c>
      <c r="C132" s="11" t="s">
        <v>1</v>
      </c>
      <c r="D132" s="11" t="s">
        <v>2</v>
      </c>
      <c r="E132" s="11"/>
      <c r="F132" s="11" t="s">
        <v>3</v>
      </c>
      <c r="G132" s="11" t="s">
        <v>4</v>
      </c>
      <c r="H132" s="11" t="s">
        <v>5</v>
      </c>
      <c r="I132" s="12"/>
      <c r="J132" s="408" t="s">
        <v>996</v>
      </c>
      <c r="K132" s="253" t="s">
        <v>997</v>
      </c>
      <c r="L132" s="253" t="s">
        <v>998</v>
      </c>
      <c r="M132" s="253" t="s">
        <v>999</v>
      </c>
    </row>
    <row r="133" spans="2:13" s="28" customFormat="1" ht="19.5" customHeight="1" x14ac:dyDescent="0.25">
      <c r="B133" s="80"/>
      <c r="C133" s="30" t="s">
        <v>27</v>
      </c>
      <c r="D133" s="31"/>
      <c r="E133" s="31"/>
      <c r="F133" s="32"/>
      <c r="G133" s="31"/>
      <c r="H133" s="33">
        <f>H124</f>
        <v>1631000</v>
      </c>
      <c r="I133" s="34"/>
      <c r="J133" s="416"/>
      <c r="K133" s="409"/>
      <c r="L133" s="419">
        <f>L124</f>
        <v>39880</v>
      </c>
      <c r="M133" s="410"/>
    </row>
    <row r="134" spans="2:13" x14ac:dyDescent="0.25">
      <c r="B134" s="58"/>
      <c r="C134" s="14"/>
      <c r="D134" s="15"/>
      <c r="E134" s="15"/>
      <c r="F134" s="15"/>
      <c r="G134" s="422"/>
      <c r="H134" s="17"/>
      <c r="I134" s="18"/>
      <c r="J134" s="61"/>
      <c r="K134" s="399"/>
      <c r="L134" s="420" t="str">
        <f t="shared" ref="L134:L167" si="18">IF(J134="","",F134*K134)</f>
        <v/>
      </c>
      <c r="M134" s="401" t="str">
        <f t="shared" ref="M134:M167" si="19">IF(J134="","",IF(SUM(H134)=0,"",L134/H134))</f>
        <v/>
      </c>
    </row>
    <row r="135" spans="2:13" x14ac:dyDescent="0.25">
      <c r="B135" s="58"/>
      <c r="C135" s="14"/>
      <c r="D135" s="15"/>
      <c r="E135" s="15"/>
      <c r="F135" s="61"/>
      <c r="G135" s="422"/>
      <c r="H135" s="17" t="str">
        <f t="shared" ref="H135:H181" si="20">IF(D135="","",F135*G135)</f>
        <v/>
      </c>
      <c r="I135" s="63"/>
      <c r="J135" s="61"/>
      <c r="K135" s="399"/>
      <c r="L135" s="420" t="str">
        <f t="shared" si="18"/>
        <v/>
      </c>
      <c r="M135" s="401" t="str">
        <f t="shared" si="19"/>
        <v/>
      </c>
    </row>
    <row r="136" spans="2:13" x14ac:dyDescent="0.25">
      <c r="B136" s="58"/>
      <c r="C136" s="14"/>
      <c r="D136" s="15"/>
      <c r="E136" s="15"/>
      <c r="F136" s="61"/>
      <c r="G136" s="422"/>
      <c r="H136" s="17" t="str">
        <f t="shared" si="20"/>
        <v/>
      </c>
      <c r="I136" s="63"/>
      <c r="J136" s="61"/>
      <c r="K136" s="399"/>
      <c r="L136" s="420" t="str">
        <f t="shared" si="18"/>
        <v/>
      </c>
      <c r="M136" s="401" t="str">
        <f t="shared" si="19"/>
        <v/>
      </c>
    </row>
    <row r="137" spans="2:13" x14ac:dyDescent="0.25">
      <c r="B137" s="58"/>
      <c r="C137" s="14"/>
      <c r="D137" s="15"/>
      <c r="E137" s="15"/>
      <c r="F137" s="15"/>
      <c r="G137" s="422"/>
      <c r="H137" s="17" t="str">
        <f t="shared" si="20"/>
        <v/>
      </c>
      <c r="I137" s="18"/>
      <c r="J137" s="61"/>
      <c r="K137" s="399"/>
      <c r="L137" s="420" t="str">
        <f t="shared" si="18"/>
        <v/>
      </c>
      <c r="M137" s="401" t="str">
        <f t="shared" si="19"/>
        <v/>
      </c>
    </row>
    <row r="138" spans="2:13" x14ac:dyDescent="0.25">
      <c r="B138" s="58"/>
      <c r="C138" s="26"/>
      <c r="D138" s="15"/>
      <c r="E138" s="15"/>
      <c r="F138" s="15"/>
      <c r="G138" s="422"/>
      <c r="H138" s="17" t="str">
        <f t="shared" si="20"/>
        <v/>
      </c>
      <c r="I138" s="18"/>
      <c r="J138" s="61"/>
      <c r="K138" s="400"/>
      <c r="L138" s="420" t="str">
        <f t="shared" si="18"/>
        <v/>
      </c>
      <c r="M138" s="401" t="str">
        <f t="shared" si="19"/>
        <v/>
      </c>
    </row>
    <row r="139" spans="2:13" x14ac:dyDescent="0.25">
      <c r="B139" s="58"/>
      <c r="C139" s="26"/>
      <c r="D139" s="15"/>
      <c r="E139" s="15"/>
      <c r="F139" s="61"/>
      <c r="G139" s="422"/>
      <c r="H139" s="17" t="str">
        <f t="shared" si="20"/>
        <v/>
      </c>
      <c r="I139" s="69"/>
      <c r="J139" s="61"/>
      <c r="K139" s="399"/>
      <c r="L139" s="420" t="str">
        <f t="shared" si="18"/>
        <v/>
      </c>
      <c r="M139" s="401" t="str">
        <f t="shared" si="19"/>
        <v/>
      </c>
    </row>
    <row r="140" spans="2:13" x14ac:dyDescent="0.25">
      <c r="B140" s="58"/>
      <c r="C140" s="26"/>
      <c r="D140" s="15"/>
      <c r="E140" s="15"/>
      <c r="F140" s="61"/>
      <c r="G140" s="422"/>
      <c r="H140" s="17" t="str">
        <f t="shared" si="20"/>
        <v/>
      </c>
      <c r="I140" s="69"/>
      <c r="J140" s="61"/>
      <c r="K140" s="399"/>
      <c r="L140" s="420" t="str">
        <f t="shared" si="18"/>
        <v/>
      </c>
      <c r="M140" s="401" t="str">
        <f t="shared" si="19"/>
        <v/>
      </c>
    </row>
    <row r="141" spans="2:13" x14ac:dyDescent="0.25">
      <c r="B141" s="58"/>
      <c r="C141" s="26"/>
      <c r="D141" s="15"/>
      <c r="E141" s="15"/>
      <c r="F141" s="61"/>
      <c r="G141" s="422"/>
      <c r="H141" s="17" t="str">
        <f t="shared" si="20"/>
        <v/>
      </c>
      <c r="I141" s="63"/>
      <c r="J141" s="61"/>
      <c r="K141" s="399"/>
      <c r="L141" s="420" t="str">
        <f t="shared" si="18"/>
        <v/>
      </c>
      <c r="M141" s="401" t="str">
        <f t="shared" si="19"/>
        <v/>
      </c>
    </row>
    <row r="142" spans="2:13" x14ac:dyDescent="0.25">
      <c r="B142" s="58"/>
      <c r="C142" s="26"/>
      <c r="D142" s="15"/>
      <c r="E142" s="15"/>
      <c r="F142" s="61"/>
      <c r="G142" s="422"/>
      <c r="H142" s="17" t="str">
        <f t="shared" si="20"/>
        <v/>
      </c>
      <c r="I142" s="63"/>
      <c r="J142" s="61"/>
      <c r="K142" s="402"/>
      <c r="L142" s="420" t="str">
        <f t="shared" si="18"/>
        <v/>
      </c>
      <c r="M142" s="401" t="str">
        <f t="shared" si="19"/>
        <v/>
      </c>
    </row>
    <row r="143" spans="2:13" x14ac:dyDescent="0.25">
      <c r="B143" s="58"/>
      <c r="C143" s="26"/>
      <c r="D143" s="15"/>
      <c r="E143" s="15"/>
      <c r="F143" s="15"/>
      <c r="G143" s="422"/>
      <c r="H143" s="17" t="str">
        <f t="shared" si="20"/>
        <v/>
      </c>
      <c r="I143" s="18"/>
      <c r="J143" s="61"/>
      <c r="K143" s="402"/>
      <c r="L143" s="420" t="str">
        <f t="shared" si="18"/>
        <v/>
      </c>
      <c r="M143" s="401" t="str">
        <f t="shared" si="19"/>
        <v/>
      </c>
    </row>
    <row r="144" spans="2:13" x14ac:dyDescent="0.25">
      <c r="B144" s="58"/>
      <c r="C144" s="14"/>
      <c r="D144" s="15"/>
      <c r="E144" s="15"/>
      <c r="F144" s="15"/>
      <c r="G144" s="422"/>
      <c r="H144" s="17" t="str">
        <f t="shared" si="20"/>
        <v/>
      </c>
      <c r="I144" s="18"/>
      <c r="J144" s="61"/>
      <c r="K144" s="402"/>
      <c r="L144" s="420" t="str">
        <f t="shared" si="18"/>
        <v/>
      </c>
      <c r="M144" s="401" t="str">
        <f t="shared" si="19"/>
        <v/>
      </c>
    </row>
    <row r="145" spans="2:13" x14ac:dyDescent="0.25">
      <c r="B145" s="58"/>
      <c r="C145" s="14"/>
      <c r="D145" s="15"/>
      <c r="E145" s="15"/>
      <c r="F145" s="15"/>
      <c r="G145" s="422"/>
      <c r="H145" s="17" t="str">
        <f t="shared" si="20"/>
        <v/>
      </c>
      <c r="I145" s="18"/>
      <c r="J145" s="61"/>
      <c r="K145" s="402"/>
      <c r="L145" s="420" t="str">
        <f t="shared" si="18"/>
        <v/>
      </c>
      <c r="M145" s="401" t="str">
        <f t="shared" si="19"/>
        <v/>
      </c>
    </row>
    <row r="146" spans="2:13" x14ac:dyDescent="0.25">
      <c r="B146" s="58"/>
      <c r="C146" s="14"/>
      <c r="D146" s="15"/>
      <c r="E146" s="15"/>
      <c r="F146" s="15"/>
      <c r="G146" s="422"/>
      <c r="H146" s="17" t="str">
        <f t="shared" si="20"/>
        <v/>
      </c>
      <c r="I146" s="18"/>
      <c r="J146" s="61"/>
      <c r="K146" s="402"/>
      <c r="L146" s="420" t="str">
        <f t="shared" si="18"/>
        <v/>
      </c>
      <c r="M146" s="401" t="str">
        <f t="shared" si="19"/>
        <v/>
      </c>
    </row>
    <row r="147" spans="2:13" x14ac:dyDescent="0.25">
      <c r="B147" s="58"/>
      <c r="C147" s="14"/>
      <c r="D147" s="15"/>
      <c r="E147" s="15"/>
      <c r="F147" s="15"/>
      <c r="G147" s="422"/>
      <c r="H147" s="17" t="str">
        <f t="shared" si="20"/>
        <v/>
      </c>
      <c r="I147" s="18"/>
      <c r="J147" s="61"/>
      <c r="K147" s="402"/>
      <c r="L147" s="420" t="str">
        <f t="shared" si="18"/>
        <v/>
      </c>
      <c r="M147" s="401" t="str">
        <f t="shared" si="19"/>
        <v/>
      </c>
    </row>
    <row r="148" spans="2:13" x14ac:dyDescent="0.25">
      <c r="B148" s="58"/>
      <c r="C148" s="14"/>
      <c r="D148" s="15"/>
      <c r="E148" s="15"/>
      <c r="F148" s="15"/>
      <c r="G148" s="422"/>
      <c r="H148" s="17" t="str">
        <f t="shared" si="20"/>
        <v/>
      </c>
      <c r="I148" s="18"/>
      <c r="J148" s="61"/>
      <c r="K148" s="399"/>
      <c r="L148" s="420" t="str">
        <f t="shared" si="18"/>
        <v/>
      </c>
      <c r="M148" s="401" t="str">
        <f t="shared" si="19"/>
        <v/>
      </c>
    </row>
    <row r="149" spans="2:13" x14ac:dyDescent="0.25">
      <c r="B149" s="58"/>
      <c r="C149" s="26"/>
      <c r="D149" s="15"/>
      <c r="E149" s="15"/>
      <c r="F149" s="15"/>
      <c r="G149" s="422"/>
      <c r="H149" s="17" t="str">
        <f t="shared" si="20"/>
        <v/>
      </c>
      <c r="I149" s="18"/>
      <c r="J149" s="61"/>
      <c r="K149" s="399"/>
      <c r="L149" s="420" t="str">
        <f t="shared" si="18"/>
        <v/>
      </c>
      <c r="M149" s="401" t="str">
        <f t="shared" si="19"/>
        <v/>
      </c>
    </row>
    <row r="150" spans="2:13" x14ac:dyDescent="0.25">
      <c r="B150" s="58"/>
      <c r="C150" s="26"/>
      <c r="D150" s="15"/>
      <c r="E150" s="15"/>
      <c r="F150" s="15"/>
      <c r="G150" s="422"/>
      <c r="H150" s="17" t="str">
        <f t="shared" si="20"/>
        <v/>
      </c>
      <c r="I150" s="18"/>
      <c r="J150" s="61"/>
      <c r="K150" s="400"/>
      <c r="L150" s="420" t="str">
        <f t="shared" si="18"/>
        <v/>
      </c>
      <c r="M150" s="401" t="str">
        <f t="shared" si="19"/>
        <v/>
      </c>
    </row>
    <row r="151" spans="2:13" x14ac:dyDescent="0.25">
      <c r="B151" s="58"/>
      <c r="C151" s="26"/>
      <c r="D151" s="15"/>
      <c r="E151" s="15"/>
      <c r="F151" s="15"/>
      <c r="G151" s="422"/>
      <c r="H151" s="17" t="str">
        <f t="shared" si="20"/>
        <v/>
      </c>
      <c r="I151" s="18"/>
      <c r="J151" s="61"/>
      <c r="K151" s="399"/>
      <c r="L151" s="420" t="str">
        <f t="shared" si="18"/>
        <v/>
      </c>
      <c r="M151" s="401" t="str">
        <f t="shared" si="19"/>
        <v/>
      </c>
    </row>
    <row r="152" spans="2:13" x14ac:dyDescent="0.25">
      <c r="B152" s="58"/>
      <c r="C152" s="14"/>
      <c r="D152" s="15"/>
      <c r="E152" s="15"/>
      <c r="F152" s="15"/>
      <c r="G152" s="422"/>
      <c r="H152" s="17" t="str">
        <f t="shared" si="20"/>
        <v/>
      </c>
      <c r="I152" s="18"/>
      <c r="J152" s="61"/>
      <c r="K152" s="399"/>
      <c r="L152" s="420" t="str">
        <f t="shared" si="18"/>
        <v/>
      </c>
      <c r="M152" s="401" t="str">
        <f t="shared" si="19"/>
        <v/>
      </c>
    </row>
    <row r="153" spans="2:13" x14ac:dyDescent="0.25">
      <c r="B153" s="58"/>
      <c r="C153" s="14"/>
      <c r="D153" s="15"/>
      <c r="E153" s="15"/>
      <c r="F153" s="15"/>
      <c r="G153" s="422"/>
      <c r="H153" s="17" t="str">
        <f t="shared" si="20"/>
        <v/>
      </c>
      <c r="I153" s="18"/>
      <c r="J153" s="61"/>
      <c r="K153" s="399"/>
      <c r="L153" s="420" t="str">
        <f t="shared" si="18"/>
        <v/>
      </c>
      <c r="M153" s="401" t="str">
        <f t="shared" si="19"/>
        <v/>
      </c>
    </row>
    <row r="154" spans="2:13" x14ac:dyDescent="0.25">
      <c r="B154" s="58"/>
      <c r="C154" s="14"/>
      <c r="D154" s="15"/>
      <c r="E154" s="15"/>
      <c r="F154" s="15"/>
      <c r="G154" s="422"/>
      <c r="H154" s="17" t="str">
        <f t="shared" si="20"/>
        <v/>
      </c>
      <c r="I154" s="18"/>
      <c r="J154" s="61"/>
      <c r="K154" s="399"/>
      <c r="L154" s="420" t="str">
        <f t="shared" si="18"/>
        <v/>
      </c>
      <c r="M154" s="401" t="str">
        <f t="shared" si="19"/>
        <v/>
      </c>
    </row>
    <row r="155" spans="2:13" x14ac:dyDescent="0.25">
      <c r="B155" s="58"/>
      <c r="C155" s="14"/>
      <c r="D155" s="15"/>
      <c r="E155" s="15"/>
      <c r="F155" s="15"/>
      <c r="G155" s="422"/>
      <c r="H155" s="17" t="str">
        <f t="shared" si="20"/>
        <v/>
      </c>
      <c r="I155" s="18"/>
      <c r="J155" s="61"/>
      <c r="K155" s="399"/>
      <c r="L155" s="420" t="str">
        <f t="shared" si="18"/>
        <v/>
      </c>
      <c r="M155" s="401" t="str">
        <f t="shared" si="19"/>
        <v/>
      </c>
    </row>
    <row r="156" spans="2:13" x14ac:dyDescent="0.25">
      <c r="B156" s="58"/>
      <c r="C156" s="14"/>
      <c r="D156" s="15"/>
      <c r="E156" s="15"/>
      <c r="F156" s="15"/>
      <c r="G156" s="422"/>
      <c r="H156" s="17" t="str">
        <f t="shared" si="20"/>
        <v/>
      </c>
      <c r="I156" s="18"/>
      <c r="J156" s="61"/>
      <c r="K156" s="400"/>
      <c r="L156" s="420" t="str">
        <f t="shared" si="18"/>
        <v/>
      </c>
      <c r="M156" s="401" t="str">
        <f t="shared" si="19"/>
        <v/>
      </c>
    </row>
    <row r="157" spans="2:13" x14ac:dyDescent="0.25">
      <c r="B157" s="58"/>
      <c r="C157" s="14"/>
      <c r="D157" s="15"/>
      <c r="E157" s="15"/>
      <c r="F157" s="15"/>
      <c r="G157" s="422"/>
      <c r="H157" s="17" t="str">
        <f t="shared" si="20"/>
        <v/>
      </c>
      <c r="I157" s="18"/>
      <c r="J157" s="61"/>
      <c r="K157" s="399"/>
      <c r="L157" s="420" t="str">
        <f t="shared" si="18"/>
        <v/>
      </c>
      <c r="M157" s="401" t="str">
        <f t="shared" si="19"/>
        <v/>
      </c>
    </row>
    <row r="158" spans="2:13" x14ac:dyDescent="0.25">
      <c r="B158" s="58"/>
      <c r="C158" s="14"/>
      <c r="D158" s="15"/>
      <c r="E158" s="15"/>
      <c r="F158" s="15"/>
      <c r="G158" s="422"/>
      <c r="H158" s="17" t="str">
        <f t="shared" si="20"/>
        <v/>
      </c>
      <c r="I158" s="18"/>
      <c r="J158" s="61"/>
      <c r="K158" s="399"/>
      <c r="L158" s="420" t="str">
        <f t="shared" si="18"/>
        <v/>
      </c>
      <c r="M158" s="401" t="str">
        <f t="shared" si="19"/>
        <v/>
      </c>
    </row>
    <row r="159" spans="2:13" x14ac:dyDescent="0.25">
      <c r="B159" s="58"/>
      <c r="C159" s="14"/>
      <c r="D159" s="15"/>
      <c r="E159" s="15"/>
      <c r="F159" s="15"/>
      <c r="G159" s="422"/>
      <c r="H159" s="17" t="str">
        <f t="shared" si="20"/>
        <v/>
      </c>
      <c r="I159" s="18"/>
      <c r="J159" s="61"/>
      <c r="K159" s="399"/>
      <c r="L159" s="420" t="str">
        <f t="shared" si="18"/>
        <v/>
      </c>
      <c r="M159" s="401" t="str">
        <f t="shared" si="19"/>
        <v/>
      </c>
    </row>
    <row r="160" spans="2:13" x14ac:dyDescent="0.25">
      <c r="B160" s="58"/>
      <c r="C160" s="14"/>
      <c r="D160" s="15"/>
      <c r="E160" s="15"/>
      <c r="F160" s="15"/>
      <c r="G160" s="422"/>
      <c r="H160" s="17" t="str">
        <f t="shared" si="20"/>
        <v/>
      </c>
      <c r="I160" s="18"/>
      <c r="J160" s="61"/>
      <c r="K160" s="399"/>
      <c r="L160" s="420" t="str">
        <f t="shared" si="18"/>
        <v/>
      </c>
      <c r="M160" s="401" t="str">
        <f t="shared" si="19"/>
        <v/>
      </c>
    </row>
    <row r="161" spans="2:13" x14ac:dyDescent="0.25">
      <c r="B161" s="58"/>
      <c r="C161" s="14"/>
      <c r="D161" s="15"/>
      <c r="E161" s="15"/>
      <c r="F161" s="15"/>
      <c r="G161" s="422"/>
      <c r="H161" s="17" t="str">
        <f t="shared" si="20"/>
        <v/>
      </c>
      <c r="I161" s="18"/>
      <c r="J161" s="61"/>
      <c r="K161" s="399"/>
      <c r="L161" s="420" t="str">
        <f t="shared" si="18"/>
        <v/>
      </c>
      <c r="M161" s="401" t="str">
        <f t="shared" si="19"/>
        <v/>
      </c>
    </row>
    <row r="162" spans="2:13" x14ac:dyDescent="0.25">
      <c r="B162" s="58"/>
      <c r="C162" s="14"/>
      <c r="D162" s="15"/>
      <c r="E162" s="15"/>
      <c r="F162" s="15"/>
      <c r="G162" s="422"/>
      <c r="H162" s="17" t="str">
        <f t="shared" si="20"/>
        <v/>
      </c>
      <c r="I162" s="18"/>
      <c r="J162" s="61"/>
      <c r="K162" s="399"/>
      <c r="L162" s="420" t="str">
        <f t="shared" si="18"/>
        <v/>
      </c>
      <c r="M162" s="401" t="str">
        <f t="shared" si="19"/>
        <v/>
      </c>
    </row>
    <row r="163" spans="2:13" x14ac:dyDescent="0.25">
      <c r="B163" s="58"/>
      <c r="C163" s="14"/>
      <c r="D163" s="15"/>
      <c r="E163" s="15"/>
      <c r="F163" s="15"/>
      <c r="G163" s="422"/>
      <c r="H163" s="17" t="str">
        <f t="shared" si="20"/>
        <v/>
      </c>
      <c r="I163" s="18"/>
      <c r="J163" s="61"/>
      <c r="K163" s="399"/>
      <c r="L163" s="420" t="str">
        <f t="shared" si="18"/>
        <v/>
      </c>
      <c r="M163" s="401" t="str">
        <f t="shared" si="19"/>
        <v/>
      </c>
    </row>
    <row r="164" spans="2:13" x14ac:dyDescent="0.25">
      <c r="B164" s="58"/>
      <c r="C164" s="14"/>
      <c r="D164" s="15"/>
      <c r="E164" s="15"/>
      <c r="F164" s="15"/>
      <c r="G164" s="422"/>
      <c r="H164" s="17" t="str">
        <f t="shared" si="20"/>
        <v/>
      </c>
      <c r="I164" s="18"/>
      <c r="J164" s="61"/>
      <c r="K164" s="399"/>
      <c r="L164" s="420" t="str">
        <f t="shared" si="18"/>
        <v/>
      </c>
      <c r="M164" s="401" t="str">
        <f t="shared" si="19"/>
        <v/>
      </c>
    </row>
    <row r="165" spans="2:13" x14ac:dyDescent="0.25">
      <c r="B165" s="58"/>
      <c r="C165" s="14"/>
      <c r="D165" s="15"/>
      <c r="E165" s="15"/>
      <c r="F165" s="15"/>
      <c r="G165" s="422"/>
      <c r="H165" s="17" t="str">
        <f t="shared" si="20"/>
        <v/>
      </c>
      <c r="I165" s="18"/>
      <c r="J165" s="61"/>
      <c r="K165" s="399"/>
      <c r="L165" s="420" t="str">
        <f t="shared" si="18"/>
        <v/>
      </c>
      <c r="M165" s="401" t="str">
        <f t="shared" si="19"/>
        <v/>
      </c>
    </row>
    <row r="166" spans="2:13" x14ac:dyDescent="0.25">
      <c r="B166" s="58"/>
      <c r="C166" s="26"/>
      <c r="D166" s="15"/>
      <c r="E166" s="15"/>
      <c r="F166" s="15"/>
      <c r="G166" s="422"/>
      <c r="H166" s="17" t="str">
        <f t="shared" si="20"/>
        <v/>
      </c>
      <c r="I166" s="18"/>
      <c r="J166" s="61"/>
      <c r="K166" s="399"/>
      <c r="L166" s="420" t="str">
        <f t="shared" si="18"/>
        <v/>
      </c>
      <c r="M166" s="401" t="str">
        <f t="shared" si="19"/>
        <v/>
      </c>
    </row>
    <row r="167" spans="2:13" x14ac:dyDescent="0.25">
      <c r="B167" s="58"/>
      <c r="C167" s="26"/>
      <c r="D167" s="15"/>
      <c r="E167" s="15"/>
      <c r="F167" s="15"/>
      <c r="G167" s="422"/>
      <c r="H167" s="17" t="str">
        <f t="shared" si="20"/>
        <v/>
      </c>
      <c r="I167" s="18"/>
      <c r="J167" s="61"/>
      <c r="K167" s="399"/>
      <c r="L167" s="420" t="str">
        <f t="shared" si="18"/>
        <v/>
      </c>
      <c r="M167" s="401" t="str">
        <f t="shared" si="19"/>
        <v/>
      </c>
    </row>
    <row r="168" spans="2:13" x14ac:dyDescent="0.25">
      <c r="B168" s="58"/>
      <c r="C168" s="26"/>
      <c r="D168" s="15"/>
      <c r="E168" s="15"/>
      <c r="F168" s="15"/>
      <c r="G168" s="422"/>
      <c r="H168" s="17" t="str">
        <f t="shared" si="20"/>
        <v/>
      </c>
      <c r="I168" s="18"/>
      <c r="J168" s="61"/>
      <c r="K168" s="402"/>
      <c r="L168" s="420" t="str">
        <f t="shared" ref="L168:L173" si="21">IF(J168="","",F168*K168)</f>
        <v/>
      </c>
      <c r="M168" s="401" t="str">
        <f t="shared" ref="M168:M173" si="22">IF(J168="","",IF(SUM(H168)=0,"",L168/H168))</f>
        <v/>
      </c>
    </row>
    <row r="169" spans="2:13" x14ac:dyDescent="0.25">
      <c r="B169" s="58"/>
      <c r="C169" s="14"/>
      <c r="D169" s="15"/>
      <c r="E169" s="15"/>
      <c r="F169" s="15"/>
      <c r="G169" s="422"/>
      <c r="H169" s="17" t="str">
        <f t="shared" si="20"/>
        <v/>
      </c>
      <c r="I169" s="18"/>
      <c r="J169" s="61"/>
      <c r="K169" s="62"/>
      <c r="L169" s="420" t="str">
        <f t="shared" si="21"/>
        <v/>
      </c>
      <c r="M169" s="401" t="str">
        <f t="shared" si="22"/>
        <v/>
      </c>
    </row>
    <row r="170" spans="2:13" x14ac:dyDescent="0.25">
      <c r="B170" s="58"/>
      <c r="C170" s="14"/>
      <c r="D170" s="15"/>
      <c r="E170" s="15"/>
      <c r="F170" s="15"/>
      <c r="G170" s="422"/>
      <c r="H170" s="17" t="str">
        <f t="shared" si="20"/>
        <v/>
      </c>
      <c r="I170" s="18"/>
      <c r="J170" s="61"/>
      <c r="K170" s="62"/>
      <c r="L170" s="420" t="str">
        <f t="shared" si="21"/>
        <v/>
      </c>
      <c r="M170" s="401" t="str">
        <f t="shared" si="22"/>
        <v/>
      </c>
    </row>
    <row r="171" spans="2:13" x14ac:dyDescent="0.25">
      <c r="B171" s="58"/>
      <c r="C171" s="14"/>
      <c r="D171" s="15"/>
      <c r="E171" s="15"/>
      <c r="F171" s="15"/>
      <c r="G171" s="422"/>
      <c r="H171" s="17" t="str">
        <f t="shared" si="20"/>
        <v/>
      </c>
      <c r="I171" s="18"/>
      <c r="J171" s="62"/>
      <c r="K171" s="62"/>
      <c r="L171" s="420" t="str">
        <f t="shared" si="21"/>
        <v/>
      </c>
      <c r="M171" s="401" t="str">
        <f t="shared" si="22"/>
        <v/>
      </c>
    </row>
    <row r="172" spans="2:13" x14ac:dyDescent="0.25">
      <c r="B172" s="58"/>
      <c r="C172" s="14"/>
      <c r="D172" s="15"/>
      <c r="E172" s="15"/>
      <c r="F172" s="15"/>
      <c r="G172" s="422"/>
      <c r="H172" s="17" t="str">
        <f t="shared" si="20"/>
        <v/>
      </c>
      <c r="I172" s="18"/>
      <c r="J172" s="62"/>
      <c r="K172" s="62"/>
      <c r="L172" s="420" t="str">
        <f t="shared" si="21"/>
        <v/>
      </c>
      <c r="M172" s="401" t="str">
        <f t="shared" si="22"/>
        <v/>
      </c>
    </row>
    <row r="173" spans="2:13" x14ac:dyDescent="0.25">
      <c r="B173" s="58"/>
      <c r="C173" s="14"/>
      <c r="D173" s="15"/>
      <c r="E173" s="15"/>
      <c r="F173" s="15"/>
      <c r="G173" s="422"/>
      <c r="H173" s="17" t="str">
        <f t="shared" si="20"/>
        <v/>
      </c>
      <c r="I173" s="18"/>
      <c r="J173" s="62"/>
      <c r="K173" s="62"/>
      <c r="L173" s="420" t="str">
        <f t="shared" si="21"/>
        <v/>
      </c>
      <c r="M173" s="401" t="str">
        <f t="shared" si="22"/>
        <v/>
      </c>
    </row>
    <row r="174" spans="2:13" x14ac:dyDescent="0.25">
      <c r="B174" s="58"/>
      <c r="C174" s="14"/>
      <c r="D174" s="15"/>
      <c r="E174" s="15"/>
      <c r="F174" s="15"/>
      <c r="G174" s="422"/>
      <c r="H174" s="17" t="str">
        <f t="shared" si="20"/>
        <v/>
      </c>
      <c r="I174" s="18"/>
      <c r="J174" s="62"/>
      <c r="K174" s="62"/>
      <c r="L174" s="420" t="str">
        <f t="shared" ref="L174:L185" si="23">IF(J174="","",F174*K174)</f>
        <v/>
      </c>
      <c r="M174" s="401" t="str">
        <f t="shared" ref="M174:M186" si="24">IF(J174="","",IF(SUM(H174)=0,"",L174/H174))</f>
        <v/>
      </c>
    </row>
    <row r="175" spans="2:13" x14ac:dyDescent="0.25">
      <c r="B175" s="58"/>
      <c r="C175" s="14"/>
      <c r="D175" s="15"/>
      <c r="E175" s="15"/>
      <c r="F175" s="15"/>
      <c r="G175" s="422"/>
      <c r="H175" s="17" t="str">
        <f t="shared" si="20"/>
        <v/>
      </c>
      <c r="I175" s="18"/>
      <c r="J175" s="62"/>
      <c r="K175" s="62"/>
      <c r="L175" s="420" t="str">
        <f t="shared" si="23"/>
        <v/>
      </c>
      <c r="M175" s="401" t="str">
        <f t="shared" si="24"/>
        <v/>
      </c>
    </row>
    <row r="176" spans="2:13" x14ac:dyDescent="0.25">
      <c r="B176" s="58"/>
      <c r="C176" s="14"/>
      <c r="D176" s="15"/>
      <c r="E176" s="15"/>
      <c r="F176" s="15"/>
      <c r="G176" s="422"/>
      <c r="H176" s="17" t="str">
        <f t="shared" si="20"/>
        <v/>
      </c>
      <c r="I176" s="18"/>
      <c r="J176" s="62"/>
      <c r="K176" s="62"/>
      <c r="L176" s="420" t="str">
        <f t="shared" si="23"/>
        <v/>
      </c>
      <c r="M176" s="401" t="str">
        <f t="shared" si="24"/>
        <v/>
      </c>
    </row>
    <row r="177" spans="2:13" x14ac:dyDescent="0.25">
      <c r="B177" s="58"/>
      <c r="C177" s="14"/>
      <c r="D177" s="15"/>
      <c r="E177" s="15"/>
      <c r="F177" s="15"/>
      <c r="G177" s="422"/>
      <c r="H177" s="17" t="str">
        <f t="shared" si="20"/>
        <v/>
      </c>
      <c r="I177" s="18"/>
      <c r="J177" s="62"/>
      <c r="K177" s="62"/>
      <c r="L177" s="420" t="str">
        <f t="shared" si="23"/>
        <v/>
      </c>
      <c r="M177" s="401" t="str">
        <f t="shared" si="24"/>
        <v/>
      </c>
    </row>
    <row r="178" spans="2:13" x14ac:dyDescent="0.25">
      <c r="B178" s="58"/>
      <c r="C178" s="14"/>
      <c r="D178" s="15"/>
      <c r="E178" s="15"/>
      <c r="F178" s="15"/>
      <c r="G178" s="422"/>
      <c r="H178" s="17" t="str">
        <f t="shared" si="20"/>
        <v/>
      </c>
      <c r="I178" s="18"/>
      <c r="J178" s="62"/>
      <c r="K178" s="62"/>
      <c r="L178" s="420" t="str">
        <f t="shared" si="23"/>
        <v/>
      </c>
      <c r="M178" s="401" t="str">
        <f t="shared" si="24"/>
        <v/>
      </c>
    </row>
    <row r="179" spans="2:13" x14ac:dyDescent="0.25">
      <c r="B179" s="58"/>
      <c r="C179" s="14"/>
      <c r="D179" s="15"/>
      <c r="E179" s="15"/>
      <c r="F179" s="15"/>
      <c r="G179" s="422"/>
      <c r="H179" s="17" t="str">
        <f t="shared" si="20"/>
        <v/>
      </c>
      <c r="I179" s="18"/>
      <c r="J179" s="62"/>
      <c r="K179" s="62"/>
      <c r="L179" s="420" t="str">
        <f t="shared" si="23"/>
        <v/>
      </c>
      <c r="M179" s="401" t="str">
        <f t="shared" si="24"/>
        <v/>
      </c>
    </row>
    <row r="180" spans="2:13" x14ac:dyDescent="0.25">
      <c r="B180" s="58"/>
      <c r="C180" s="14"/>
      <c r="D180" s="15"/>
      <c r="E180" s="15"/>
      <c r="F180" s="15"/>
      <c r="G180" s="422"/>
      <c r="H180" s="17" t="str">
        <f t="shared" si="20"/>
        <v/>
      </c>
      <c r="I180" s="18"/>
      <c r="J180" s="62"/>
      <c r="K180" s="62"/>
      <c r="L180" s="420" t="str">
        <f t="shared" si="23"/>
        <v/>
      </c>
      <c r="M180" s="401" t="str">
        <f t="shared" si="24"/>
        <v/>
      </c>
    </row>
    <row r="181" spans="2:13" x14ac:dyDescent="0.25">
      <c r="B181" s="58"/>
      <c r="C181" s="14"/>
      <c r="D181" s="15"/>
      <c r="E181" s="15"/>
      <c r="F181" s="15"/>
      <c r="G181" s="422"/>
      <c r="H181" s="17" t="str">
        <f t="shared" si="20"/>
        <v/>
      </c>
      <c r="I181" s="18"/>
      <c r="J181" s="62"/>
      <c r="K181" s="62"/>
      <c r="L181" s="420" t="str">
        <f t="shared" si="23"/>
        <v/>
      </c>
      <c r="M181" s="401" t="str">
        <f t="shared" si="24"/>
        <v/>
      </c>
    </row>
    <row r="182" spans="2:13" x14ac:dyDescent="0.25">
      <c r="B182" s="58"/>
      <c r="C182" s="14"/>
      <c r="D182" s="15"/>
      <c r="E182" s="15"/>
      <c r="F182" s="15"/>
      <c r="G182" s="422"/>
      <c r="H182" s="17"/>
      <c r="I182" s="18"/>
      <c r="J182" s="62"/>
      <c r="K182" s="62"/>
      <c r="L182" s="420" t="str">
        <f t="shared" si="23"/>
        <v/>
      </c>
      <c r="M182" s="401" t="str">
        <f t="shared" si="24"/>
        <v/>
      </c>
    </row>
    <row r="183" spans="2:13" x14ac:dyDescent="0.25">
      <c r="B183" s="58"/>
      <c r="C183" s="14"/>
      <c r="D183" s="15"/>
      <c r="E183" s="15"/>
      <c r="F183" s="15"/>
      <c r="G183" s="422"/>
      <c r="H183" s="17"/>
      <c r="I183" s="18"/>
      <c r="J183" s="62"/>
      <c r="K183" s="62"/>
      <c r="L183" s="420" t="str">
        <f t="shared" si="23"/>
        <v/>
      </c>
      <c r="M183" s="401" t="str">
        <f t="shared" si="24"/>
        <v/>
      </c>
    </row>
    <row r="184" spans="2:13" x14ac:dyDescent="0.25">
      <c r="B184" s="58"/>
      <c r="C184" s="14"/>
      <c r="D184" s="15"/>
      <c r="E184" s="15"/>
      <c r="F184" s="15"/>
      <c r="G184" s="422"/>
      <c r="H184" s="17" t="str">
        <f>IF(D184="","",F184*G184)</f>
        <v/>
      </c>
      <c r="I184" s="18"/>
      <c r="J184" s="61"/>
      <c r="K184" s="695"/>
      <c r="L184" s="420" t="str">
        <f t="shared" si="23"/>
        <v/>
      </c>
      <c r="M184" s="401" t="str">
        <f t="shared" si="24"/>
        <v/>
      </c>
    </row>
    <row r="185" spans="2:13" x14ac:dyDescent="0.25">
      <c r="B185" s="58"/>
      <c r="C185" s="14"/>
      <c r="D185" s="15"/>
      <c r="E185" s="15"/>
      <c r="F185" s="15"/>
      <c r="G185" s="422"/>
      <c r="H185" s="17"/>
      <c r="I185" s="18"/>
      <c r="J185" s="61"/>
      <c r="K185" s="696"/>
      <c r="L185" s="420" t="str">
        <f t="shared" si="23"/>
        <v/>
      </c>
      <c r="M185" s="401" t="str">
        <f t="shared" si="24"/>
        <v/>
      </c>
    </row>
    <row r="186" spans="2:13" s="28" customFormat="1" ht="19.5" customHeight="1" x14ac:dyDescent="0.25">
      <c r="B186" s="135" t="str">
        <f>$B$12</f>
        <v>C5.3</v>
      </c>
      <c r="C186" s="498" t="str">
        <f>"TOTAL CARRIED FORWARD"&amp;IF(H186=H$1," TO SUMMARY (Page C"&amp;Page_A&amp;")","")</f>
        <v>TOTAL CARRIED FORWARD TO SUMMARY (Page C48)</v>
      </c>
      <c r="D186" s="31"/>
      <c r="E186" s="31"/>
      <c r="F186" s="32"/>
      <c r="G186" s="31"/>
      <c r="H186" s="33">
        <f>SUM(H133:H185)</f>
        <v>1631000</v>
      </c>
      <c r="I186" s="34"/>
      <c r="J186" s="408"/>
      <c r="K186" s="406"/>
      <c r="L186" s="418">
        <f>SUM(L133:L185)</f>
        <v>39880</v>
      </c>
      <c r="M186" s="407" t="str">
        <f t="shared" si="24"/>
        <v/>
      </c>
    </row>
    <row r="187" spans="2:13" ht="13" x14ac:dyDescent="0.25">
      <c r="B187" s="1108" t="str">
        <f>Client1</f>
        <v>Province of KwaZulu-Natal</v>
      </c>
      <c r="C187" s="1108"/>
      <c r="D187" s="1108"/>
      <c r="E187" s="87"/>
      <c r="F187" s="1109" t="str">
        <f>"Contract No. "&amp;ContractNo</f>
        <v>Contract No. ZNB 00399/00000/HOD/INF/21/T</v>
      </c>
      <c r="G187" s="1109"/>
      <c r="H187" s="1109"/>
    </row>
    <row r="188" spans="2:13" ht="13" x14ac:dyDescent="0.25">
      <c r="B188" s="1108" t="str">
        <f>Client2</f>
        <v>Department of Transport</v>
      </c>
      <c r="C188" s="1108"/>
      <c r="D188" s="1108"/>
      <c r="E188" s="87"/>
      <c r="F188" s="1109"/>
      <c r="G188" s="1109"/>
      <c r="H188" s="1109"/>
    </row>
    <row r="189" spans="2:13" x14ac:dyDescent="0.25">
      <c r="B189" s="1111"/>
      <c r="C189" s="1111"/>
      <c r="D189" s="1111"/>
      <c r="E189" s="78"/>
      <c r="F189" s="1110"/>
      <c r="G189" s="1110"/>
      <c r="H189" s="1110"/>
    </row>
    <row r="190" spans="2:13" ht="13" x14ac:dyDescent="0.25">
      <c r="B190" s="1112" t="s">
        <v>8</v>
      </c>
      <c r="C190" s="1113"/>
      <c r="D190" s="1113"/>
      <c r="E190" s="1113"/>
      <c r="F190" s="1113"/>
      <c r="G190" s="1113"/>
      <c r="H190" s="1125" t="str">
        <f>$H$6</f>
        <v>CHAPTER C5.3</v>
      </c>
      <c r="I190" s="6"/>
    </row>
    <row r="191" spans="2:13" ht="13" x14ac:dyDescent="0.25">
      <c r="B191" s="1117" t="str">
        <f>ContractDescription</f>
        <v>THE CONSTRUCTION OF EARTHWORKS, LAYERWORKS, SURFACING, CULVERTS AND CWAKA RIVER BRIDGE FROM KM 11.600 TO KM 14.000 ON MAIN ROAD P494 IN THE KING CETSHWAYO DISTRICT UNDER EMPANGENI REGION</v>
      </c>
      <c r="C191" s="1118"/>
      <c r="D191" s="1118"/>
      <c r="E191" s="1118"/>
      <c r="F191" s="1118"/>
      <c r="G191" s="1118"/>
      <c r="H191" s="1126"/>
      <c r="I191" s="8"/>
    </row>
    <row r="192" spans="2:13" ht="13" x14ac:dyDescent="0.25">
      <c r="B192" s="1117"/>
      <c r="C192" s="1118"/>
      <c r="D192" s="1118"/>
      <c r="E192" s="1118"/>
      <c r="F192" s="1118"/>
      <c r="G192" s="1118"/>
      <c r="H192" s="1126"/>
      <c r="I192" s="8"/>
    </row>
    <row r="193" spans="2:13" ht="13" x14ac:dyDescent="0.25">
      <c r="B193" s="1119"/>
      <c r="C193" s="1120"/>
      <c r="D193" s="1120"/>
      <c r="E193" s="1120"/>
      <c r="F193" s="1120"/>
      <c r="G193" s="1120"/>
      <c r="H193" s="1127"/>
      <c r="I193" s="8"/>
    </row>
    <row r="194" spans="2:13" s="9" customFormat="1" ht="25" customHeight="1" x14ac:dyDescent="0.25">
      <c r="B194" s="74" t="s">
        <v>0</v>
      </c>
      <c r="C194" s="11" t="s">
        <v>1</v>
      </c>
      <c r="D194" s="11" t="s">
        <v>2</v>
      </c>
      <c r="E194" s="11"/>
      <c r="F194" s="11" t="s">
        <v>3</v>
      </c>
      <c r="G194" s="11" t="s">
        <v>4</v>
      </c>
      <c r="H194" s="11" t="s">
        <v>5</v>
      </c>
      <c r="I194" s="12"/>
      <c r="J194" s="408" t="s">
        <v>996</v>
      </c>
      <c r="K194" s="253" t="s">
        <v>997</v>
      </c>
      <c r="L194" s="253" t="s">
        <v>998</v>
      </c>
      <c r="M194" s="253" t="s">
        <v>999</v>
      </c>
    </row>
    <row r="195" spans="2:13" s="28" customFormat="1" ht="19.5" customHeight="1" x14ac:dyDescent="0.25">
      <c r="B195" s="80"/>
      <c r="C195" s="30" t="s">
        <v>27</v>
      </c>
      <c r="D195" s="31"/>
      <c r="E195" s="31"/>
      <c r="F195" s="32"/>
      <c r="G195" s="31"/>
      <c r="H195" s="33">
        <f>H186</f>
        <v>1631000</v>
      </c>
      <c r="I195" s="34"/>
      <c r="J195" s="416"/>
      <c r="K195" s="409"/>
      <c r="L195" s="419">
        <f>L186</f>
        <v>39880</v>
      </c>
      <c r="M195" s="410"/>
    </row>
    <row r="196" spans="2:13" x14ac:dyDescent="0.25">
      <c r="B196" s="58"/>
      <c r="C196" s="14"/>
      <c r="D196" s="15"/>
      <c r="E196" s="15"/>
      <c r="F196" s="15"/>
      <c r="G196" s="422"/>
      <c r="H196" s="17"/>
      <c r="I196" s="18"/>
      <c r="J196" s="61"/>
      <c r="K196" s="399"/>
      <c r="L196" s="420" t="str">
        <f t="shared" ref="L196:L240" si="25">IF(J196="","",F196*K196)</f>
        <v/>
      </c>
      <c r="M196" s="401" t="str">
        <f t="shared" ref="M196:M240" si="26">IF(J196="","",IF(SUM(H196)=0,"",L196/H196))</f>
        <v/>
      </c>
    </row>
    <row r="197" spans="2:13" x14ac:dyDescent="0.25">
      <c r="B197" s="58"/>
      <c r="C197" s="14"/>
      <c r="D197" s="15"/>
      <c r="E197" s="15"/>
      <c r="F197" s="15"/>
      <c r="G197" s="422"/>
      <c r="H197" s="17" t="str">
        <f t="shared" ref="H197:H209" si="27">IF(D197="","",F197*G197)</f>
        <v/>
      </c>
      <c r="I197" s="18"/>
      <c r="J197" s="61"/>
      <c r="K197" s="399"/>
      <c r="L197" s="420" t="str">
        <f t="shared" si="25"/>
        <v/>
      </c>
      <c r="M197" s="401" t="str">
        <f t="shared" si="26"/>
        <v/>
      </c>
    </row>
    <row r="198" spans="2:13" x14ac:dyDescent="0.25">
      <c r="B198" s="58"/>
      <c r="C198" s="14"/>
      <c r="D198" s="15"/>
      <c r="E198" s="15"/>
      <c r="F198" s="15"/>
      <c r="G198" s="422"/>
      <c r="H198" s="17" t="str">
        <f t="shared" si="27"/>
        <v/>
      </c>
      <c r="I198" s="18"/>
      <c r="J198" s="61"/>
      <c r="K198" s="399"/>
      <c r="L198" s="420" t="str">
        <f t="shared" si="25"/>
        <v/>
      </c>
      <c r="M198" s="401" t="str">
        <f t="shared" si="26"/>
        <v/>
      </c>
    </row>
    <row r="199" spans="2:13" x14ac:dyDescent="0.25">
      <c r="B199" s="58"/>
      <c r="C199" s="14"/>
      <c r="D199" s="15"/>
      <c r="E199" s="15"/>
      <c r="F199" s="15"/>
      <c r="G199" s="422"/>
      <c r="H199" s="17" t="str">
        <f t="shared" si="27"/>
        <v/>
      </c>
      <c r="I199" s="18"/>
      <c r="J199" s="61"/>
      <c r="K199" s="399"/>
      <c r="L199" s="420" t="str">
        <f t="shared" si="25"/>
        <v/>
      </c>
      <c r="M199" s="401" t="str">
        <f t="shared" si="26"/>
        <v/>
      </c>
    </row>
    <row r="200" spans="2:13" x14ac:dyDescent="0.25">
      <c r="B200" s="58"/>
      <c r="C200" s="14"/>
      <c r="D200" s="15"/>
      <c r="E200" s="15"/>
      <c r="F200" s="15"/>
      <c r="G200" s="422"/>
      <c r="H200" s="17" t="str">
        <f t="shared" si="27"/>
        <v/>
      </c>
      <c r="I200" s="18"/>
      <c r="J200" s="61"/>
      <c r="K200" s="400"/>
      <c r="L200" s="420" t="str">
        <f t="shared" si="25"/>
        <v/>
      </c>
      <c r="M200" s="401" t="str">
        <f t="shared" si="26"/>
        <v/>
      </c>
    </row>
    <row r="201" spans="2:13" x14ac:dyDescent="0.25">
      <c r="B201" s="58"/>
      <c r="C201" s="14"/>
      <c r="D201" s="15"/>
      <c r="E201" s="15"/>
      <c r="F201" s="15"/>
      <c r="G201" s="422"/>
      <c r="H201" s="17" t="str">
        <f t="shared" si="27"/>
        <v/>
      </c>
      <c r="I201" s="18"/>
      <c r="J201" s="61"/>
      <c r="K201" s="399"/>
      <c r="L201" s="420" t="str">
        <f t="shared" si="25"/>
        <v/>
      </c>
      <c r="M201" s="401" t="str">
        <f t="shared" si="26"/>
        <v/>
      </c>
    </row>
    <row r="202" spans="2:13" x14ac:dyDescent="0.25">
      <c r="B202" s="58"/>
      <c r="C202" s="14"/>
      <c r="D202" s="15"/>
      <c r="E202" s="15"/>
      <c r="F202" s="15"/>
      <c r="G202" s="422"/>
      <c r="H202" s="17" t="str">
        <f t="shared" si="27"/>
        <v/>
      </c>
      <c r="I202" s="18"/>
      <c r="J202" s="61"/>
      <c r="K202" s="399"/>
      <c r="L202" s="420" t="str">
        <f t="shared" si="25"/>
        <v/>
      </c>
      <c r="M202" s="401" t="str">
        <f t="shared" si="26"/>
        <v/>
      </c>
    </row>
    <row r="203" spans="2:13" x14ac:dyDescent="0.25">
      <c r="B203" s="58"/>
      <c r="C203" s="14"/>
      <c r="D203" s="15"/>
      <c r="E203" s="15"/>
      <c r="F203" s="15"/>
      <c r="G203" s="422"/>
      <c r="H203" s="17" t="str">
        <f t="shared" si="27"/>
        <v/>
      </c>
      <c r="I203" s="18"/>
      <c r="J203" s="61"/>
      <c r="K203" s="399"/>
      <c r="L203" s="420" t="str">
        <f t="shared" si="25"/>
        <v/>
      </c>
      <c r="M203" s="401" t="str">
        <f t="shared" si="26"/>
        <v/>
      </c>
    </row>
    <row r="204" spans="2:13" x14ac:dyDescent="0.25">
      <c r="B204" s="58"/>
      <c r="C204" s="14"/>
      <c r="D204" s="15"/>
      <c r="E204" s="15"/>
      <c r="F204" s="15"/>
      <c r="G204" s="422"/>
      <c r="H204" s="17" t="str">
        <f t="shared" si="27"/>
        <v/>
      </c>
      <c r="I204" s="18"/>
      <c r="J204" s="61"/>
      <c r="K204" s="402"/>
      <c r="L204" s="420" t="str">
        <f t="shared" si="25"/>
        <v/>
      </c>
      <c r="M204" s="401" t="str">
        <f t="shared" si="26"/>
        <v/>
      </c>
    </row>
    <row r="205" spans="2:13" x14ac:dyDescent="0.25">
      <c r="B205" s="58"/>
      <c r="C205" s="14"/>
      <c r="D205" s="15"/>
      <c r="E205" s="15"/>
      <c r="F205" s="15"/>
      <c r="G205" s="422"/>
      <c r="H205" s="17" t="str">
        <f t="shared" si="27"/>
        <v/>
      </c>
      <c r="I205" s="18"/>
      <c r="J205" s="61"/>
      <c r="K205" s="402"/>
      <c r="L205" s="420" t="str">
        <f t="shared" si="25"/>
        <v/>
      </c>
      <c r="M205" s="401" t="str">
        <f t="shared" si="26"/>
        <v/>
      </c>
    </row>
    <row r="206" spans="2:13" x14ac:dyDescent="0.25">
      <c r="B206" s="58"/>
      <c r="C206" s="14"/>
      <c r="D206" s="15"/>
      <c r="E206" s="15"/>
      <c r="F206" s="15"/>
      <c r="G206" s="422"/>
      <c r="H206" s="17" t="str">
        <f t="shared" si="27"/>
        <v/>
      </c>
      <c r="I206" s="18"/>
      <c r="J206" s="61"/>
      <c r="K206" s="402"/>
      <c r="L206" s="420" t="str">
        <f t="shared" si="25"/>
        <v/>
      </c>
      <c r="M206" s="401" t="str">
        <f t="shared" si="26"/>
        <v/>
      </c>
    </row>
    <row r="207" spans="2:13" x14ac:dyDescent="0.25">
      <c r="B207" s="58"/>
      <c r="C207" s="14"/>
      <c r="D207" s="15"/>
      <c r="E207" s="15"/>
      <c r="F207" s="15"/>
      <c r="G207" s="422"/>
      <c r="H207" s="17" t="str">
        <f t="shared" si="27"/>
        <v/>
      </c>
      <c r="I207" s="18"/>
      <c r="J207" s="61"/>
      <c r="K207" s="402"/>
      <c r="L207" s="420" t="str">
        <f t="shared" si="25"/>
        <v/>
      </c>
      <c r="M207" s="401" t="str">
        <f t="shared" si="26"/>
        <v/>
      </c>
    </row>
    <row r="208" spans="2:13" x14ac:dyDescent="0.25">
      <c r="B208" s="58"/>
      <c r="C208" s="14"/>
      <c r="D208" s="15"/>
      <c r="E208" s="15"/>
      <c r="F208" s="15"/>
      <c r="G208" s="422"/>
      <c r="H208" s="17" t="str">
        <f t="shared" si="27"/>
        <v/>
      </c>
      <c r="I208" s="18"/>
      <c r="J208" s="61"/>
      <c r="K208" s="402"/>
      <c r="L208" s="420" t="str">
        <f t="shared" si="25"/>
        <v/>
      </c>
      <c r="M208" s="401" t="str">
        <f t="shared" si="26"/>
        <v/>
      </c>
    </row>
    <row r="209" spans="2:13" x14ac:dyDescent="0.25">
      <c r="B209" s="58"/>
      <c r="C209" s="14"/>
      <c r="D209" s="15"/>
      <c r="E209" s="15"/>
      <c r="F209" s="15"/>
      <c r="G209" s="422"/>
      <c r="H209" s="17" t="str">
        <f t="shared" si="27"/>
        <v/>
      </c>
      <c r="I209" s="18"/>
      <c r="J209" s="61"/>
      <c r="K209" s="402"/>
      <c r="L209" s="420" t="str">
        <f t="shared" si="25"/>
        <v/>
      </c>
      <c r="M209" s="401" t="str">
        <f t="shared" si="26"/>
        <v/>
      </c>
    </row>
    <row r="210" spans="2:13" x14ac:dyDescent="0.25">
      <c r="B210" s="58"/>
      <c r="C210" s="14"/>
      <c r="D210" s="15"/>
      <c r="E210" s="15"/>
      <c r="F210" s="15"/>
      <c r="G210" s="422"/>
      <c r="H210" s="17"/>
      <c r="I210" s="18"/>
      <c r="J210" s="61"/>
      <c r="K210" s="399"/>
      <c r="L210" s="420" t="str">
        <f t="shared" si="25"/>
        <v/>
      </c>
      <c r="M210" s="401" t="str">
        <f t="shared" si="26"/>
        <v/>
      </c>
    </row>
    <row r="211" spans="2:13" x14ac:dyDescent="0.25">
      <c r="B211" s="58"/>
      <c r="C211" s="14"/>
      <c r="D211" s="15"/>
      <c r="E211" s="15"/>
      <c r="F211" s="15"/>
      <c r="G211" s="422"/>
      <c r="H211" s="17" t="str">
        <f>IF(D211="","",F211*G211)</f>
        <v/>
      </c>
      <c r="I211" s="18"/>
      <c r="J211" s="61"/>
      <c r="K211" s="399"/>
      <c r="L211" s="420" t="str">
        <f t="shared" si="25"/>
        <v/>
      </c>
      <c r="M211" s="401" t="str">
        <f t="shared" si="26"/>
        <v/>
      </c>
    </row>
    <row r="212" spans="2:13" x14ac:dyDescent="0.25">
      <c r="B212" s="58"/>
      <c r="C212" s="14"/>
      <c r="D212" s="15"/>
      <c r="E212" s="15"/>
      <c r="F212" s="15"/>
      <c r="G212" s="422"/>
      <c r="H212" s="17"/>
      <c r="I212" s="18"/>
      <c r="J212" s="61"/>
      <c r="K212" s="400"/>
      <c r="L212" s="420" t="str">
        <f t="shared" si="25"/>
        <v/>
      </c>
      <c r="M212" s="401" t="str">
        <f t="shared" si="26"/>
        <v/>
      </c>
    </row>
    <row r="213" spans="2:13" x14ac:dyDescent="0.25">
      <c r="B213" s="58"/>
      <c r="C213" s="14"/>
      <c r="D213" s="15"/>
      <c r="E213" s="15"/>
      <c r="F213" s="15"/>
      <c r="G213" s="422"/>
      <c r="H213" s="17" t="str">
        <f t="shared" ref="H213:H233" si="28">IF(D213="","",F213*G213)</f>
        <v/>
      </c>
      <c r="I213" s="18"/>
      <c r="J213" s="61"/>
      <c r="K213" s="399"/>
      <c r="L213" s="420" t="str">
        <f t="shared" si="25"/>
        <v/>
      </c>
      <c r="M213" s="401" t="str">
        <f t="shared" si="26"/>
        <v/>
      </c>
    </row>
    <row r="214" spans="2:13" x14ac:dyDescent="0.25">
      <c r="B214" s="58"/>
      <c r="C214" s="14"/>
      <c r="D214" s="15"/>
      <c r="E214" s="15"/>
      <c r="F214" s="15"/>
      <c r="G214" s="422"/>
      <c r="H214" s="17" t="str">
        <f t="shared" si="28"/>
        <v/>
      </c>
      <c r="I214" s="18"/>
      <c r="J214" s="61"/>
      <c r="K214" s="399"/>
      <c r="L214" s="420" t="str">
        <f t="shared" si="25"/>
        <v/>
      </c>
      <c r="M214" s="401" t="str">
        <f t="shared" si="26"/>
        <v/>
      </c>
    </row>
    <row r="215" spans="2:13" x14ac:dyDescent="0.25">
      <c r="B215" s="58"/>
      <c r="C215" s="14"/>
      <c r="D215" s="15"/>
      <c r="E215" s="15"/>
      <c r="F215" s="15"/>
      <c r="G215" s="422"/>
      <c r="H215" s="17" t="str">
        <f t="shared" si="28"/>
        <v/>
      </c>
      <c r="I215" s="18"/>
      <c r="J215" s="61"/>
      <c r="K215" s="399"/>
      <c r="L215" s="420" t="str">
        <f t="shared" si="25"/>
        <v/>
      </c>
      <c r="M215" s="401" t="str">
        <f t="shared" si="26"/>
        <v/>
      </c>
    </row>
    <row r="216" spans="2:13" x14ac:dyDescent="0.25">
      <c r="B216" s="58"/>
      <c r="C216" s="14"/>
      <c r="D216" s="15"/>
      <c r="E216" s="15"/>
      <c r="F216" s="15"/>
      <c r="G216" s="422"/>
      <c r="H216" s="17" t="str">
        <f t="shared" si="28"/>
        <v/>
      </c>
      <c r="I216" s="18"/>
      <c r="J216" s="61"/>
      <c r="K216" s="399"/>
      <c r="L216" s="420" t="str">
        <f t="shared" si="25"/>
        <v/>
      </c>
      <c r="M216" s="401" t="str">
        <f t="shared" si="26"/>
        <v/>
      </c>
    </row>
    <row r="217" spans="2:13" x14ac:dyDescent="0.25">
      <c r="B217" s="58"/>
      <c r="C217" s="14"/>
      <c r="D217" s="15"/>
      <c r="E217" s="15"/>
      <c r="F217" s="15"/>
      <c r="G217" s="422"/>
      <c r="H217" s="17" t="str">
        <f t="shared" si="28"/>
        <v/>
      </c>
      <c r="I217" s="18"/>
      <c r="J217" s="61"/>
      <c r="K217" s="399"/>
      <c r="L217" s="420" t="str">
        <f t="shared" si="25"/>
        <v/>
      </c>
      <c r="M217" s="401" t="str">
        <f t="shared" si="26"/>
        <v/>
      </c>
    </row>
    <row r="218" spans="2:13" x14ac:dyDescent="0.25">
      <c r="B218" s="58"/>
      <c r="C218" s="14"/>
      <c r="D218" s="15"/>
      <c r="E218" s="15"/>
      <c r="F218" s="15"/>
      <c r="G218" s="422"/>
      <c r="H218" s="17" t="str">
        <f t="shared" si="28"/>
        <v/>
      </c>
      <c r="I218" s="18"/>
      <c r="J218" s="61"/>
      <c r="K218" s="400"/>
      <c r="L218" s="420" t="str">
        <f t="shared" si="25"/>
        <v/>
      </c>
      <c r="M218" s="401" t="str">
        <f t="shared" si="26"/>
        <v/>
      </c>
    </row>
    <row r="219" spans="2:13" x14ac:dyDescent="0.25">
      <c r="B219" s="58"/>
      <c r="C219" s="14"/>
      <c r="D219" s="15"/>
      <c r="E219" s="15"/>
      <c r="F219" s="15"/>
      <c r="G219" s="422"/>
      <c r="H219" s="17" t="str">
        <f t="shared" si="28"/>
        <v/>
      </c>
      <c r="I219" s="18"/>
      <c r="J219" s="61"/>
      <c r="K219" s="399"/>
      <c r="L219" s="420" t="str">
        <f t="shared" si="25"/>
        <v/>
      </c>
      <c r="M219" s="401" t="str">
        <f t="shared" si="26"/>
        <v/>
      </c>
    </row>
    <row r="220" spans="2:13" x14ac:dyDescent="0.25">
      <c r="B220" s="58"/>
      <c r="C220" s="14"/>
      <c r="D220" s="15"/>
      <c r="E220" s="15"/>
      <c r="F220" s="15"/>
      <c r="G220" s="422"/>
      <c r="H220" s="17" t="str">
        <f t="shared" si="28"/>
        <v/>
      </c>
      <c r="I220" s="18"/>
      <c r="J220" s="61"/>
      <c r="K220" s="399"/>
      <c r="L220" s="420" t="str">
        <f t="shared" si="25"/>
        <v/>
      </c>
      <c r="M220" s="401" t="str">
        <f t="shared" si="26"/>
        <v/>
      </c>
    </row>
    <row r="221" spans="2:13" x14ac:dyDescent="0.25">
      <c r="B221" s="58"/>
      <c r="C221" s="14"/>
      <c r="D221" s="15"/>
      <c r="E221" s="15"/>
      <c r="F221" s="15"/>
      <c r="G221" s="422"/>
      <c r="H221" s="17" t="str">
        <f t="shared" si="28"/>
        <v/>
      </c>
      <c r="I221" s="18"/>
      <c r="J221" s="61"/>
      <c r="K221" s="399"/>
      <c r="L221" s="420" t="str">
        <f t="shared" si="25"/>
        <v/>
      </c>
      <c r="M221" s="401" t="str">
        <f t="shared" si="26"/>
        <v/>
      </c>
    </row>
    <row r="222" spans="2:13" x14ac:dyDescent="0.25">
      <c r="B222" s="58"/>
      <c r="C222" s="14"/>
      <c r="D222" s="15"/>
      <c r="E222" s="15"/>
      <c r="F222" s="15"/>
      <c r="G222" s="422"/>
      <c r="H222" s="17" t="str">
        <f t="shared" si="28"/>
        <v/>
      </c>
      <c r="I222" s="18"/>
      <c r="J222" s="61"/>
      <c r="K222" s="399"/>
      <c r="L222" s="420" t="str">
        <f t="shared" si="25"/>
        <v/>
      </c>
      <c r="M222" s="401" t="str">
        <f t="shared" si="26"/>
        <v/>
      </c>
    </row>
    <row r="223" spans="2:13" x14ac:dyDescent="0.25">
      <c r="B223" s="58"/>
      <c r="C223" s="14"/>
      <c r="D223" s="15"/>
      <c r="E223" s="15"/>
      <c r="F223" s="15"/>
      <c r="G223" s="422"/>
      <c r="H223" s="17" t="str">
        <f t="shared" si="28"/>
        <v/>
      </c>
      <c r="I223" s="18"/>
      <c r="J223" s="61"/>
      <c r="K223" s="399"/>
      <c r="L223" s="420" t="str">
        <f t="shared" si="25"/>
        <v/>
      </c>
      <c r="M223" s="401" t="str">
        <f t="shared" si="26"/>
        <v/>
      </c>
    </row>
    <row r="224" spans="2:13" x14ac:dyDescent="0.25">
      <c r="B224" s="58"/>
      <c r="C224" s="14"/>
      <c r="D224" s="15"/>
      <c r="E224" s="15"/>
      <c r="F224" s="15"/>
      <c r="G224" s="422"/>
      <c r="H224" s="17" t="str">
        <f t="shared" si="28"/>
        <v/>
      </c>
      <c r="I224" s="18"/>
      <c r="J224" s="61"/>
      <c r="K224" s="399"/>
      <c r="L224" s="420" t="str">
        <f t="shared" si="25"/>
        <v/>
      </c>
      <c r="M224" s="401" t="str">
        <f t="shared" si="26"/>
        <v/>
      </c>
    </row>
    <row r="225" spans="2:13" x14ac:dyDescent="0.25">
      <c r="B225" s="58"/>
      <c r="C225" s="623"/>
      <c r="D225" s="15"/>
      <c r="E225" s="15"/>
      <c r="F225" s="578"/>
      <c r="G225" s="422"/>
      <c r="H225" s="17"/>
      <c r="I225" s="18"/>
      <c r="J225" s="61"/>
      <c r="K225" s="399"/>
      <c r="L225" s="420" t="str">
        <f t="shared" si="25"/>
        <v/>
      </c>
      <c r="M225" s="401" t="str">
        <f t="shared" si="26"/>
        <v/>
      </c>
    </row>
    <row r="226" spans="2:13" x14ac:dyDescent="0.25">
      <c r="B226" s="58"/>
      <c r="C226" s="624"/>
      <c r="D226" s="15"/>
      <c r="E226" s="15"/>
      <c r="F226" s="15"/>
      <c r="G226" s="422"/>
      <c r="H226" s="17"/>
      <c r="I226" s="18"/>
      <c r="J226" s="61"/>
      <c r="K226" s="399"/>
      <c r="L226" s="420" t="str">
        <f t="shared" si="25"/>
        <v/>
      </c>
      <c r="M226" s="401" t="str">
        <f t="shared" si="26"/>
        <v/>
      </c>
    </row>
    <row r="227" spans="2:13" x14ac:dyDescent="0.25">
      <c r="B227" s="58"/>
      <c r="C227" s="626"/>
      <c r="D227" s="587"/>
      <c r="E227" s="587"/>
      <c r="F227" s="578"/>
      <c r="G227" s="422"/>
      <c r="H227" s="17"/>
      <c r="I227" s="18"/>
      <c r="J227" s="61"/>
      <c r="K227" s="399"/>
      <c r="L227" s="420" t="str">
        <f t="shared" si="25"/>
        <v/>
      </c>
      <c r="M227" s="401" t="str">
        <f t="shared" si="26"/>
        <v/>
      </c>
    </row>
    <row r="228" spans="2:13" x14ac:dyDescent="0.25">
      <c r="B228" s="56"/>
      <c r="C228" s="625"/>
      <c r="D228" s="15"/>
      <c r="E228" s="15"/>
      <c r="F228" s="15"/>
      <c r="G228" s="422"/>
      <c r="H228" s="17"/>
      <c r="I228" s="18"/>
      <c r="J228" s="61"/>
      <c r="K228" s="399"/>
      <c r="L228" s="420" t="str">
        <f t="shared" si="25"/>
        <v/>
      </c>
      <c r="M228" s="401" t="str">
        <f t="shared" si="26"/>
        <v/>
      </c>
    </row>
    <row r="229" spans="2:13" ht="13" x14ac:dyDescent="0.25">
      <c r="B229" s="58"/>
      <c r="C229" s="19"/>
      <c r="D229" s="15"/>
      <c r="E229" s="15"/>
      <c r="F229" s="578"/>
      <c r="G229" s="422"/>
      <c r="H229" s="17"/>
      <c r="I229" s="18"/>
      <c r="J229" s="61"/>
      <c r="K229" s="399"/>
      <c r="L229" s="420" t="str">
        <f t="shared" si="25"/>
        <v/>
      </c>
      <c r="M229" s="401" t="str">
        <f t="shared" si="26"/>
        <v/>
      </c>
    </row>
    <row r="230" spans="2:13" x14ac:dyDescent="0.25">
      <c r="B230" s="56"/>
      <c r="C230" s="14"/>
      <c r="D230" s="15"/>
      <c r="E230" s="15"/>
      <c r="F230" s="15"/>
      <c r="G230" s="422"/>
      <c r="H230" s="17"/>
      <c r="I230" s="18"/>
      <c r="J230" s="61"/>
      <c r="K230" s="402"/>
      <c r="L230" s="420" t="str">
        <f t="shared" si="25"/>
        <v/>
      </c>
      <c r="M230" s="401" t="str">
        <f t="shared" si="26"/>
        <v/>
      </c>
    </row>
    <row r="231" spans="2:13" x14ac:dyDescent="0.25">
      <c r="B231" s="56"/>
      <c r="C231" s="14"/>
      <c r="D231" s="15"/>
      <c r="E231" s="15"/>
      <c r="F231" s="15"/>
      <c r="G231" s="422"/>
      <c r="H231" s="17" t="str">
        <f t="shared" si="28"/>
        <v/>
      </c>
      <c r="I231" s="18"/>
      <c r="J231" s="61"/>
      <c r="K231" s="62"/>
      <c r="L231" s="420" t="str">
        <f t="shared" si="25"/>
        <v/>
      </c>
      <c r="M231" s="401" t="str">
        <f t="shared" si="26"/>
        <v/>
      </c>
    </row>
    <row r="232" spans="2:13" x14ac:dyDescent="0.25">
      <c r="B232" s="56"/>
      <c r="C232" s="14"/>
      <c r="D232" s="15"/>
      <c r="E232" s="15"/>
      <c r="F232" s="15"/>
      <c r="G232" s="422"/>
      <c r="H232" s="17" t="str">
        <f t="shared" si="28"/>
        <v/>
      </c>
      <c r="I232" s="18"/>
      <c r="J232" s="61"/>
      <c r="K232" s="62"/>
      <c r="L232" s="420" t="str">
        <f t="shared" si="25"/>
        <v/>
      </c>
      <c r="M232" s="401" t="str">
        <f t="shared" si="26"/>
        <v/>
      </c>
    </row>
    <row r="233" spans="2:13" x14ac:dyDescent="0.25">
      <c r="B233" s="56"/>
      <c r="C233" s="14"/>
      <c r="D233" s="15"/>
      <c r="E233" s="15"/>
      <c r="F233" s="15"/>
      <c r="G233" s="422"/>
      <c r="H233" s="17" t="str">
        <f t="shared" si="28"/>
        <v/>
      </c>
      <c r="I233" s="18"/>
      <c r="J233" s="62"/>
      <c r="K233" s="62"/>
      <c r="L233" s="420" t="str">
        <f t="shared" si="25"/>
        <v/>
      </c>
      <c r="M233" s="401" t="str">
        <f t="shared" si="26"/>
        <v/>
      </c>
    </row>
    <row r="234" spans="2:13" x14ac:dyDescent="0.25">
      <c r="B234" s="56"/>
      <c r="C234" s="14"/>
      <c r="D234" s="15"/>
      <c r="E234" s="15"/>
      <c r="F234" s="15"/>
      <c r="G234" s="422"/>
      <c r="H234" s="17"/>
      <c r="I234" s="18"/>
      <c r="J234" s="62"/>
      <c r="K234" s="62"/>
      <c r="L234" s="420" t="str">
        <f t="shared" si="25"/>
        <v/>
      </c>
      <c r="M234" s="401" t="str">
        <f t="shared" si="26"/>
        <v/>
      </c>
    </row>
    <row r="235" spans="2:13" x14ac:dyDescent="0.25">
      <c r="B235" s="56"/>
      <c r="C235" s="14"/>
      <c r="D235" s="15"/>
      <c r="E235" s="15"/>
      <c r="F235" s="15"/>
      <c r="G235" s="422"/>
      <c r="H235" s="17"/>
      <c r="I235" s="18"/>
      <c r="J235" s="62"/>
      <c r="K235" s="62"/>
      <c r="L235" s="420" t="str">
        <f t="shared" si="25"/>
        <v/>
      </c>
      <c r="M235" s="401" t="str">
        <f t="shared" si="26"/>
        <v/>
      </c>
    </row>
    <row r="236" spans="2:13" x14ac:dyDescent="0.25">
      <c r="B236" s="56"/>
      <c r="C236" s="14"/>
      <c r="D236" s="15"/>
      <c r="E236" s="15"/>
      <c r="F236" s="15"/>
      <c r="G236" s="422"/>
      <c r="H236" s="17"/>
      <c r="I236" s="18"/>
      <c r="J236" s="62"/>
      <c r="K236" s="62"/>
      <c r="L236" s="420" t="str">
        <f t="shared" si="25"/>
        <v/>
      </c>
      <c r="M236" s="401" t="str">
        <f t="shared" si="26"/>
        <v/>
      </c>
    </row>
    <row r="237" spans="2:13" x14ac:dyDescent="0.25">
      <c r="B237" s="56"/>
      <c r="C237" s="14"/>
      <c r="D237" s="15"/>
      <c r="E237" s="15"/>
      <c r="F237" s="15"/>
      <c r="G237" s="422"/>
      <c r="H237" s="17"/>
      <c r="I237" s="18"/>
      <c r="J237" s="62"/>
      <c r="K237" s="62"/>
      <c r="L237" s="420" t="str">
        <f t="shared" si="25"/>
        <v/>
      </c>
      <c r="M237" s="401" t="str">
        <f t="shared" si="26"/>
        <v/>
      </c>
    </row>
    <row r="238" spans="2:13" x14ac:dyDescent="0.25">
      <c r="B238" s="56"/>
      <c r="C238" s="14"/>
      <c r="D238" s="15"/>
      <c r="E238" s="15"/>
      <c r="F238" s="15"/>
      <c r="G238" s="422"/>
      <c r="H238" s="17"/>
      <c r="I238" s="18"/>
      <c r="J238" s="62"/>
      <c r="K238" s="62"/>
      <c r="L238" s="420" t="str">
        <f t="shared" si="25"/>
        <v/>
      </c>
      <c r="M238" s="401" t="str">
        <f t="shared" si="26"/>
        <v/>
      </c>
    </row>
    <row r="239" spans="2:13" x14ac:dyDescent="0.25">
      <c r="B239" s="56"/>
      <c r="C239" s="14"/>
      <c r="D239" s="15"/>
      <c r="E239" s="15"/>
      <c r="F239" s="15"/>
      <c r="G239" s="422"/>
      <c r="H239" s="17"/>
      <c r="I239" s="18"/>
      <c r="J239" s="62"/>
      <c r="K239" s="62"/>
      <c r="L239" s="420" t="str">
        <f t="shared" si="25"/>
        <v/>
      </c>
      <c r="M239" s="401" t="str">
        <f t="shared" si="26"/>
        <v/>
      </c>
    </row>
    <row r="240" spans="2:13" x14ac:dyDescent="0.25">
      <c r="B240" s="56"/>
      <c r="C240" s="14"/>
      <c r="D240" s="15"/>
      <c r="E240" s="15"/>
      <c r="F240" s="15"/>
      <c r="G240" s="422"/>
      <c r="H240" s="17"/>
      <c r="I240" s="18"/>
      <c r="J240" s="62"/>
      <c r="K240" s="62"/>
      <c r="L240" s="420" t="str">
        <f t="shared" si="25"/>
        <v/>
      </c>
      <c r="M240" s="401" t="str">
        <f t="shared" si="26"/>
        <v/>
      </c>
    </row>
    <row r="241" spans="2:13" x14ac:dyDescent="0.25">
      <c r="B241" s="56"/>
      <c r="C241" s="14"/>
      <c r="D241" s="15"/>
      <c r="E241" s="15"/>
      <c r="F241" s="15"/>
      <c r="G241" s="422"/>
      <c r="H241" s="17"/>
      <c r="I241" s="18"/>
      <c r="J241" s="62"/>
      <c r="K241" s="62"/>
      <c r="L241" s="420" t="str">
        <f t="shared" ref="L241:L245" si="29">IF(J241="","",F241*K241)</f>
        <v/>
      </c>
      <c r="M241" s="401" t="str">
        <f t="shared" ref="M241:M246" si="30">IF(J241="","",IF(SUM(H241)=0,"",L241/H241))</f>
        <v/>
      </c>
    </row>
    <row r="242" spans="2:13" x14ac:dyDescent="0.25">
      <c r="B242" s="56"/>
      <c r="C242" s="14"/>
      <c r="D242" s="15"/>
      <c r="E242" s="15"/>
      <c r="F242" s="15"/>
      <c r="G242" s="422"/>
      <c r="H242" s="17"/>
      <c r="I242" s="18"/>
      <c r="J242" s="62"/>
      <c r="K242" s="62"/>
      <c r="L242" s="420" t="str">
        <f t="shared" si="29"/>
        <v/>
      </c>
      <c r="M242" s="401" t="str">
        <f t="shared" si="30"/>
        <v/>
      </c>
    </row>
    <row r="243" spans="2:13" x14ac:dyDescent="0.25">
      <c r="B243" s="56"/>
      <c r="C243" s="14"/>
      <c r="D243" s="15"/>
      <c r="E243" s="15"/>
      <c r="F243" s="15"/>
      <c r="G243" s="422"/>
      <c r="H243" s="17"/>
      <c r="I243" s="18"/>
      <c r="J243" s="62"/>
      <c r="K243" s="62"/>
      <c r="L243" s="420" t="str">
        <f t="shared" si="29"/>
        <v/>
      </c>
      <c r="M243" s="401" t="str">
        <f t="shared" si="30"/>
        <v/>
      </c>
    </row>
    <row r="244" spans="2:13" x14ac:dyDescent="0.25">
      <c r="B244" s="56"/>
      <c r="C244" s="14"/>
      <c r="D244" s="15"/>
      <c r="E244" s="15"/>
      <c r="F244" s="15"/>
      <c r="G244" s="422"/>
      <c r="H244" s="17" t="str">
        <f t="shared" ref="H244" si="31">IF(D244="","",F244*G244)</f>
        <v/>
      </c>
      <c r="I244" s="18"/>
      <c r="J244" s="61"/>
      <c r="K244" s="62"/>
      <c r="L244" s="420" t="str">
        <f t="shared" si="29"/>
        <v/>
      </c>
      <c r="M244" s="401" t="str">
        <f t="shared" si="30"/>
        <v/>
      </c>
    </row>
    <row r="245" spans="2:13" x14ac:dyDescent="0.25">
      <c r="B245" s="56"/>
      <c r="C245" s="14"/>
      <c r="D245" s="15"/>
      <c r="E245" s="15"/>
      <c r="F245" s="15"/>
      <c r="G245" s="422"/>
      <c r="H245" s="17"/>
      <c r="I245" s="18"/>
      <c r="J245" s="61"/>
      <c r="K245" s="696"/>
      <c r="L245" s="420" t="str">
        <f t="shared" si="29"/>
        <v/>
      </c>
      <c r="M245" s="401" t="str">
        <f t="shared" si="30"/>
        <v/>
      </c>
    </row>
    <row r="246" spans="2:13" s="28" customFormat="1" ht="25" customHeight="1" x14ac:dyDescent="0.25">
      <c r="B246" s="84" t="str">
        <f>$B$12</f>
        <v>C5.3</v>
      </c>
      <c r="C246" s="498" t="str">
        <f>"TOTAL CARRIED FORWARD"&amp;IF(H246=H$1," TO SUMMARY (Page C"&amp;Page_A&amp;")","")</f>
        <v>TOTAL CARRIED FORWARD TO SUMMARY (Page C48)</v>
      </c>
      <c r="D246" s="31"/>
      <c r="E246" s="31"/>
      <c r="F246" s="32"/>
      <c r="G246" s="31"/>
      <c r="H246" s="33">
        <f>SUM(H195:H245)</f>
        <v>1631000</v>
      </c>
      <c r="I246" s="34"/>
      <c r="J246" s="408"/>
      <c r="K246" s="406"/>
      <c r="L246" s="418">
        <f>SUM(L195:L245)</f>
        <v>39880</v>
      </c>
      <c r="M246" s="407" t="str">
        <f t="shared" si="30"/>
        <v/>
      </c>
    </row>
  </sheetData>
  <mergeCells count="25">
    <mergeCell ref="F3:H3"/>
    <mergeCell ref="B7:G9"/>
    <mergeCell ref="H6:H9"/>
    <mergeCell ref="B6:G6"/>
    <mergeCell ref="B70:D70"/>
    <mergeCell ref="F70:H72"/>
    <mergeCell ref="B71:D71"/>
    <mergeCell ref="B72:D72"/>
    <mergeCell ref="B73:G73"/>
    <mergeCell ref="H73:H76"/>
    <mergeCell ref="B74:G76"/>
    <mergeCell ref="B125:D125"/>
    <mergeCell ref="F125:H127"/>
    <mergeCell ref="B126:D126"/>
    <mergeCell ref="B127:D127"/>
    <mergeCell ref="B190:G190"/>
    <mergeCell ref="H190:H193"/>
    <mergeCell ref="B191:G193"/>
    <mergeCell ref="B128:G128"/>
    <mergeCell ref="H128:H131"/>
    <mergeCell ref="B129:G131"/>
    <mergeCell ref="B187:D187"/>
    <mergeCell ref="F187:H189"/>
    <mergeCell ref="B188:D188"/>
    <mergeCell ref="B189:D189"/>
  </mergeCells>
  <phoneticPr fontId="15" type="noConversion"/>
  <conditionalFormatting sqref="G11:H19 G21:H69 G78:H124 G133:H186 G195:H246">
    <cfRule type="expression" dxfId="25" priority="2">
      <formula>AND(_Show_Price=FALSE,$D11&lt;&gt;"PC Sum",$D11&lt;&gt;"P C Sum",$D11&lt;&gt;"Prov Sum",$D11&lt;&gt;"P Sum")</formula>
    </cfRule>
  </conditionalFormatting>
  <conditionalFormatting sqref="G11:H69">
    <cfRule type="expression" dxfId="24"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FFFF00"/>
  </sheetPr>
  <dimension ref="A1:N146"/>
  <sheetViews>
    <sheetView view="pageBreakPreview" topLeftCell="A4"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76" customWidth="1"/>
    <col min="3" max="3" width="45.7265625" style="50"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MAX(H2:H223)</f>
        <v>2064500</v>
      </c>
      <c r="I1" s="247">
        <f>MAX(I2:I223)</f>
        <v>1597200000</v>
      </c>
      <c r="J1" s="248"/>
      <c r="K1" s="249"/>
      <c r="L1" s="247">
        <f>MAX(L2:L223)</f>
        <v>141460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8" t="str">
        <f>Client1</f>
        <v>Province of KwaZulu-Natal</v>
      </c>
      <c r="F3" s="1124" t="str">
        <f>"Contract No. "&amp;ContractNo</f>
        <v>Contract No. ZNB 00399/00000/HOD/INF/21/T</v>
      </c>
      <c r="G3" s="1124"/>
      <c r="H3" s="1124"/>
    </row>
    <row r="4" spans="1:14" ht="13" x14ac:dyDescent="0.25">
      <c r="B4" s="88" t="str">
        <f>Client2</f>
        <v>Department of Transport</v>
      </c>
    </row>
    <row r="5" spans="1:14" x14ac:dyDescent="0.25">
      <c r="B5" s="79"/>
      <c r="C5" s="90"/>
      <c r="D5" s="78"/>
      <c r="E5" s="78"/>
      <c r="F5" s="78"/>
      <c r="G5" s="79"/>
      <c r="H5" s="89"/>
    </row>
    <row r="6" spans="1:14" ht="13" x14ac:dyDescent="0.25">
      <c r="B6" s="1112" t="s">
        <v>8</v>
      </c>
      <c r="C6" s="1113"/>
      <c r="D6" s="1113"/>
      <c r="E6" s="1113"/>
      <c r="F6" s="1113"/>
      <c r="G6" s="1113"/>
      <c r="H6" s="1121" t="str">
        <f>"CHAPTER "&amp;B12</f>
        <v>CHAPTER C5.4</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74"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46"/>
      <c r="C11" s="14"/>
      <c r="D11" s="15"/>
      <c r="E11" s="15"/>
      <c r="F11" s="15"/>
      <c r="G11" s="411"/>
      <c r="H11" s="17" t="str">
        <f t="shared" ref="H11" si="0">IF(D11="","",F11*G11)</f>
        <v/>
      </c>
      <c r="I11" s="18"/>
      <c r="J11" s="702"/>
      <c r="K11" s="619"/>
      <c r="L11" s="420" t="str">
        <f t="shared" ref="L11" si="1">IF(J11="","",F11*K11)</f>
        <v/>
      </c>
      <c r="M11" s="401" t="str">
        <f t="shared" ref="M11" si="2">IF(J11="","",IF(SUM(H11)=0,"",L11/H11))</f>
        <v/>
      </c>
    </row>
    <row r="12" spans="1:14" ht="13" x14ac:dyDescent="0.25">
      <c r="B12" s="73" t="s">
        <v>240</v>
      </c>
      <c r="C12" s="19" t="s">
        <v>241</v>
      </c>
      <c r="D12" s="15"/>
      <c r="E12" s="15"/>
      <c r="F12" s="15"/>
      <c r="G12" s="411"/>
      <c r="H12" s="17" t="str">
        <f t="shared" ref="H12:H35" si="3">IF(D12="","",F12*G12)</f>
        <v/>
      </c>
      <c r="I12" s="18" t="str">
        <f t="shared" ref="I12:I35" si="4">IF(F12="","",G12*H12)</f>
        <v/>
      </c>
      <c r="J12" s="61"/>
      <c r="K12" s="399"/>
      <c r="L12" s="420" t="str">
        <f t="shared" ref="L12:L35" si="5">IF(J12="","",F12*K12)</f>
        <v/>
      </c>
      <c r="M12" s="401" t="str">
        <f t="shared" ref="M12:M76" si="6">IF(J12="","",IF(SUM(H12)=0,"",L12/H12))</f>
        <v/>
      </c>
    </row>
    <row r="13" spans="1:14" x14ac:dyDescent="0.25">
      <c r="B13" s="46"/>
      <c r="C13" s="14"/>
      <c r="D13" s="15"/>
      <c r="E13" s="15"/>
      <c r="F13" s="15"/>
      <c r="G13" s="411"/>
      <c r="H13" s="17" t="str">
        <f t="shared" si="3"/>
        <v/>
      </c>
      <c r="I13" s="18" t="str">
        <f t="shared" si="4"/>
        <v/>
      </c>
      <c r="J13" s="61"/>
      <c r="K13" s="399"/>
      <c r="L13" s="420" t="str">
        <f t="shared" si="5"/>
        <v/>
      </c>
      <c r="M13" s="401" t="str">
        <f t="shared" si="6"/>
        <v/>
      </c>
    </row>
    <row r="14" spans="1:14" ht="13" x14ac:dyDescent="0.25">
      <c r="B14" s="73" t="s">
        <v>242</v>
      </c>
      <c r="C14" s="19" t="s">
        <v>243</v>
      </c>
      <c r="D14" s="15"/>
      <c r="E14" s="15"/>
      <c r="F14" s="24"/>
      <c r="G14" s="703"/>
      <c r="H14" s="17" t="str">
        <f t="shared" si="3"/>
        <v/>
      </c>
      <c r="I14" s="18" t="str">
        <f t="shared" si="4"/>
        <v/>
      </c>
      <c r="J14" s="61"/>
      <c r="K14" s="399"/>
      <c r="L14" s="420" t="str">
        <f t="shared" si="5"/>
        <v/>
      </c>
      <c r="M14" s="401" t="str">
        <f t="shared" si="6"/>
        <v/>
      </c>
    </row>
    <row r="15" spans="1:14" x14ac:dyDescent="0.25">
      <c r="B15" s="46"/>
      <c r="C15" s="14"/>
      <c r="D15" s="15"/>
      <c r="E15" s="15"/>
      <c r="F15" s="24"/>
      <c r="G15" s="411"/>
      <c r="H15" s="17" t="str">
        <f t="shared" si="3"/>
        <v/>
      </c>
      <c r="I15" s="18" t="str">
        <f t="shared" si="4"/>
        <v/>
      </c>
      <c r="J15" s="61"/>
      <c r="K15" s="399"/>
      <c r="L15" s="420" t="str">
        <f t="shared" si="5"/>
        <v/>
      </c>
      <c r="M15" s="401" t="str">
        <f t="shared" si="6"/>
        <v/>
      </c>
    </row>
    <row r="16" spans="1:14" x14ac:dyDescent="0.25">
      <c r="B16" s="46" t="s">
        <v>244</v>
      </c>
      <c r="C16" s="14" t="s">
        <v>1836</v>
      </c>
      <c r="D16" s="15"/>
      <c r="E16" s="15"/>
      <c r="F16" s="24"/>
      <c r="G16" s="423"/>
      <c r="H16" s="17" t="str">
        <f t="shared" si="3"/>
        <v/>
      </c>
      <c r="I16" s="57" t="str">
        <f t="shared" si="4"/>
        <v/>
      </c>
      <c r="J16" s="61"/>
      <c r="K16" s="400"/>
      <c r="L16" s="420" t="str">
        <f t="shared" si="5"/>
        <v/>
      </c>
      <c r="M16" s="401" t="str">
        <f t="shared" si="6"/>
        <v/>
      </c>
    </row>
    <row r="17" spans="2:13" x14ac:dyDescent="0.25">
      <c r="B17" s="46"/>
      <c r="C17" s="14"/>
      <c r="D17" s="15"/>
      <c r="E17" s="15"/>
      <c r="F17" s="24"/>
      <c r="G17" s="423"/>
      <c r="H17" s="17" t="str">
        <f t="shared" si="3"/>
        <v/>
      </c>
      <c r="I17" s="57" t="str">
        <f t="shared" si="4"/>
        <v/>
      </c>
      <c r="J17" s="61"/>
      <c r="K17" s="399"/>
      <c r="L17" s="420" t="str">
        <f t="shared" si="5"/>
        <v/>
      </c>
      <c r="M17" s="401" t="str">
        <f t="shared" si="6"/>
        <v/>
      </c>
    </row>
    <row r="18" spans="2:13" ht="14.5" x14ac:dyDescent="0.25">
      <c r="B18" s="46" t="s">
        <v>39</v>
      </c>
      <c r="C18" s="668" t="s">
        <v>1689</v>
      </c>
      <c r="D18" s="15" t="s">
        <v>23</v>
      </c>
      <c r="E18" s="15"/>
      <c r="F18" s="24">
        <f>Quantities!$S$764</f>
        <v>3600</v>
      </c>
      <c r="G18" s="423">
        <v>90</v>
      </c>
      <c r="H18" s="17">
        <f t="shared" si="3"/>
        <v>324000</v>
      </c>
      <c r="I18" s="57">
        <f t="shared" si="4"/>
        <v>29160000</v>
      </c>
      <c r="J18" s="61" t="s">
        <v>996</v>
      </c>
      <c r="K18" s="402">
        <f>ROUND(12%*G18,1)</f>
        <v>10.8</v>
      </c>
      <c r="L18" s="420">
        <f t="shared" si="5"/>
        <v>38880</v>
      </c>
      <c r="M18" s="401">
        <f t="shared" si="6"/>
        <v>0.12</v>
      </c>
    </row>
    <row r="19" spans="2:13" x14ac:dyDescent="0.25">
      <c r="B19" s="46"/>
      <c r="C19" s="14"/>
      <c r="D19" s="15"/>
      <c r="E19" s="15"/>
      <c r="F19" s="24"/>
      <c r="G19" s="423"/>
      <c r="H19" s="17" t="str">
        <f t="shared" si="3"/>
        <v/>
      </c>
      <c r="I19" s="57" t="str">
        <f t="shared" si="4"/>
        <v/>
      </c>
      <c r="J19" s="61"/>
      <c r="K19" s="399"/>
      <c r="L19" s="420" t="str">
        <f t="shared" si="5"/>
        <v/>
      </c>
      <c r="M19" s="401" t="str">
        <f t="shared" si="6"/>
        <v/>
      </c>
    </row>
    <row r="20" spans="2:13" ht="14.5" x14ac:dyDescent="0.25">
      <c r="B20" s="58" t="s">
        <v>41</v>
      </c>
      <c r="C20" s="668" t="s">
        <v>1690</v>
      </c>
      <c r="D20" s="15" t="s">
        <v>23</v>
      </c>
      <c r="E20" s="15"/>
      <c r="F20" s="24">
        <f>Quantities!$S$769</f>
        <v>2900</v>
      </c>
      <c r="G20" s="423">
        <v>90</v>
      </c>
      <c r="H20" s="17">
        <f t="shared" si="3"/>
        <v>261000</v>
      </c>
      <c r="I20" s="57">
        <f t="shared" si="4"/>
        <v>23490000</v>
      </c>
      <c r="J20" s="61" t="s">
        <v>996</v>
      </c>
      <c r="K20" s="402">
        <f>ROUND(12%*G20,1)</f>
        <v>10.8</v>
      </c>
      <c r="L20" s="420">
        <f t="shared" si="5"/>
        <v>31320.000000000004</v>
      </c>
      <c r="M20" s="401">
        <f t="shared" si="6"/>
        <v>0.12000000000000001</v>
      </c>
    </row>
    <row r="21" spans="2:13" x14ac:dyDescent="0.25">
      <c r="B21" s="58"/>
      <c r="C21" s="65"/>
      <c r="D21" s="15"/>
      <c r="E21" s="15"/>
      <c r="F21" s="24"/>
      <c r="G21" s="411"/>
      <c r="H21" s="17" t="str">
        <f t="shared" si="3"/>
        <v/>
      </c>
      <c r="I21" s="18" t="str">
        <f t="shared" si="4"/>
        <v/>
      </c>
      <c r="J21" s="61"/>
      <c r="K21" s="402"/>
      <c r="L21" s="420" t="str">
        <f t="shared" si="5"/>
        <v/>
      </c>
      <c r="M21" s="401" t="str">
        <f t="shared" si="6"/>
        <v/>
      </c>
    </row>
    <row r="22" spans="2:13" ht="26" x14ac:dyDescent="0.25">
      <c r="B22" s="146" t="s">
        <v>2178</v>
      </c>
      <c r="C22" s="672" t="s">
        <v>2179</v>
      </c>
      <c r="D22" s="15"/>
      <c r="E22" s="15"/>
      <c r="F22" s="24"/>
      <c r="G22" s="411"/>
      <c r="H22" s="17" t="str">
        <f t="shared" ref="H22:H28" si="7">IF(D22="","",F22*G22)</f>
        <v/>
      </c>
      <c r="I22" s="18" t="str">
        <f t="shared" ref="I22:I28" si="8">IF(F22="","",G22*H22)</f>
        <v/>
      </c>
      <c r="J22" s="61"/>
      <c r="K22" s="399"/>
      <c r="L22" s="420" t="str">
        <f t="shared" ref="L22:L28" si="9">IF(J22="","",F22*K22)</f>
        <v/>
      </c>
      <c r="M22" s="401" t="str">
        <f t="shared" ref="M22:M28" si="10">IF(J22="","",IF(SUM(H22)=0,"",L22/H22))</f>
        <v/>
      </c>
    </row>
    <row r="23" spans="2:13" x14ac:dyDescent="0.25">
      <c r="B23" s="58"/>
      <c r="C23" s="65"/>
      <c r="D23" s="15"/>
      <c r="E23" s="15"/>
      <c r="F23" s="24"/>
      <c r="G23" s="422"/>
      <c r="H23" s="17" t="str">
        <f t="shared" si="7"/>
        <v/>
      </c>
      <c r="I23" s="57" t="str">
        <f t="shared" si="8"/>
        <v/>
      </c>
      <c r="J23" s="61"/>
      <c r="K23" s="399"/>
      <c r="L23" s="420" t="str">
        <f t="shared" si="9"/>
        <v/>
      </c>
      <c r="M23" s="401" t="str">
        <f t="shared" si="10"/>
        <v/>
      </c>
    </row>
    <row r="24" spans="2:13" ht="50" x14ac:dyDescent="0.25">
      <c r="B24" s="58" t="s">
        <v>2180</v>
      </c>
      <c r="C24" s="65" t="s">
        <v>2181</v>
      </c>
      <c r="D24" s="15"/>
      <c r="E24" s="15"/>
      <c r="F24" s="24"/>
      <c r="G24" s="411"/>
      <c r="H24" s="17" t="str">
        <f t="shared" si="7"/>
        <v/>
      </c>
      <c r="I24" s="18" t="str">
        <f t="shared" si="8"/>
        <v/>
      </c>
      <c r="J24" s="61"/>
      <c r="K24" s="399"/>
      <c r="L24" s="420" t="str">
        <f t="shared" si="9"/>
        <v/>
      </c>
      <c r="M24" s="401" t="str">
        <f t="shared" si="10"/>
        <v/>
      </c>
    </row>
    <row r="25" spans="2:13" x14ac:dyDescent="0.25">
      <c r="B25" s="58"/>
      <c r="C25" s="65"/>
      <c r="D25" s="15"/>
      <c r="E25" s="15"/>
      <c r="F25" s="24"/>
      <c r="G25" s="411"/>
      <c r="H25" s="17" t="str">
        <f t="shared" si="7"/>
        <v/>
      </c>
      <c r="I25" s="18" t="str">
        <f t="shared" si="8"/>
        <v/>
      </c>
      <c r="J25" s="61"/>
      <c r="K25" s="399"/>
      <c r="L25" s="420" t="str">
        <f t="shared" si="9"/>
        <v/>
      </c>
      <c r="M25" s="401" t="str">
        <f t="shared" si="10"/>
        <v/>
      </c>
    </row>
    <row r="26" spans="2:13" x14ac:dyDescent="0.25">
      <c r="B26" s="58" t="s">
        <v>39</v>
      </c>
      <c r="C26" s="65" t="s">
        <v>2182</v>
      </c>
      <c r="D26" s="15" t="s">
        <v>7</v>
      </c>
      <c r="E26" s="15" t="s">
        <v>996</v>
      </c>
      <c r="F26" s="578">
        <f>Quantities!$S$775</f>
        <v>330</v>
      </c>
      <c r="G26" s="422">
        <v>2200</v>
      </c>
      <c r="H26" s="17">
        <f t="shared" si="7"/>
        <v>726000</v>
      </c>
      <c r="I26" s="57">
        <f t="shared" si="8"/>
        <v>1597200000</v>
      </c>
      <c r="J26" s="61" t="s">
        <v>1721</v>
      </c>
      <c r="K26" s="399">
        <f>ROUND(7%*G26,0)</f>
        <v>154</v>
      </c>
      <c r="L26" s="420">
        <f t="shared" si="9"/>
        <v>50820</v>
      </c>
      <c r="M26" s="401">
        <f t="shared" si="10"/>
        <v>7.0000000000000007E-2</v>
      </c>
    </row>
    <row r="27" spans="2:13" x14ac:dyDescent="0.25">
      <c r="B27" s="58"/>
      <c r="C27" s="65"/>
      <c r="D27" s="15"/>
      <c r="E27" s="15"/>
      <c r="F27" s="15"/>
      <c r="G27" s="422"/>
      <c r="H27" s="17" t="str">
        <f t="shared" si="7"/>
        <v/>
      </c>
      <c r="I27" s="57" t="str">
        <f t="shared" si="8"/>
        <v/>
      </c>
      <c r="J27" s="61"/>
      <c r="K27" s="399"/>
      <c r="L27" s="420" t="str">
        <f t="shared" si="9"/>
        <v/>
      </c>
      <c r="M27" s="401" t="str">
        <f t="shared" si="10"/>
        <v/>
      </c>
    </row>
    <row r="28" spans="2:13" x14ac:dyDescent="0.25">
      <c r="B28" s="46" t="s">
        <v>41</v>
      </c>
      <c r="C28" s="14" t="s">
        <v>2183</v>
      </c>
      <c r="D28" s="15" t="s">
        <v>7</v>
      </c>
      <c r="E28" s="15" t="s">
        <v>996</v>
      </c>
      <c r="F28" s="578">
        <f>Quantities!$S$777</f>
        <v>110</v>
      </c>
      <c r="G28" s="411">
        <v>2200</v>
      </c>
      <c r="H28" s="17">
        <f t="shared" si="7"/>
        <v>242000</v>
      </c>
      <c r="I28" s="18">
        <f t="shared" si="8"/>
        <v>532400000</v>
      </c>
      <c r="J28" s="61" t="s">
        <v>1721</v>
      </c>
      <c r="K28" s="399">
        <f>ROUND(7%*G28,0)</f>
        <v>154</v>
      </c>
      <c r="L28" s="420">
        <f t="shared" si="9"/>
        <v>16940</v>
      </c>
      <c r="M28" s="401">
        <f t="shared" si="10"/>
        <v>7.0000000000000007E-2</v>
      </c>
    </row>
    <row r="29" spans="2:13" x14ac:dyDescent="0.25">
      <c r="B29" s="46"/>
      <c r="C29" s="14"/>
      <c r="D29" s="15"/>
      <c r="E29" s="15"/>
      <c r="F29" s="24"/>
      <c r="G29" s="411"/>
      <c r="H29" s="17"/>
      <c r="I29" s="18"/>
      <c r="J29" s="61"/>
      <c r="K29" s="402"/>
      <c r="L29" s="420"/>
      <c r="M29" s="401"/>
    </row>
    <row r="30" spans="2:13" ht="13" x14ac:dyDescent="0.25">
      <c r="B30" s="73" t="s">
        <v>246</v>
      </c>
      <c r="C30" s="19" t="s">
        <v>247</v>
      </c>
      <c r="D30" s="15" t="s">
        <v>513</v>
      </c>
      <c r="E30" s="15"/>
      <c r="F30" s="578">
        <f>Quantities!S786</f>
        <v>1700</v>
      </c>
      <c r="G30" s="424">
        <v>45</v>
      </c>
      <c r="H30" s="743">
        <f t="shared" si="3"/>
        <v>76500</v>
      </c>
      <c r="I30" s="63">
        <f t="shared" si="4"/>
        <v>3442500</v>
      </c>
      <c r="J30" s="61"/>
      <c r="K30" s="399"/>
      <c r="L30" s="420" t="str">
        <f t="shared" si="5"/>
        <v/>
      </c>
      <c r="M30" s="401" t="str">
        <f t="shared" si="6"/>
        <v/>
      </c>
    </row>
    <row r="31" spans="2:13" x14ac:dyDescent="0.25">
      <c r="B31" s="46"/>
      <c r="C31" s="26"/>
      <c r="D31" s="15"/>
      <c r="E31" s="15"/>
      <c r="F31" s="15"/>
      <c r="G31" s="424"/>
      <c r="H31" s="743" t="str">
        <f t="shared" si="3"/>
        <v/>
      </c>
      <c r="I31" s="63" t="str">
        <f t="shared" si="4"/>
        <v/>
      </c>
      <c r="J31" s="61"/>
      <c r="K31" s="399"/>
      <c r="L31" s="420" t="str">
        <f t="shared" si="5"/>
        <v/>
      </c>
      <c r="M31" s="401" t="str">
        <f t="shared" si="6"/>
        <v/>
      </c>
    </row>
    <row r="32" spans="2:13" ht="14.5" x14ac:dyDescent="0.25">
      <c r="B32" s="73" t="s">
        <v>248</v>
      </c>
      <c r="C32" s="7" t="s">
        <v>249</v>
      </c>
      <c r="D32" s="15" t="s">
        <v>61</v>
      </c>
      <c r="E32" s="15"/>
      <c r="F32" s="578">
        <f>Quantities!$S$792</f>
        <v>76000</v>
      </c>
      <c r="G32" s="424">
        <v>5</v>
      </c>
      <c r="H32" s="743">
        <f t="shared" si="3"/>
        <v>380000</v>
      </c>
      <c r="I32" s="63">
        <f t="shared" si="4"/>
        <v>1900000</v>
      </c>
      <c r="J32" s="61"/>
      <c r="K32" s="399"/>
      <c r="L32" s="420" t="str">
        <f t="shared" si="5"/>
        <v/>
      </c>
      <c r="M32" s="401" t="str">
        <f t="shared" si="6"/>
        <v/>
      </c>
    </row>
    <row r="33" spans="2:13" x14ac:dyDescent="0.25">
      <c r="B33" s="46"/>
      <c r="C33" s="14"/>
      <c r="D33" s="15"/>
      <c r="E33" s="15"/>
      <c r="F33" s="24"/>
      <c r="G33" s="423"/>
      <c r="H33" s="17" t="str">
        <f t="shared" si="3"/>
        <v/>
      </c>
      <c r="I33" s="63" t="str">
        <f t="shared" si="4"/>
        <v/>
      </c>
      <c r="J33" s="61"/>
      <c r="K33" s="399"/>
      <c r="L33" s="420" t="str">
        <f t="shared" si="5"/>
        <v/>
      </c>
      <c r="M33" s="401" t="str">
        <f t="shared" si="6"/>
        <v/>
      </c>
    </row>
    <row r="34" spans="2:13" ht="14.5" x14ac:dyDescent="0.25">
      <c r="B34" s="73" t="s">
        <v>250</v>
      </c>
      <c r="C34" s="19" t="s">
        <v>251</v>
      </c>
      <c r="D34" s="15" t="s">
        <v>23</v>
      </c>
      <c r="E34" s="15"/>
      <c r="F34" s="578">
        <f>Quantities!$S$795</f>
        <v>500</v>
      </c>
      <c r="G34" s="422">
        <v>110</v>
      </c>
      <c r="H34" s="17">
        <f t="shared" si="3"/>
        <v>55000</v>
      </c>
      <c r="I34" s="63">
        <f t="shared" si="4"/>
        <v>6050000</v>
      </c>
      <c r="J34" s="61" t="s">
        <v>1721</v>
      </c>
      <c r="K34" s="402">
        <f>ROUND(6%*G34,0)</f>
        <v>7</v>
      </c>
      <c r="L34" s="420">
        <f t="shared" si="5"/>
        <v>3500</v>
      </c>
      <c r="M34" s="401">
        <f t="shared" si="6"/>
        <v>6.363636363636363E-2</v>
      </c>
    </row>
    <row r="35" spans="2:13" x14ac:dyDescent="0.25">
      <c r="B35" s="46"/>
      <c r="C35" s="14"/>
      <c r="D35" s="15"/>
      <c r="E35" s="15"/>
      <c r="F35" s="24"/>
      <c r="G35" s="411"/>
      <c r="H35" s="17" t="str">
        <f t="shared" si="3"/>
        <v/>
      </c>
      <c r="I35" s="18" t="str">
        <f t="shared" si="4"/>
        <v/>
      </c>
      <c r="J35" s="61"/>
      <c r="K35" s="399"/>
      <c r="L35" s="420" t="str">
        <f t="shared" si="5"/>
        <v/>
      </c>
      <c r="M35" s="401" t="str">
        <f t="shared" si="6"/>
        <v/>
      </c>
    </row>
    <row r="36" spans="2:13" x14ac:dyDescent="0.25">
      <c r="B36" s="46"/>
      <c r="C36" s="14"/>
      <c r="D36" s="15"/>
      <c r="E36" s="15"/>
      <c r="F36" s="24"/>
      <c r="G36" s="411"/>
      <c r="H36" s="17" t="str">
        <f t="shared" ref="H36:H75" si="11">IF(D36="","",F36*G36)</f>
        <v/>
      </c>
      <c r="I36" s="18" t="str">
        <f t="shared" ref="I36:I75" si="12">IF(F36="","",G36*H36)</f>
        <v/>
      </c>
      <c r="J36" s="61"/>
      <c r="K36" s="399"/>
      <c r="L36" s="420" t="str">
        <f t="shared" ref="L36:L75" si="13">IF(J36="","",F36*K36)</f>
        <v/>
      </c>
      <c r="M36" s="401" t="str">
        <f t="shared" ref="M36:M75" si="14">IF(J36="","",IF(SUM(H36)=0,"",L36/H36))</f>
        <v/>
      </c>
    </row>
    <row r="37" spans="2:13" x14ac:dyDescent="0.25">
      <c r="B37" s="46"/>
      <c r="C37" s="14"/>
      <c r="D37" s="15"/>
      <c r="E37" s="15"/>
      <c r="F37" s="24"/>
      <c r="G37" s="423"/>
      <c r="H37" s="17" t="str">
        <f t="shared" si="11"/>
        <v/>
      </c>
      <c r="I37" s="18" t="str">
        <f t="shared" si="12"/>
        <v/>
      </c>
      <c r="J37" s="61"/>
      <c r="K37" s="399"/>
      <c r="L37" s="420" t="str">
        <f t="shared" si="13"/>
        <v/>
      </c>
      <c r="M37" s="401" t="str">
        <f t="shared" si="14"/>
        <v/>
      </c>
    </row>
    <row r="38" spans="2:13" x14ac:dyDescent="0.25">
      <c r="B38" s="46"/>
      <c r="C38" s="14"/>
      <c r="D38" s="15"/>
      <c r="E38" s="15"/>
      <c r="F38" s="24"/>
      <c r="G38" s="423"/>
      <c r="H38" s="17" t="str">
        <f t="shared" si="11"/>
        <v/>
      </c>
      <c r="I38" s="18" t="str">
        <f t="shared" si="12"/>
        <v/>
      </c>
      <c r="J38" s="61"/>
      <c r="K38" s="399"/>
      <c r="L38" s="420" t="str">
        <f t="shared" si="13"/>
        <v/>
      </c>
      <c r="M38" s="401" t="str">
        <f t="shared" si="14"/>
        <v/>
      </c>
    </row>
    <row r="39" spans="2:13" x14ac:dyDescent="0.25">
      <c r="B39" s="46"/>
      <c r="C39" s="14"/>
      <c r="D39" s="15"/>
      <c r="E39" s="15"/>
      <c r="F39" s="15"/>
      <c r="G39" s="411"/>
      <c r="H39" s="17" t="str">
        <f t="shared" si="11"/>
        <v/>
      </c>
      <c r="I39" s="18" t="str">
        <f t="shared" si="12"/>
        <v/>
      </c>
      <c r="J39" s="61"/>
      <c r="K39" s="402"/>
      <c r="L39" s="420" t="str">
        <f t="shared" si="13"/>
        <v/>
      </c>
      <c r="M39" s="401" t="str">
        <f t="shared" si="14"/>
        <v/>
      </c>
    </row>
    <row r="40" spans="2:13" x14ac:dyDescent="0.25">
      <c r="B40" s="46"/>
      <c r="C40" s="14"/>
      <c r="D40" s="15"/>
      <c r="E40" s="15"/>
      <c r="F40" s="15"/>
      <c r="G40" s="411"/>
      <c r="H40" s="17" t="str">
        <f t="shared" si="11"/>
        <v/>
      </c>
      <c r="I40" s="18" t="str">
        <f t="shared" si="12"/>
        <v/>
      </c>
      <c r="J40" s="61"/>
      <c r="K40" s="399"/>
      <c r="L40" s="420" t="str">
        <f t="shared" si="13"/>
        <v/>
      </c>
      <c r="M40" s="401" t="str">
        <f t="shared" si="14"/>
        <v/>
      </c>
    </row>
    <row r="41" spans="2:13" x14ac:dyDescent="0.25">
      <c r="B41" s="46"/>
      <c r="C41" s="14"/>
      <c r="D41" s="15"/>
      <c r="E41" s="15"/>
      <c r="F41" s="15"/>
      <c r="G41" s="422"/>
      <c r="H41" s="17" t="str">
        <f t="shared" si="11"/>
        <v/>
      </c>
      <c r="I41" s="18" t="str">
        <f t="shared" si="12"/>
        <v/>
      </c>
      <c r="J41" s="61"/>
      <c r="K41" s="402"/>
      <c r="L41" s="420" t="str">
        <f t="shared" si="13"/>
        <v/>
      </c>
      <c r="M41" s="401" t="str">
        <f t="shared" si="14"/>
        <v/>
      </c>
    </row>
    <row r="42" spans="2:13" x14ac:dyDescent="0.25">
      <c r="B42" s="46"/>
      <c r="C42" s="14"/>
      <c r="D42" s="15"/>
      <c r="E42" s="15"/>
      <c r="F42" s="15"/>
      <c r="G42" s="422"/>
      <c r="H42" s="17" t="str">
        <f t="shared" si="11"/>
        <v/>
      </c>
      <c r="I42" s="18" t="str">
        <f t="shared" si="12"/>
        <v/>
      </c>
      <c r="J42" s="61"/>
      <c r="K42" s="402"/>
      <c r="L42" s="420" t="str">
        <f t="shared" si="13"/>
        <v/>
      </c>
      <c r="M42" s="401" t="str">
        <f t="shared" si="14"/>
        <v/>
      </c>
    </row>
    <row r="43" spans="2:13" x14ac:dyDescent="0.25">
      <c r="B43" s="46"/>
      <c r="C43" s="14"/>
      <c r="D43" s="15"/>
      <c r="E43" s="15"/>
      <c r="F43" s="15"/>
      <c r="G43" s="422"/>
      <c r="H43" s="17" t="str">
        <f t="shared" si="11"/>
        <v/>
      </c>
      <c r="I43" s="18" t="str">
        <f t="shared" si="12"/>
        <v/>
      </c>
      <c r="J43" s="61"/>
      <c r="K43" s="399"/>
      <c r="L43" s="420" t="str">
        <f t="shared" si="13"/>
        <v/>
      </c>
      <c r="M43" s="401" t="str">
        <f t="shared" si="14"/>
        <v/>
      </c>
    </row>
    <row r="44" spans="2:13" x14ac:dyDescent="0.25">
      <c r="B44" s="46"/>
      <c r="C44" s="14"/>
      <c r="D44" s="15"/>
      <c r="E44" s="15"/>
      <c r="F44" s="15"/>
      <c r="G44" s="422"/>
      <c r="H44" s="17" t="str">
        <f t="shared" si="11"/>
        <v/>
      </c>
      <c r="I44" s="18" t="str">
        <f t="shared" si="12"/>
        <v/>
      </c>
      <c r="J44" s="61"/>
      <c r="K44" s="399"/>
      <c r="L44" s="420" t="str">
        <f t="shared" si="13"/>
        <v/>
      </c>
      <c r="M44" s="401" t="str">
        <f t="shared" si="14"/>
        <v/>
      </c>
    </row>
    <row r="45" spans="2:13" x14ac:dyDescent="0.25">
      <c r="B45" s="46"/>
      <c r="C45" s="14"/>
      <c r="D45" s="15"/>
      <c r="E45" s="15"/>
      <c r="F45" s="15"/>
      <c r="G45" s="422"/>
      <c r="H45" s="17" t="str">
        <f t="shared" si="11"/>
        <v/>
      </c>
      <c r="I45" s="18" t="str">
        <f t="shared" si="12"/>
        <v/>
      </c>
      <c r="J45" s="61"/>
      <c r="K45" s="399"/>
      <c r="L45" s="420" t="str">
        <f t="shared" si="13"/>
        <v/>
      </c>
      <c r="M45" s="401" t="str">
        <f t="shared" si="14"/>
        <v/>
      </c>
    </row>
    <row r="46" spans="2:13" x14ac:dyDescent="0.25">
      <c r="B46" s="46"/>
      <c r="C46" s="14"/>
      <c r="D46" s="15"/>
      <c r="E46" s="15"/>
      <c r="F46" s="15"/>
      <c r="G46" s="422"/>
      <c r="H46" s="17" t="str">
        <f t="shared" si="11"/>
        <v/>
      </c>
      <c r="I46" s="18" t="str">
        <f t="shared" si="12"/>
        <v/>
      </c>
      <c r="J46" s="61"/>
      <c r="K46" s="399"/>
      <c r="L46" s="420" t="str">
        <f t="shared" si="13"/>
        <v/>
      </c>
      <c r="M46" s="401" t="str">
        <f t="shared" si="14"/>
        <v/>
      </c>
    </row>
    <row r="47" spans="2:13" x14ac:dyDescent="0.25">
      <c r="B47" s="46"/>
      <c r="C47" s="14"/>
      <c r="D47" s="15"/>
      <c r="E47" s="15"/>
      <c r="F47" s="15"/>
      <c r="G47" s="422"/>
      <c r="H47" s="17" t="str">
        <f t="shared" si="11"/>
        <v/>
      </c>
      <c r="I47" s="18" t="str">
        <f t="shared" si="12"/>
        <v/>
      </c>
      <c r="J47" s="62"/>
      <c r="K47" s="62"/>
      <c r="L47" s="420" t="str">
        <f t="shared" si="13"/>
        <v/>
      </c>
      <c r="M47" s="401" t="str">
        <f t="shared" si="14"/>
        <v/>
      </c>
    </row>
    <row r="48" spans="2:13" x14ac:dyDescent="0.25">
      <c r="B48" s="46"/>
      <c r="C48" s="14"/>
      <c r="D48" s="15"/>
      <c r="E48" s="15"/>
      <c r="F48" s="15"/>
      <c r="G48" s="422"/>
      <c r="H48" s="17" t="str">
        <f t="shared" si="11"/>
        <v/>
      </c>
      <c r="I48" s="18" t="str">
        <f t="shared" si="12"/>
        <v/>
      </c>
      <c r="J48" s="61"/>
      <c r="K48" s="62"/>
      <c r="L48" s="420" t="str">
        <f t="shared" si="13"/>
        <v/>
      </c>
      <c r="M48" s="401" t="str">
        <f t="shared" si="14"/>
        <v/>
      </c>
    </row>
    <row r="49" spans="2:13" x14ac:dyDescent="0.25">
      <c r="B49" s="46"/>
      <c r="C49" s="14"/>
      <c r="D49" s="15"/>
      <c r="E49" s="15"/>
      <c r="F49" s="15"/>
      <c r="G49" s="424"/>
      <c r="H49" s="17" t="str">
        <f t="shared" si="11"/>
        <v/>
      </c>
      <c r="I49" s="18" t="str">
        <f t="shared" si="12"/>
        <v/>
      </c>
      <c r="J49" s="61"/>
      <c r="K49" s="62"/>
      <c r="L49" s="420" t="str">
        <f t="shared" si="13"/>
        <v/>
      </c>
      <c r="M49" s="401" t="str">
        <f t="shared" si="14"/>
        <v/>
      </c>
    </row>
    <row r="50" spans="2:13" x14ac:dyDescent="0.25">
      <c r="B50" s="83"/>
      <c r="C50" s="14"/>
      <c r="D50" s="15"/>
      <c r="E50" s="15"/>
      <c r="F50" s="15"/>
      <c r="G50" s="424"/>
      <c r="H50" s="17" t="str">
        <f t="shared" si="11"/>
        <v/>
      </c>
      <c r="I50" s="18" t="str">
        <f t="shared" si="12"/>
        <v/>
      </c>
      <c r="J50" s="62"/>
      <c r="K50" s="62"/>
      <c r="L50" s="420" t="str">
        <f t="shared" si="13"/>
        <v/>
      </c>
      <c r="M50" s="401" t="str">
        <f t="shared" si="14"/>
        <v/>
      </c>
    </row>
    <row r="51" spans="2:13" x14ac:dyDescent="0.25">
      <c r="B51" s="46"/>
      <c r="C51" s="14"/>
      <c r="D51" s="15"/>
      <c r="E51" s="15"/>
      <c r="F51" s="15"/>
      <c r="G51" s="422"/>
      <c r="H51" s="17" t="str">
        <f t="shared" si="11"/>
        <v/>
      </c>
      <c r="I51" s="18" t="str">
        <f t="shared" si="12"/>
        <v/>
      </c>
      <c r="J51" s="62"/>
      <c r="K51" s="62"/>
      <c r="L51" s="420" t="str">
        <f t="shared" si="13"/>
        <v/>
      </c>
      <c r="M51" s="401" t="str">
        <f t="shared" si="14"/>
        <v/>
      </c>
    </row>
    <row r="52" spans="2:13" x14ac:dyDescent="0.25">
      <c r="B52" s="46"/>
      <c r="C52" s="14"/>
      <c r="D52" s="15"/>
      <c r="E52" s="15"/>
      <c r="F52" s="15"/>
      <c r="G52" s="422"/>
      <c r="H52" s="17" t="str">
        <f t="shared" si="11"/>
        <v/>
      </c>
      <c r="I52" s="18" t="str">
        <f t="shared" si="12"/>
        <v/>
      </c>
      <c r="J52" s="62"/>
      <c r="K52" s="62"/>
      <c r="L52" s="420" t="str">
        <f t="shared" si="13"/>
        <v/>
      </c>
      <c r="M52" s="401" t="str">
        <f t="shared" si="14"/>
        <v/>
      </c>
    </row>
    <row r="53" spans="2:13" x14ac:dyDescent="0.25">
      <c r="B53" s="46"/>
      <c r="C53" s="14"/>
      <c r="D53" s="15"/>
      <c r="E53" s="15"/>
      <c r="F53" s="15"/>
      <c r="G53" s="422"/>
      <c r="H53" s="17" t="str">
        <f t="shared" si="11"/>
        <v/>
      </c>
      <c r="I53" s="18" t="str">
        <f t="shared" si="12"/>
        <v/>
      </c>
      <c r="J53" s="62"/>
      <c r="K53" s="62"/>
      <c r="L53" s="420" t="str">
        <f t="shared" si="13"/>
        <v/>
      </c>
      <c r="M53" s="401" t="str">
        <f t="shared" si="14"/>
        <v/>
      </c>
    </row>
    <row r="54" spans="2:13" x14ac:dyDescent="0.25">
      <c r="B54" s="46"/>
      <c r="C54" s="14"/>
      <c r="D54" s="15"/>
      <c r="E54" s="15"/>
      <c r="F54" s="15"/>
      <c r="G54" s="422"/>
      <c r="H54" s="17" t="str">
        <f t="shared" si="11"/>
        <v/>
      </c>
      <c r="I54" s="18" t="str">
        <f t="shared" si="12"/>
        <v/>
      </c>
      <c r="J54" s="62"/>
      <c r="K54" s="62"/>
      <c r="L54" s="420" t="str">
        <f t="shared" si="13"/>
        <v/>
      </c>
      <c r="M54" s="401" t="str">
        <f t="shared" si="14"/>
        <v/>
      </c>
    </row>
    <row r="55" spans="2:13" x14ac:dyDescent="0.25">
      <c r="B55" s="46"/>
      <c r="C55" s="14"/>
      <c r="D55" s="15"/>
      <c r="E55" s="15"/>
      <c r="F55" s="15"/>
      <c r="G55" s="422"/>
      <c r="H55" s="17" t="str">
        <f t="shared" si="11"/>
        <v/>
      </c>
      <c r="I55" s="18" t="str">
        <f t="shared" si="12"/>
        <v/>
      </c>
      <c r="J55" s="62"/>
      <c r="K55" s="62"/>
      <c r="L55" s="420" t="str">
        <f t="shared" si="13"/>
        <v/>
      </c>
      <c r="M55" s="401" t="str">
        <f t="shared" si="14"/>
        <v/>
      </c>
    </row>
    <row r="56" spans="2:13" x14ac:dyDescent="0.25">
      <c r="B56" s="46"/>
      <c r="C56" s="14"/>
      <c r="D56" s="15"/>
      <c r="E56" s="15"/>
      <c r="F56" s="15"/>
      <c r="G56" s="422"/>
      <c r="H56" s="17" t="str">
        <f t="shared" si="11"/>
        <v/>
      </c>
      <c r="I56" s="18" t="str">
        <f t="shared" si="12"/>
        <v/>
      </c>
      <c r="J56" s="62"/>
      <c r="K56" s="62"/>
      <c r="L56" s="420" t="str">
        <f t="shared" si="13"/>
        <v/>
      </c>
      <c r="M56" s="401" t="str">
        <f t="shared" si="14"/>
        <v/>
      </c>
    </row>
    <row r="57" spans="2:13" x14ac:dyDescent="0.25">
      <c r="B57" s="46"/>
      <c r="C57" s="14"/>
      <c r="D57" s="15"/>
      <c r="E57" s="15"/>
      <c r="F57" s="15"/>
      <c r="G57" s="422"/>
      <c r="H57" s="17" t="str">
        <f t="shared" si="11"/>
        <v/>
      </c>
      <c r="I57" s="18" t="str">
        <f t="shared" si="12"/>
        <v/>
      </c>
      <c r="J57" s="62"/>
      <c r="K57" s="62"/>
      <c r="L57" s="420" t="str">
        <f t="shared" si="13"/>
        <v/>
      </c>
      <c r="M57" s="401" t="str">
        <f t="shared" si="14"/>
        <v/>
      </c>
    </row>
    <row r="58" spans="2:13" x14ac:dyDescent="0.25">
      <c r="B58" s="46"/>
      <c r="C58" s="14"/>
      <c r="D58" s="15"/>
      <c r="E58" s="15"/>
      <c r="F58" s="15"/>
      <c r="G58" s="422"/>
      <c r="H58" s="17" t="str">
        <f t="shared" si="11"/>
        <v/>
      </c>
      <c r="I58" s="18" t="str">
        <f t="shared" si="12"/>
        <v/>
      </c>
      <c r="J58" s="62"/>
      <c r="K58" s="62"/>
      <c r="L58" s="420" t="str">
        <f t="shared" si="13"/>
        <v/>
      </c>
      <c r="M58" s="401" t="str">
        <f t="shared" si="14"/>
        <v/>
      </c>
    </row>
    <row r="59" spans="2:13" x14ac:dyDescent="0.25">
      <c r="B59" s="46"/>
      <c r="C59" s="14"/>
      <c r="D59" s="15"/>
      <c r="E59" s="15"/>
      <c r="F59" s="15"/>
      <c r="G59" s="422"/>
      <c r="H59" s="17" t="str">
        <f t="shared" si="11"/>
        <v/>
      </c>
      <c r="I59" s="18" t="str">
        <f t="shared" si="12"/>
        <v/>
      </c>
      <c r="J59" s="62"/>
      <c r="K59" s="62"/>
      <c r="L59" s="420" t="str">
        <f t="shared" si="13"/>
        <v/>
      </c>
      <c r="M59" s="401" t="str">
        <f t="shared" si="14"/>
        <v/>
      </c>
    </row>
    <row r="60" spans="2:13" x14ac:dyDescent="0.25">
      <c r="B60" s="46"/>
      <c r="C60" s="14"/>
      <c r="D60" s="15"/>
      <c r="E60" s="15"/>
      <c r="F60" s="15"/>
      <c r="G60" s="422"/>
      <c r="H60" s="17" t="str">
        <f t="shared" si="11"/>
        <v/>
      </c>
      <c r="I60" s="18" t="str">
        <f t="shared" si="12"/>
        <v/>
      </c>
      <c r="J60" s="62"/>
      <c r="K60" s="62"/>
      <c r="L60" s="420" t="str">
        <f t="shared" si="13"/>
        <v/>
      </c>
      <c r="M60" s="401" t="str">
        <f t="shared" si="14"/>
        <v/>
      </c>
    </row>
    <row r="61" spans="2:13" x14ac:dyDescent="0.25">
      <c r="B61" s="46"/>
      <c r="C61" s="14"/>
      <c r="D61" s="15"/>
      <c r="E61" s="15"/>
      <c r="F61" s="15"/>
      <c r="G61" s="422"/>
      <c r="H61" s="17" t="str">
        <f t="shared" si="11"/>
        <v/>
      </c>
      <c r="I61" s="18" t="str">
        <f t="shared" si="12"/>
        <v/>
      </c>
      <c r="J61" s="62"/>
      <c r="K61" s="62"/>
      <c r="L61" s="420" t="str">
        <f t="shared" si="13"/>
        <v/>
      </c>
      <c r="M61" s="401" t="str">
        <f t="shared" si="14"/>
        <v/>
      </c>
    </row>
    <row r="62" spans="2:13" x14ac:dyDescent="0.25">
      <c r="B62" s="46"/>
      <c r="C62" s="14"/>
      <c r="D62" s="15"/>
      <c r="E62" s="15"/>
      <c r="F62" s="15"/>
      <c r="G62" s="422"/>
      <c r="H62" s="17" t="str">
        <f t="shared" si="11"/>
        <v/>
      </c>
      <c r="I62" s="18" t="str">
        <f t="shared" si="12"/>
        <v/>
      </c>
      <c r="J62" s="62"/>
      <c r="K62" s="62"/>
      <c r="L62" s="420" t="str">
        <f t="shared" si="13"/>
        <v/>
      </c>
      <c r="M62" s="401" t="str">
        <f t="shared" si="14"/>
        <v/>
      </c>
    </row>
    <row r="63" spans="2:13" x14ac:dyDescent="0.25">
      <c r="B63" s="46"/>
      <c r="C63" s="14"/>
      <c r="D63" s="15"/>
      <c r="E63" s="15"/>
      <c r="F63" s="15"/>
      <c r="G63" s="422"/>
      <c r="H63" s="17" t="str">
        <f t="shared" si="11"/>
        <v/>
      </c>
      <c r="I63" s="18" t="str">
        <f t="shared" si="12"/>
        <v/>
      </c>
      <c r="J63" s="62"/>
      <c r="K63" s="62"/>
      <c r="L63" s="420" t="str">
        <f t="shared" si="13"/>
        <v/>
      </c>
      <c r="M63" s="401" t="str">
        <f t="shared" si="14"/>
        <v/>
      </c>
    </row>
    <row r="64" spans="2:13" x14ac:dyDescent="0.25">
      <c r="B64" s="46"/>
      <c r="C64" s="14"/>
      <c r="D64" s="15"/>
      <c r="E64" s="15"/>
      <c r="F64" s="15"/>
      <c r="G64" s="422"/>
      <c r="H64" s="17" t="str">
        <f t="shared" si="11"/>
        <v/>
      </c>
      <c r="I64" s="18" t="str">
        <f t="shared" si="12"/>
        <v/>
      </c>
      <c r="J64" s="62"/>
      <c r="K64" s="62"/>
      <c r="L64" s="420" t="str">
        <f t="shared" si="13"/>
        <v/>
      </c>
      <c r="M64" s="401" t="str">
        <f t="shared" si="14"/>
        <v/>
      </c>
    </row>
    <row r="65" spans="2:13" x14ac:dyDescent="0.25">
      <c r="B65" s="46"/>
      <c r="C65" s="14"/>
      <c r="D65" s="15"/>
      <c r="E65" s="15"/>
      <c r="F65" s="15"/>
      <c r="G65" s="422"/>
      <c r="H65" s="17" t="str">
        <f t="shared" si="11"/>
        <v/>
      </c>
      <c r="I65" s="18" t="str">
        <f t="shared" si="12"/>
        <v/>
      </c>
      <c r="J65" s="62"/>
      <c r="K65" s="62"/>
      <c r="L65" s="420" t="str">
        <f t="shared" si="13"/>
        <v/>
      </c>
      <c r="M65" s="401" t="str">
        <f t="shared" si="14"/>
        <v/>
      </c>
    </row>
    <row r="66" spans="2:13" x14ac:dyDescent="0.25">
      <c r="B66" s="46"/>
      <c r="C66" s="14"/>
      <c r="D66" s="15"/>
      <c r="E66" s="15"/>
      <c r="F66" s="15"/>
      <c r="G66" s="422"/>
      <c r="H66" s="17" t="str">
        <f t="shared" si="11"/>
        <v/>
      </c>
      <c r="I66" s="18" t="str">
        <f t="shared" si="12"/>
        <v/>
      </c>
      <c r="J66" s="62"/>
      <c r="K66" s="62"/>
      <c r="L66" s="420" t="str">
        <f t="shared" si="13"/>
        <v/>
      </c>
      <c r="M66" s="401" t="str">
        <f t="shared" si="14"/>
        <v/>
      </c>
    </row>
    <row r="67" spans="2:13" x14ac:dyDescent="0.25">
      <c r="B67" s="46"/>
      <c r="C67" s="14"/>
      <c r="D67" s="15"/>
      <c r="E67" s="15"/>
      <c r="F67" s="15"/>
      <c r="G67" s="422"/>
      <c r="H67" s="17" t="str">
        <f t="shared" si="11"/>
        <v/>
      </c>
      <c r="I67" s="18" t="str">
        <f t="shared" si="12"/>
        <v/>
      </c>
      <c r="J67" s="62"/>
      <c r="K67" s="62"/>
      <c r="L67" s="420" t="str">
        <f t="shared" si="13"/>
        <v/>
      </c>
      <c r="M67" s="401" t="str">
        <f t="shared" si="14"/>
        <v/>
      </c>
    </row>
    <row r="68" spans="2:13" x14ac:dyDescent="0.25">
      <c r="B68" s="46"/>
      <c r="C68" s="14"/>
      <c r="D68" s="15"/>
      <c r="E68" s="15"/>
      <c r="F68" s="15"/>
      <c r="G68" s="422"/>
      <c r="H68" s="17" t="str">
        <f t="shared" si="11"/>
        <v/>
      </c>
      <c r="I68" s="18" t="str">
        <f t="shared" si="12"/>
        <v/>
      </c>
      <c r="J68" s="62"/>
      <c r="K68" s="62"/>
      <c r="L68" s="420" t="str">
        <f t="shared" si="13"/>
        <v/>
      </c>
      <c r="M68" s="401" t="str">
        <f t="shared" si="14"/>
        <v/>
      </c>
    </row>
    <row r="69" spans="2:13" x14ac:dyDescent="0.25">
      <c r="B69" s="46"/>
      <c r="C69" s="14"/>
      <c r="D69" s="15"/>
      <c r="E69" s="15"/>
      <c r="F69" s="15"/>
      <c r="G69" s="422"/>
      <c r="H69" s="17" t="str">
        <f t="shared" si="11"/>
        <v/>
      </c>
      <c r="I69" s="18" t="str">
        <f t="shared" si="12"/>
        <v/>
      </c>
      <c r="J69" s="62"/>
      <c r="K69" s="62"/>
      <c r="L69" s="420" t="str">
        <f t="shared" si="13"/>
        <v/>
      </c>
      <c r="M69" s="401" t="str">
        <f t="shared" si="14"/>
        <v/>
      </c>
    </row>
    <row r="70" spans="2:13" x14ac:dyDescent="0.25">
      <c r="B70" s="46"/>
      <c r="C70" s="14"/>
      <c r="D70" s="15"/>
      <c r="E70" s="15"/>
      <c r="F70" s="15"/>
      <c r="G70" s="422"/>
      <c r="H70" s="17" t="str">
        <f t="shared" si="11"/>
        <v/>
      </c>
      <c r="I70" s="18" t="str">
        <f t="shared" si="12"/>
        <v/>
      </c>
      <c r="J70" s="62"/>
      <c r="K70" s="62"/>
      <c r="L70" s="420" t="str">
        <f t="shared" si="13"/>
        <v/>
      </c>
      <c r="M70" s="401" t="str">
        <f t="shared" si="14"/>
        <v/>
      </c>
    </row>
    <row r="71" spans="2:13" x14ac:dyDescent="0.25">
      <c r="B71" s="46"/>
      <c r="C71" s="14"/>
      <c r="D71" s="15"/>
      <c r="E71" s="15"/>
      <c r="F71" s="15"/>
      <c r="G71" s="422"/>
      <c r="H71" s="17" t="str">
        <f t="shared" si="11"/>
        <v/>
      </c>
      <c r="I71" s="18" t="str">
        <f t="shared" si="12"/>
        <v/>
      </c>
      <c r="J71" s="62"/>
      <c r="K71" s="62"/>
      <c r="L71" s="420" t="str">
        <f t="shared" si="13"/>
        <v/>
      </c>
      <c r="M71" s="401" t="str">
        <f t="shared" si="14"/>
        <v/>
      </c>
    </row>
    <row r="72" spans="2:13" x14ac:dyDescent="0.25">
      <c r="B72" s="46"/>
      <c r="C72" s="14"/>
      <c r="D72" s="15"/>
      <c r="E72" s="15"/>
      <c r="F72" s="15"/>
      <c r="G72" s="422"/>
      <c r="H72" s="17" t="str">
        <f t="shared" si="11"/>
        <v/>
      </c>
      <c r="I72" s="18" t="str">
        <f t="shared" si="12"/>
        <v/>
      </c>
      <c r="J72" s="62"/>
      <c r="K72" s="62"/>
      <c r="L72" s="420" t="str">
        <f t="shared" si="13"/>
        <v/>
      </c>
      <c r="M72" s="401" t="str">
        <f t="shared" si="14"/>
        <v/>
      </c>
    </row>
    <row r="73" spans="2:13" x14ac:dyDescent="0.25">
      <c r="B73" s="46"/>
      <c r="C73" s="14"/>
      <c r="D73" s="15"/>
      <c r="E73" s="15"/>
      <c r="F73" s="15"/>
      <c r="G73" s="422"/>
      <c r="H73" s="17" t="str">
        <f t="shared" si="11"/>
        <v/>
      </c>
      <c r="I73" s="18" t="str">
        <f t="shared" si="12"/>
        <v/>
      </c>
      <c r="J73" s="62"/>
      <c r="K73" s="62"/>
      <c r="L73" s="420" t="str">
        <f t="shared" si="13"/>
        <v/>
      </c>
      <c r="M73" s="401" t="str">
        <f t="shared" si="14"/>
        <v/>
      </c>
    </row>
    <row r="74" spans="2:13" x14ac:dyDescent="0.25">
      <c r="B74" s="46"/>
      <c r="C74" s="14"/>
      <c r="D74" s="15"/>
      <c r="E74" s="15"/>
      <c r="F74" s="15"/>
      <c r="G74" s="422"/>
      <c r="H74" s="17" t="str">
        <f t="shared" si="11"/>
        <v/>
      </c>
      <c r="I74" s="18" t="str">
        <f t="shared" si="12"/>
        <v/>
      </c>
      <c r="J74" s="61"/>
      <c r="K74" s="695"/>
      <c r="L74" s="420" t="str">
        <f t="shared" si="13"/>
        <v/>
      </c>
      <c r="M74" s="401" t="str">
        <f t="shared" si="14"/>
        <v/>
      </c>
    </row>
    <row r="75" spans="2:13" x14ac:dyDescent="0.25">
      <c r="B75" s="46"/>
      <c r="C75" s="26"/>
      <c r="D75" s="61"/>
      <c r="E75" s="61"/>
      <c r="F75" s="61"/>
      <c r="G75" s="422"/>
      <c r="H75" s="17" t="str">
        <f t="shared" si="11"/>
        <v/>
      </c>
      <c r="I75" s="69" t="str">
        <f t="shared" si="12"/>
        <v/>
      </c>
      <c r="J75" s="61"/>
      <c r="K75" s="696"/>
      <c r="L75" s="420" t="str">
        <f t="shared" si="13"/>
        <v/>
      </c>
      <c r="M75" s="401" t="str">
        <f t="shared" si="14"/>
        <v/>
      </c>
    </row>
    <row r="76" spans="2:13" s="28" customFormat="1" ht="19.5" customHeight="1" x14ac:dyDescent="0.25">
      <c r="B76" s="135" t="str">
        <f>$B$12</f>
        <v>C5.4</v>
      </c>
      <c r="C76" s="498" t="str">
        <f>"TOTAL CARRIED FORWARD"&amp;IF(H76=H$1," TO SUMMARY (Page C"&amp;Page_A&amp;")","")</f>
        <v>TOTAL CARRIED FORWARD TO SUMMARY (Page C48)</v>
      </c>
      <c r="D76" s="31"/>
      <c r="E76" s="31"/>
      <c r="F76" s="32"/>
      <c r="G76" s="31"/>
      <c r="H76" s="33">
        <f>SUM(H11:H75)</f>
        <v>2064500</v>
      </c>
      <c r="I76" s="34"/>
      <c r="J76" s="408"/>
      <c r="K76" s="406"/>
      <c r="L76" s="418">
        <f>SUM(L11:L75)</f>
        <v>141460</v>
      </c>
      <c r="M76" s="407" t="str">
        <f t="shared" si="6"/>
        <v/>
      </c>
    </row>
    <row r="77" spans="2:13" ht="13" x14ac:dyDescent="0.25">
      <c r="B77" s="1108" t="str">
        <f>Client1</f>
        <v>Province of KwaZulu-Natal</v>
      </c>
      <c r="C77" s="1108"/>
      <c r="D77" s="1108"/>
      <c r="E77" s="87"/>
      <c r="F77" s="1109" t="str">
        <f>"Contract No. "&amp;ContractNo</f>
        <v>Contract No. ZNB 00399/00000/HOD/INF/21/T</v>
      </c>
      <c r="G77" s="1109"/>
      <c r="H77" s="1109"/>
    </row>
    <row r="78" spans="2:13" ht="13" x14ac:dyDescent="0.25">
      <c r="B78" s="1108" t="str">
        <f>Client2</f>
        <v>Department of Transport</v>
      </c>
      <c r="C78" s="1108"/>
      <c r="D78" s="1108"/>
      <c r="E78" s="87"/>
      <c r="F78" s="1109"/>
      <c r="G78" s="1109"/>
      <c r="H78" s="1109"/>
    </row>
    <row r="79" spans="2:13" x14ac:dyDescent="0.25">
      <c r="B79" s="1111"/>
      <c r="C79" s="1111"/>
      <c r="D79" s="1111"/>
      <c r="E79" s="78"/>
      <c r="F79" s="1110"/>
      <c r="G79" s="1110"/>
      <c r="H79" s="1110"/>
    </row>
    <row r="80" spans="2:13" ht="13" x14ac:dyDescent="0.25">
      <c r="B80" s="1112" t="s">
        <v>8</v>
      </c>
      <c r="C80" s="1113"/>
      <c r="D80" s="1113"/>
      <c r="E80" s="1113"/>
      <c r="F80" s="1113"/>
      <c r="G80" s="1113"/>
      <c r="H80" s="1125" t="str">
        <f>$H$6</f>
        <v>CHAPTER C5.4</v>
      </c>
      <c r="I80" s="6"/>
    </row>
    <row r="81" spans="2:13" ht="13" x14ac:dyDescent="0.25">
      <c r="B81" s="1117" t="str">
        <f>ContractDescription</f>
        <v>THE CONSTRUCTION OF EARTHWORKS, LAYERWORKS, SURFACING, CULVERTS AND CWAKA RIVER BRIDGE FROM KM 11.600 TO KM 14.000 ON MAIN ROAD P494 IN THE KING CETSHWAYO DISTRICT UNDER EMPANGENI REGION</v>
      </c>
      <c r="C81" s="1118"/>
      <c r="D81" s="1118"/>
      <c r="E81" s="1118"/>
      <c r="F81" s="1118"/>
      <c r="G81" s="1118"/>
      <c r="H81" s="1126"/>
      <c r="I81" s="8"/>
    </row>
    <row r="82" spans="2:13" ht="13" x14ac:dyDescent="0.25">
      <c r="B82" s="1117"/>
      <c r="C82" s="1118"/>
      <c r="D82" s="1118"/>
      <c r="E82" s="1118"/>
      <c r="F82" s="1118"/>
      <c r="G82" s="1118"/>
      <c r="H82" s="1126"/>
      <c r="I82" s="8"/>
    </row>
    <row r="83" spans="2:13" ht="13" x14ac:dyDescent="0.25">
      <c r="B83" s="1119"/>
      <c r="C83" s="1120"/>
      <c r="D83" s="1120"/>
      <c r="E83" s="1120"/>
      <c r="F83" s="1120"/>
      <c r="G83" s="1120"/>
      <c r="H83" s="1127"/>
      <c r="I83" s="8"/>
    </row>
    <row r="84" spans="2:13" s="9" customFormat="1" ht="25" customHeight="1" x14ac:dyDescent="0.25">
      <c r="B84" s="74" t="s">
        <v>0</v>
      </c>
      <c r="C84" s="11" t="s">
        <v>1</v>
      </c>
      <c r="D84" s="11" t="s">
        <v>2</v>
      </c>
      <c r="E84" s="11"/>
      <c r="F84" s="11" t="s">
        <v>3</v>
      </c>
      <c r="G84" s="11" t="s">
        <v>4</v>
      </c>
      <c r="H84" s="11" t="s">
        <v>5</v>
      </c>
      <c r="I84" s="12"/>
      <c r="J84" s="408" t="s">
        <v>996</v>
      </c>
      <c r="K84" s="253" t="s">
        <v>997</v>
      </c>
      <c r="L84" s="253" t="s">
        <v>998</v>
      </c>
      <c r="M84" s="253" t="s">
        <v>999</v>
      </c>
    </row>
    <row r="85" spans="2:13" s="28" customFormat="1" ht="19.5" customHeight="1" x14ac:dyDescent="0.25">
      <c r="B85" s="80"/>
      <c r="C85" s="30" t="s">
        <v>27</v>
      </c>
      <c r="D85" s="31"/>
      <c r="E85" s="31"/>
      <c r="F85" s="32"/>
      <c r="G85" s="31"/>
      <c r="H85" s="33">
        <f>H76</f>
        <v>2064500</v>
      </c>
      <c r="I85" s="34"/>
      <c r="J85" s="416"/>
      <c r="K85" s="409"/>
      <c r="L85" s="419">
        <f>L76</f>
        <v>141460</v>
      </c>
      <c r="M85" s="410"/>
    </row>
    <row r="86" spans="2:13" x14ac:dyDescent="0.25">
      <c r="B86" s="46"/>
      <c r="C86" s="134"/>
      <c r="D86" s="61"/>
      <c r="E86" s="61"/>
      <c r="F86" s="61"/>
      <c r="G86" s="422"/>
      <c r="H86" s="17"/>
      <c r="I86" s="69"/>
      <c r="J86" s="61"/>
      <c r="K86" s="399"/>
      <c r="L86" s="420" t="str">
        <f t="shared" ref="L86" si="15">IF(J86="","",F86*K86)</f>
        <v/>
      </c>
      <c r="M86" s="401" t="str">
        <f t="shared" ref="M86" si="16">IF(J86="","",IF(SUM(H86)=0,"",L86/H86))</f>
        <v/>
      </c>
    </row>
    <row r="87" spans="2:13" x14ac:dyDescent="0.25">
      <c r="B87" s="46"/>
      <c r="C87" s="26"/>
      <c r="D87" s="61"/>
      <c r="E87" s="61"/>
      <c r="F87" s="61"/>
      <c r="G87" s="422"/>
      <c r="H87" s="17" t="str">
        <f t="shared" ref="H87:H118" si="17">IF(D87="","",F87*G87)</f>
        <v/>
      </c>
      <c r="I87" s="63"/>
      <c r="J87" s="61"/>
      <c r="K87" s="399"/>
      <c r="L87" s="420" t="str">
        <f t="shared" ref="L87:L145" si="18">IF(J87="","",F87*K87)</f>
        <v/>
      </c>
      <c r="M87" s="401" t="str">
        <f t="shared" ref="M87:M146" si="19">IF(J87="","",IF(SUM(H87)=0,"",L87/H87))</f>
        <v/>
      </c>
    </row>
    <row r="88" spans="2:13" x14ac:dyDescent="0.25">
      <c r="B88" s="46"/>
      <c r="C88" s="26"/>
      <c r="D88" s="15"/>
      <c r="E88" s="15"/>
      <c r="F88" s="15"/>
      <c r="G88" s="422"/>
      <c r="H88" s="17" t="str">
        <f t="shared" si="17"/>
        <v/>
      </c>
      <c r="I88" s="18"/>
      <c r="J88" s="61"/>
      <c r="K88" s="399"/>
      <c r="L88" s="420" t="str">
        <f t="shared" si="18"/>
        <v/>
      </c>
      <c r="M88" s="401" t="str">
        <f t="shared" si="19"/>
        <v/>
      </c>
    </row>
    <row r="89" spans="2:13" x14ac:dyDescent="0.25">
      <c r="B89" s="46"/>
      <c r="C89" s="14"/>
      <c r="D89" s="15"/>
      <c r="E89" s="15"/>
      <c r="F89" s="15"/>
      <c r="G89" s="422"/>
      <c r="H89" s="17" t="str">
        <f t="shared" si="17"/>
        <v/>
      </c>
      <c r="I89" s="18"/>
      <c r="J89" s="61"/>
      <c r="K89" s="399"/>
      <c r="L89" s="420" t="str">
        <f t="shared" si="18"/>
        <v/>
      </c>
      <c r="M89" s="401" t="str">
        <f t="shared" si="19"/>
        <v/>
      </c>
    </row>
    <row r="90" spans="2:13" x14ac:dyDescent="0.25">
      <c r="B90" s="46"/>
      <c r="C90" s="14"/>
      <c r="D90" s="15"/>
      <c r="E90" s="15"/>
      <c r="F90" s="15"/>
      <c r="G90" s="422"/>
      <c r="H90" s="17" t="str">
        <f t="shared" si="17"/>
        <v/>
      </c>
      <c r="I90" s="18"/>
      <c r="J90" s="61"/>
      <c r="K90" s="400"/>
      <c r="L90" s="420" t="str">
        <f t="shared" si="18"/>
        <v/>
      </c>
      <c r="M90" s="401" t="str">
        <f t="shared" si="19"/>
        <v/>
      </c>
    </row>
    <row r="91" spans="2:13" x14ac:dyDescent="0.25">
      <c r="B91" s="46"/>
      <c r="C91" s="14"/>
      <c r="D91" s="15"/>
      <c r="E91" s="15"/>
      <c r="F91" s="15"/>
      <c r="G91" s="422"/>
      <c r="H91" s="17" t="str">
        <f t="shared" si="17"/>
        <v/>
      </c>
      <c r="I91" s="18"/>
      <c r="J91" s="61"/>
      <c r="K91" s="399"/>
      <c r="L91" s="420" t="str">
        <f t="shared" si="18"/>
        <v/>
      </c>
      <c r="M91" s="401" t="str">
        <f t="shared" si="19"/>
        <v/>
      </c>
    </row>
    <row r="92" spans="2:13" x14ac:dyDescent="0.25">
      <c r="B92" s="46"/>
      <c r="C92" s="14"/>
      <c r="D92" s="15"/>
      <c r="E92" s="15"/>
      <c r="F92" s="15"/>
      <c r="G92" s="422"/>
      <c r="H92" s="17" t="str">
        <f t="shared" si="17"/>
        <v/>
      </c>
      <c r="I92" s="18"/>
      <c r="J92" s="61"/>
      <c r="K92" s="399"/>
      <c r="L92" s="420" t="str">
        <f t="shared" si="18"/>
        <v/>
      </c>
      <c r="M92" s="401" t="str">
        <f t="shared" si="19"/>
        <v/>
      </c>
    </row>
    <row r="93" spans="2:13" x14ac:dyDescent="0.25">
      <c r="B93" s="46"/>
      <c r="C93" s="14"/>
      <c r="D93" s="15"/>
      <c r="E93" s="15"/>
      <c r="F93" s="578"/>
      <c r="G93" s="422"/>
      <c r="H93" s="17" t="str">
        <f t="shared" si="17"/>
        <v/>
      </c>
      <c r="I93" s="18"/>
      <c r="J93" s="61"/>
      <c r="K93" s="399"/>
      <c r="L93" s="420" t="str">
        <f t="shared" si="18"/>
        <v/>
      </c>
      <c r="M93" s="401" t="str">
        <f t="shared" si="19"/>
        <v/>
      </c>
    </row>
    <row r="94" spans="2:13" x14ac:dyDescent="0.25">
      <c r="B94" s="46"/>
      <c r="C94" s="26"/>
      <c r="D94" s="15"/>
      <c r="E94" s="15"/>
      <c r="F94" s="15"/>
      <c r="G94" s="422"/>
      <c r="H94" s="17" t="str">
        <f t="shared" si="17"/>
        <v/>
      </c>
      <c r="I94" s="18"/>
      <c r="J94" s="61"/>
      <c r="K94" s="402"/>
      <c r="L94" s="420" t="str">
        <f t="shared" si="18"/>
        <v/>
      </c>
      <c r="M94" s="401" t="str">
        <f t="shared" si="19"/>
        <v/>
      </c>
    </row>
    <row r="95" spans="2:13" x14ac:dyDescent="0.25">
      <c r="B95" s="46"/>
      <c r="C95" s="26"/>
      <c r="D95" s="15"/>
      <c r="E95" s="15"/>
      <c r="F95" s="578"/>
      <c r="G95" s="422"/>
      <c r="H95" s="17" t="str">
        <f t="shared" si="17"/>
        <v/>
      </c>
      <c r="I95" s="18"/>
      <c r="J95" s="61"/>
      <c r="K95" s="402"/>
      <c r="L95" s="420" t="str">
        <f t="shared" si="18"/>
        <v/>
      </c>
      <c r="M95" s="401" t="str">
        <f t="shared" si="19"/>
        <v/>
      </c>
    </row>
    <row r="96" spans="2:13" x14ac:dyDescent="0.25">
      <c r="B96" s="46"/>
      <c r="C96" s="26"/>
      <c r="D96" s="15"/>
      <c r="E96" s="15"/>
      <c r="F96" s="15"/>
      <c r="G96" s="422"/>
      <c r="H96" s="17" t="str">
        <f t="shared" si="17"/>
        <v/>
      </c>
      <c r="I96" s="18"/>
      <c r="J96" s="61"/>
      <c r="K96" s="402"/>
      <c r="L96" s="420" t="str">
        <f t="shared" si="18"/>
        <v/>
      </c>
      <c r="M96" s="401" t="str">
        <f t="shared" si="19"/>
        <v/>
      </c>
    </row>
    <row r="97" spans="2:13" x14ac:dyDescent="0.25">
      <c r="B97" s="46"/>
      <c r="C97" s="14"/>
      <c r="D97" s="15"/>
      <c r="E97" s="15"/>
      <c r="F97" s="15"/>
      <c r="G97" s="422"/>
      <c r="H97" s="17" t="str">
        <f t="shared" si="17"/>
        <v/>
      </c>
      <c r="I97" s="18"/>
      <c r="J97" s="61"/>
      <c r="K97" s="402"/>
      <c r="L97" s="420" t="str">
        <f t="shared" si="18"/>
        <v/>
      </c>
      <c r="M97" s="401" t="str">
        <f t="shared" si="19"/>
        <v/>
      </c>
    </row>
    <row r="98" spans="2:13" x14ac:dyDescent="0.25">
      <c r="B98" s="46"/>
      <c r="C98" s="14"/>
      <c r="D98" s="15"/>
      <c r="E98" s="15"/>
      <c r="F98" s="15"/>
      <c r="G98" s="422"/>
      <c r="H98" s="17" t="str">
        <f t="shared" si="17"/>
        <v/>
      </c>
      <c r="I98" s="18"/>
      <c r="J98" s="61"/>
      <c r="K98" s="402"/>
      <c r="L98" s="420" t="str">
        <f t="shared" si="18"/>
        <v/>
      </c>
      <c r="M98" s="401" t="str">
        <f t="shared" si="19"/>
        <v/>
      </c>
    </row>
    <row r="99" spans="2:13" x14ac:dyDescent="0.25">
      <c r="B99" s="46"/>
      <c r="C99" s="14"/>
      <c r="D99" s="15"/>
      <c r="E99" s="15"/>
      <c r="F99" s="15"/>
      <c r="G99" s="422"/>
      <c r="H99" s="17" t="str">
        <f t="shared" si="17"/>
        <v/>
      </c>
      <c r="I99" s="18"/>
      <c r="J99" s="61"/>
      <c r="K99" s="402"/>
      <c r="L99" s="420" t="str">
        <f t="shared" si="18"/>
        <v/>
      </c>
      <c r="M99" s="401" t="str">
        <f t="shared" si="19"/>
        <v/>
      </c>
    </row>
    <row r="100" spans="2:13" x14ac:dyDescent="0.25">
      <c r="B100" s="46"/>
      <c r="C100" s="14"/>
      <c r="D100" s="15"/>
      <c r="E100" s="15"/>
      <c r="F100" s="15"/>
      <c r="G100" s="422"/>
      <c r="H100" s="17" t="str">
        <f t="shared" si="17"/>
        <v/>
      </c>
      <c r="I100" s="18"/>
      <c r="J100" s="61"/>
      <c r="K100" s="402"/>
      <c r="L100" s="420" t="str">
        <f t="shared" si="18"/>
        <v/>
      </c>
      <c r="M100" s="401" t="str">
        <f t="shared" si="19"/>
        <v/>
      </c>
    </row>
    <row r="101" spans="2:13" x14ac:dyDescent="0.25">
      <c r="B101" s="46"/>
      <c r="C101" s="14"/>
      <c r="D101" s="15"/>
      <c r="E101" s="15"/>
      <c r="F101" s="15"/>
      <c r="G101" s="422"/>
      <c r="H101" s="17" t="str">
        <f t="shared" si="17"/>
        <v/>
      </c>
      <c r="I101" s="18"/>
      <c r="J101" s="61"/>
      <c r="K101" s="402"/>
      <c r="L101" s="420" t="str">
        <f t="shared" si="18"/>
        <v/>
      </c>
      <c r="M101" s="401" t="str">
        <f t="shared" si="19"/>
        <v/>
      </c>
    </row>
    <row r="102" spans="2:13" x14ac:dyDescent="0.25">
      <c r="B102" s="46"/>
      <c r="C102" s="14"/>
      <c r="D102" s="15"/>
      <c r="E102" s="15"/>
      <c r="F102" s="15"/>
      <c r="G102" s="422"/>
      <c r="H102" s="17" t="str">
        <f t="shared" si="17"/>
        <v/>
      </c>
      <c r="I102" s="18"/>
      <c r="J102" s="61"/>
      <c r="K102" s="400"/>
      <c r="L102" s="420" t="str">
        <f t="shared" si="18"/>
        <v/>
      </c>
      <c r="M102" s="401" t="str">
        <f t="shared" si="19"/>
        <v/>
      </c>
    </row>
    <row r="103" spans="2:13" x14ac:dyDescent="0.25">
      <c r="B103" s="46"/>
      <c r="C103" s="14"/>
      <c r="D103" s="15"/>
      <c r="E103" s="15"/>
      <c r="F103" s="15"/>
      <c r="G103" s="422"/>
      <c r="H103" s="17" t="str">
        <f t="shared" si="17"/>
        <v/>
      </c>
      <c r="I103" s="18"/>
      <c r="J103" s="61"/>
      <c r="K103" s="399"/>
      <c r="L103" s="420" t="str">
        <f t="shared" si="18"/>
        <v/>
      </c>
      <c r="M103" s="401" t="str">
        <f t="shared" si="19"/>
        <v/>
      </c>
    </row>
    <row r="104" spans="2:13" x14ac:dyDescent="0.25">
      <c r="B104" s="46"/>
      <c r="C104" s="14"/>
      <c r="D104" s="15"/>
      <c r="E104" s="15"/>
      <c r="F104" s="15"/>
      <c r="G104" s="422"/>
      <c r="H104" s="17" t="str">
        <f t="shared" si="17"/>
        <v/>
      </c>
      <c r="I104" s="18"/>
      <c r="J104" s="61"/>
      <c r="K104" s="399"/>
      <c r="L104" s="420" t="str">
        <f t="shared" si="18"/>
        <v/>
      </c>
      <c r="M104" s="401" t="str">
        <f t="shared" si="19"/>
        <v/>
      </c>
    </row>
    <row r="105" spans="2:13" x14ac:dyDescent="0.25">
      <c r="B105" s="46"/>
      <c r="C105" s="14"/>
      <c r="D105" s="15"/>
      <c r="E105" s="15"/>
      <c r="F105" s="15"/>
      <c r="G105" s="422"/>
      <c r="H105" s="17" t="str">
        <f t="shared" si="17"/>
        <v/>
      </c>
      <c r="I105" s="18"/>
      <c r="J105" s="61"/>
      <c r="K105" s="399"/>
      <c r="L105" s="420" t="str">
        <f t="shared" si="18"/>
        <v/>
      </c>
      <c r="M105" s="401" t="str">
        <f t="shared" si="19"/>
        <v/>
      </c>
    </row>
    <row r="106" spans="2:13" x14ac:dyDescent="0.25">
      <c r="B106" s="46"/>
      <c r="C106" s="14"/>
      <c r="D106" s="15"/>
      <c r="E106" s="15"/>
      <c r="F106" s="15"/>
      <c r="G106" s="422"/>
      <c r="H106" s="17" t="str">
        <f t="shared" si="17"/>
        <v/>
      </c>
      <c r="I106" s="18"/>
      <c r="J106" s="61"/>
      <c r="K106" s="399"/>
      <c r="L106" s="420" t="str">
        <f t="shared" si="18"/>
        <v/>
      </c>
      <c r="M106" s="401" t="str">
        <f t="shared" si="19"/>
        <v/>
      </c>
    </row>
    <row r="107" spans="2:13" x14ac:dyDescent="0.25">
      <c r="B107" s="46"/>
      <c r="C107" s="14"/>
      <c r="D107" s="15"/>
      <c r="E107" s="15"/>
      <c r="F107" s="15"/>
      <c r="G107" s="422"/>
      <c r="H107" s="17" t="str">
        <f t="shared" si="17"/>
        <v/>
      </c>
      <c r="I107" s="18"/>
      <c r="J107" s="61"/>
      <c r="K107" s="399"/>
      <c r="L107" s="420" t="str">
        <f t="shared" si="18"/>
        <v/>
      </c>
      <c r="M107" s="401" t="str">
        <f t="shared" si="19"/>
        <v/>
      </c>
    </row>
    <row r="108" spans="2:13" x14ac:dyDescent="0.25">
      <c r="B108" s="46"/>
      <c r="C108" s="14"/>
      <c r="D108" s="15"/>
      <c r="E108" s="15"/>
      <c r="F108" s="15"/>
      <c r="G108" s="422"/>
      <c r="H108" s="17" t="str">
        <f t="shared" si="17"/>
        <v/>
      </c>
      <c r="I108" s="18"/>
      <c r="J108" s="61"/>
      <c r="K108" s="400"/>
      <c r="L108" s="420" t="str">
        <f t="shared" si="18"/>
        <v/>
      </c>
      <c r="M108" s="401" t="str">
        <f t="shared" si="19"/>
        <v/>
      </c>
    </row>
    <row r="109" spans="2:13" x14ac:dyDescent="0.25">
      <c r="B109" s="46"/>
      <c r="C109" s="14"/>
      <c r="D109" s="15"/>
      <c r="E109" s="15"/>
      <c r="F109" s="578"/>
      <c r="G109" s="422"/>
      <c r="H109" s="17" t="str">
        <f t="shared" si="17"/>
        <v/>
      </c>
      <c r="I109" s="18"/>
      <c r="J109" s="61"/>
      <c r="K109" s="399"/>
      <c r="L109" s="420" t="str">
        <f t="shared" si="18"/>
        <v/>
      </c>
      <c r="M109" s="401" t="str">
        <f t="shared" si="19"/>
        <v/>
      </c>
    </row>
    <row r="110" spans="2:13" x14ac:dyDescent="0.25">
      <c r="B110" s="46"/>
      <c r="C110" s="14"/>
      <c r="D110" s="15"/>
      <c r="E110" s="15"/>
      <c r="F110" s="15"/>
      <c r="G110" s="422"/>
      <c r="H110" s="17" t="str">
        <f t="shared" si="17"/>
        <v/>
      </c>
      <c r="I110" s="18"/>
      <c r="J110" s="61"/>
      <c r="K110" s="399"/>
      <c r="L110" s="420" t="str">
        <f t="shared" si="18"/>
        <v/>
      </c>
      <c r="M110" s="401" t="str">
        <f t="shared" si="19"/>
        <v/>
      </c>
    </row>
    <row r="111" spans="2:13" x14ac:dyDescent="0.25">
      <c r="B111" s="46"/>
      <c r="C111" s="26"/>
      <c r="D111" s="15"/>
      <c r="E111" s="15"/>
      <c r="F111" s="15"/>
      <c r="G111" s="422"/>
      <c r="H111" s="17" t="str">
        <f t="shared" si="17"/>
        <v/>
      </c>
      <c r="I111" s="18"/>
      <c r="J111" s="61"/>
      <c r="K111" s="399"/>
      <c r="L111" s="420" t="str">
        <f t="shared" si="18"/>
        <v/>
      </c>
      <c r="M111" s="401" t="str">
        <f t="shared" si="19"/>
        <v/>
      </c>
    </row>
    <row r="112" spans="2:13" x14ac:dyDescent="0.25">
      <c r="B112" s="46"/>
      <c r="C112" s="26"/>
      <c r="D112" s="15"/>
      <c r="E112" s="15"/>
      <c r="F112" s="15"/>
      <c r="G112" s="422"/>
      <c r="H112" s="17" t="str">
        <f t="shared" si="17"/>
        <v/>
      </c>
      <c r="I112" s="18"/>
      <c r="J112" s="61"/>
      <c r="K112" s="399"/>
      <c r="L112" s="420" t="str">
        <f t="shared" si="18"/>
        <v/>
      </c>
      <c r="M112" s="401" t="str">
        <f t="shared" si="19"/>
        <v/>
      </c>
    </row>
    <row r="113" spans="2:13" x14ac:dyDescent="0.25">
      <c r="B113" s="46"/>
      <c r="C113" s="26"/>
      <c r="D113" s="15"/>
      <c r="E113" s="15"/>
      <c r="F113" s="15"/>
      <c r="G113" s="422"/>
      <c r="H113" s="17" t="str">
        <f t="shared" si="17"/>
        <v/>
      </c>
      <c r="I113" s="18"/>
      <c r="J113" s="61"/>
      <c r="K113" s="399"/>
      <c r="L113" s="420" t="str">
        <f t="shared" si="18"/>
        <v/>
      </c>
      <c r="M113" s="401" t="str">
        <f t="shared" si="19"/>
        <v/>
      </c>
    </row>
    <row r="114" spans="2:13" x14ac:dyDescent="0.25">
      <c r="B114" s="46"/>
      <c r="C114" s="14"/>
      <c r="D114" s="15"/>
      <c r="E114" s="15"/>
      <c r="F114" s="15"/>
      <c r="G114" s="422"/>
      <c r="H114" s="17" t="str">
        <f t="shared" si="17"/>
        <v/>
      </c>
      <c r="I114" s="18"/>
      <c r="J114" s="61"/>
      <c r="K114" s="399"/>
      <c r="L114" s="420" t="str">
        <f t="shared" si="18"/>
        <v/>
      </c>
      <c r="M114" s="401" t="str">
        <f t="shared" si="19"/>
        <v/>
      </c>
    </row>
    <row r="115" spans="2:13" x14ac:dyDescent="0.25">
      <c r="B115" s="46"/>
      <c r="C115" s="14"/>
      <c r="D115" s="15"/>
      <c r="E115" s="15"/>
      <c r="F115" s="15"/>
      <c r="G115" s="422"/>
      <c r="H115" s="17" t="str">
        <f t="shared" si="17"/>
        <v/>
      </c>
      <c r="I115" s="18"/>
      <c r="J115" s="61"/>
      <c r="K115" s="399"/>
      <c r="L115" s="420" t="str">
        <f t="shared" si="18"/>
        <v/>
      </c>
      <c r="M115" s="401" t="str">
        <f t="shared" si="19"/>
        <v/>
      </c>
    </row>
    <row r="116" spans="2:13" x14ac:dyDescent="0.25">
      <c r="B116" s="46"/>
      <c r="C116" s="14"/>
      <c r="D116" s="15"/>
      <c r="E116" s="15"/>
      <c r="F116" s="15"/>
      <c r="G116" s="422"/>
      <c r="H116" s="17" t="str">
        <f t="shared" si="17"/>
        <v/>
      </c>
      <c r="I116" s="18"/>
      <c r="J116" s="61"/>
      <c r="K116" s="399"/>
      <c r="L116" s="420" t="str">
        <f t="shared" si="18"/>
        <v/>
      </c>
      <c r="M116" s="401" t="str">
        <f t="shared" si="19"/>
        <v/>
      </c>
    </row>
    <row r="117" spans="2:13" x14ac:dyDescent="0.25">
      <c r="B117" s="46"/>
      <c r="C117" s="14"/>
      <c r="D117" s="15"/>
      <c r="E117" s="15"/>
      <c r="F117" s="15"/>
      <c r="G117" s="422"/>
      <c r="H117" s="17" t="str">
        <f t="shared" si="17"/>
        <v/>
      </c>
      <c r="I117" s="18"/>
      <c r="J117" s="61"/>
      <c r="K117" s="399"/>
      <c r="L117" s="420" t="str">
        <f t="shared" si="18"/>
        <v/>
      </c>
      <c r="M117" s="401" t="str">
        <f t="shared" si="19"/>
        <v/>
      </c>
    </row>
    <row r="118" spans="2:13" x14ac:dyDescent="0.25">
      <c r="B118" s="46"/>
      <c r="C118" s="14"/>
      <c r="D118" s="15"/>
      <c r="E118" s="15"/>
      <c r="F118" s="15"/>
      <c r="G118" s="422"/>
      <c r="H118" s="17" t="str">
        <f t="shared" si="17"/>
        <v/>
      </c>
      <c r="I118" s="18"/>
      <c r="J118" s="61"/>
      <c r="K118" s="399"/>
      <c r="L118" s="420" t="str">
        <f t="shared" si="18"/>
        <v/>
      </c>
      <c r="M118" s="401" t="str">
        <f t="shared" si="19"/>
        <v/>
      </c>
    </row>
    <row r="119" spans="2:13" x14ac:dyDescent="0.25">
      <c r="B119" s="46"/>
      <c r="C119" s="14"/>
      <c r="D119" s="15"/>
      <c r="E119" s="15"/>
      <c r="F119" s="15"/>
      <c r="G119" s="422"/>
      <c r="H119" s="17" t="str">
        <f t="shared" ref="H119:H145" si="20">IF(D119="","",F119*G119)</f>
        <v/>
      </c>
      <c r="I119" s="18"/>
      <c r="J119" s="61"/>
      <c r="K119" s="399"/>
      <c r="L119" s="420" t="str">
        <f t="shared" si="18"/>
        <v/>
      </c>
      <c r="M119" s="401" t="str">
        <f t="shared" si="19"/>
        <v/>
      </c>
    </row>
    <row r="120" spans="2:13" x14ac:dyDescent="0.25">
      <c r="B120" s="46"/>
      <c r="C120" s="14"/>
      <c r="D120" s="15"/>
      <c r="E120" s="15"/>
      <c r="F120" s="15"/>
      <c r="G120" s="422"/>
      <c r="H120" s="17" t="str">
        <f t="shared" si="20"/>
        <v/>
      </c>
      <c r="I120" s="18"/>
      <c r="J120" s="61"/>
      <c r="K120" s="402"/>
      <c r="L120" s="420" t="str">
        <f t="shared" si="18"/>
        <v/>
      </c>
      <c r="M120" s="401" t="str">
        <f t="shared" si="19"/>
        <v/>
      </c>
    </row>
    <row r="121" spans="2:13" x14ac:dyDescent="0.25">
      <c r="B121" s="46"/>
      <c r="C121" s="14"/>
      <c r="D121" s="15"/>
      <c r="E121" s="15"/>
      <c r="F121" s="15"/>
      <c r="G121" s="422"/>
      <c r="H121" s="17" t="str">
        <f t="shared" si="20"/>
        <v/>
      </c>
      <c r="I121" s="18"/>
      <c r="J121" s="61"/>
      <c r="K121" s="399"/>
      <c r="L121" s="420" t="str">
        <f t="shared" si="18"/>
        <v/>
      </c>
      <c r="M121" s="401" t="str">
        <f t="shared" si="19"/>
        <v/>
      </c>
    </row>
    <row r="122" spans="2:13" x14ac:dyDescent="0.25">
      <c r="B122" s="46"/>
      <c r="C122" s="14"/>
      <c r="D122" s="15"/>
      <c r="E122" s="15"/>
      <c r="F122" s="15"/>
      <c r="G122" s="422"/>
      <c r="H122" s="17" t="str">
        <f t="shared" si="20"/>
        <v/>
      </c>
      <c r="I122" s="18"/>
      <c r="J122" s="61"/>
      <c r="K122" s="402"/>
      <c r="L122" s="420" t="str">
        <f t="shared" si="18"/>
        <v/>
      </c>
      <c r="M122" s="401" t="str">
        <f t="shared" si="19"/>
        <v/>
      </c>
    </row>
    <row r="123" spans="2:13" x14ac:dyDescent="0.25">
      <c r="B123" s="46"/>
      <c r="C123" s="14"/>
      <c r="D123" s="15"/>
      <c r="E123" s="15"/>
      <c r="F123" s="15"/>
      <c r="G123" s="422"/>
      <c r="H123" s="17" t="str">
        <f t="shared" si="20"/>
        <v/>
      </c>
      <c r="I123" s="18"/>
      <c r="J123" s="61"/>
      <c r="K123" s="402"/>
      <c r="L123" s="420" t="str">
        <f t="shared" si="18"/>
        <v/>
      </c>
      <c r="M123" s="401" t="str">
        <f t="shared" si="19"/>
        <v/>
      </c>
    </row>
    <row r="124" spans="2:13" x14ac:dyDescent="0.25">
      <c r="B124" s="46"/>
      <c r="C124" s="14"/>
      <c r="D124" s="15"/>
      <c r="E124" s="15"/>
      <c r="F124" s="15"/>
      <c r="G124" s="422"/>
      <c r="H124" s="17" t="str">
        <f t="shared" si="20"/>
        <v/>
      </c>
      <c r="I124" s="18"/>
      <c r="J124" s="61"/>
      <c r="K124" s="399"/>
      <c r="L124" s="420" t="str">
        <f t="shared" si="18"/>
        <v/>
      </c>
      <c r="M124" s="401" t="str">
        <f t="shared" si="19"/>
        <v/>
      </c>
    </row>
    <row r="125" spans="2:13" x14ac:dyDescent="0.25">
      <c r="B125" s="46"/>
      <c r="C125" s="14"/>
      <c r="D125" s="15"/>
      <c r="E125" s="15"/>
      <c r="F125" s="15"/>
      <c r="G125" s="422"/>
      <c r="H125" s="17" t="str">
        <f t="shared" si="20"/>
        <v/>
      </c>
      <c r="I125" s="18"/>
      <c r="J125" s="61"/>
      <c r="K125" s="399"/>
      <c r="L125" s="420" t="str">
        <f t="shared" si="18"/>
        <v/>
      </c>
      <c r="M125" s="401" t="str">
        <f t="shared" si="19"/>
        <v/>
      </c>
    </row>
    <row r="126" spans="2:13" x14ac:dyDescent="0.25">
      <c r="B126" s="46"/>
      <c r="C126" s="14"/>
      <c r="D126" s="15"/>
      <c r="E126" s="15"/>
      <c r="F126" s="15"/>
      <c r="G126" s="422"/>
      <c r="H126" s="17" t="str">
        <f t="shared" si="20"/>
        <v/>
      </c>
      <c r="I126" s="18"/>
      <c r="J126" s="61"/>
      <c r="K126" s="399"/>
      <c r="L126" s="420" t="str">
        <f t="shared" si="18"/>
        <v/>
      </c>
      <c r="M126" s="401" t="str">
        <f t="shared" si="19"/>
        <v/>
      </c>
    </row>
    <row r="127" spans="2:13" x14ac:dyDescent="0.25">
      <c r="B127" s="46"/>
      <c r="C127" s="14"/>
      <c r="D127" s="15"/>
      <c r="E127" s="15"/>
      <c r="F127" s="15"/>
      <c r="G127" s="422"/>
      <c r="H127" s="17" t="str">
        <f t="shared" si="20"/>
        <v/>
      </c>
      <c r="I127" s="18"/>
      <c r="J127" s="61"/>
      <c r="K127" s="399"/>
      <c r="L127" s="420" t="str">
        <f t="shared" si="18"/>
        <v/>
      </c>
      <c r="M127" s="401" t="str">
        <f t="shared" si="19"/>
        <v/>
      </c>
    </row>
    <row r="128" spans="2:13" x14ac:dyDescent="0.25">
      <c r="B128" s="46"/>
      <c r="C128" s="14"/>
      <c r="D128" s="15"/>
      <c r="E128" s="15"/>
      <c r="F128" s="15"/>
      <c r="G128" s="422"/>
      <c r="H128" s="17" t="str">
        <f t="shared" si="20"/>
        <v/>
      </c>
      <c r="I128" s="18"/>
      <c r="J128" s="62"/>
      <c r="K128" s="62"/>
      <c r="L128" s="420" t="str">
        <f t="shared" si="18"/>
        <v/>
      </c>
      <c r="M128" s="401" t="str">
        <f t="shared" si="19"/>
        <v/>
      </c>
    </row>
    <row r="129" spans="2:13" x14ac:dyDescent="0.25">
      <c r="B129" s="46"/>
      <c r="C129" s="14"/>
      <c r="D129" s="15"/>
      <c r="E129" s="15"/>
      <c r="F129" s="15"/>
      <c r="G129" s="422"/>
      <c r="H129" s="17" t="str">
        <f t="shared" si="20"/>
        <v/>
      </c>
      <c r="I129" s="18"/>
      <c r="J129" s="61"/>
      <c r="K129" s="62"/>
      <c r="L129" s="420" t="str">
        <f t="shared" si="18"/>
        <v/>
      </c>
      <c r="M129" s="401" t="str">
        <f t="shared" si="19"/>
        <v/>
      </c>
    </row>
    <row r="130" spans="2:13" x14ac:dyDescent="0.25">
      <c r="B130" s="46"/>
      <c r="C130" s="14"/>
      <c r="D130" s="15"/>
      <c r="E130" s="15"/>
      <c r="F130" s="15"/>
      <c r="G130" s="422"/>
      <c r="H130" s="17" t="str">
        <f t="shared" si="20"/>
        <v/>
      </c>
      <c r="I130" s="18"/>
      <c r="J130" s="61"/>
      <c r="K130" s="62"/>
      <c r="L130" s="420" t="str">
        <f t="shared" si="18"/>
        <v/>
      </c>
      <c r="M130" s="401" t="str">
        <f t="shared" si="19"/>
        <v/>
      </c>
    </row>
    <row r="131" spans="2:13" x14ac:dyDescent="0.25">
      <c r="B131" s="46"/>
      <c r="C131" s="14"/>
      <c r="D131" s="15"/>
      <c r="E131" s="15"/>
      <c r="F131" s="15"/>
      <c r="G131" s="422"/>
      <c r="H131" s="17" t="str">
        <f t="shared" si="20"/>
        <v/>
      </c>
      <c r="I131" s="18"/>
      <c r="J131" s="62"/>
      <c r="K131" s="62"/>
      <c r="L131" s="420" t="str">
        <f t="shared" si="18"/>
        <v/>
      </c>
      <c r="M131" s="401" t="str">
        <f t="shared" si="19"/>
        <v/>
      </c>
    </row>
    <row r="132" spans="2:13" x14ac:dyDescent="0.25">
      <c r="B132" s="46"/>
      <c r="C132" s="14"/>
      <c r="D132" s="15"/>
      <c r="E132" s="15"/>
      <c r="F132" s="15"/>
      <c r="G132" s="422"/>
      <c r="H132" s="17" t="str">
        <f t="shared" si="20"/>
        <v/>
      </c>
      <c r="I132" s="18"/>
      <c r="J132" s="62"/>
      <c r="K132" s="62"/>
      <c r="L132" s="420" t="str">
        <f t="shared" si="18"/>
        <v/>
      </c>
      <c r="M132" s="401" t="str">
        <f t="shared" si="19"/>
        <v/>
      </c>
    </row>
    <row r="133" spans="2:13" x14ac:dyDescent="0.25">
      <c r="B133" s="46"/>
      <c r="C133" s="14"/>
      <c r="D133" s="15"/>
      <c r="E133" s="15"/>
      <c r="F133" s="15"/>
      <c r="G133" s="422"/>
      <c r="H133" s="17" t="str">
        <f t="shared" si="20"/>
        <v/>
      </c>
      <c r="I133" s="18"/>
      <c r="J133" s="62"/>
      <c r="K133" s="62"/>
      <c r="L133" s="420" t="str">
        <f t="shared" si="18"/>
        <v/>
      </c>
      <c r="M133" s="401" t="str">
        <f t="shared" si="19"/>
        <v/>
      </c>
    </row>
    <row r="134" spans="2:13" x14ac:dyDescent="0.25">
      <c r="B134" s="46"/>
      <c r="C134" s="14"/>
      <c r="D134" s="15"/>
      <c r="E134" s="15"/>
      <c r="F134" s="15"/>
      <c r="G134" s="422"/>
      <c r="H134" s="17" t="str">
        <f t="shared" si="20"/>
        <v/>
      </c>
      <c r="I134" s="18"/>
      <c r="J134" s="62"/>
      <c r="K134" s="62"/>
      <c r="L134" s="420" t="str">
        <f t="shared" si="18"/>
        <v/>
      </c>
      <c r="M134" s="401" t="str">
        <f t="shared" si="19"/>
        <v/>
      </c>
    </row>
    <row r="135" spans="2:13" x14ac:dyDescent="0.25">
      <c r="B135" s="46"/>
      <c r="C135" s="14"/>
      <c r="D135" s="15"/>
      <c r="E135" s="15"/>
      <c r="F135" s="15"/>
      <c r="G135" s="422"/>
      <c r="H135" s="17" t="str">
        <f t="shared" si="20"/>
        <v/>
      </c>
      <c r="I135" s="18"/>
      <c r="J135" s="62"/>
      <c r="K135" s="62"/>
      <c r="L135" s="420" t="str">
        <f t="shared" si="18"/>
        <v/>
      </c>
      <c r="M135" s="401" t="str">
        <f t="shared" si="19"/>
        <v/>
      </c>
    </row>
    <row r="136" spans="2:13" x14ac:dyDescent="0.25">
      <c r="B136" s="46"/>
      <c r="C136" s="14"/>
      <c r="D136" s="15"/>
      <c r="E136" s="15"/>
      <c r="F136" s="15"/>
      <c r="G136" s="422"/>
      <c r="H136" s="17" t="str">
        <f t="shared" si="20"/>
        <v/>
      </c>
      <c r="I136" s="18"/>
      <c r="J136" s="62"/>
      <c r="K136" s="62"/>
      <c r="L136" s="420" t="str">
        <f t="shared" si="18"/>
        <v/>
      </c>
      <c r="M136" s="401" t="str">
        <f t="shared" si="19"/>
        <v/>
      </c>
    </row>
    <row r="137" spans="2:13" x14ac:dyDescent="0.25">
      <c r="B137" s="46"/>
      <c r="C137" s="14"/>
      <c r="D137" s="15"/>
      <c r="E137" s="15"/>
      <c r="F137" s="15"/>
      <c r="G137" s="422"/>
      <c r="H137" s="17" t="str">
        <f t="shared" si="20"/>
        <v/>
      </c>
      <c r="I137" s="18"/>
      <c r="J137" s="62"/>
      <c r="K137" s="62"/>
      <c r="L137" s="420" t="str">
        <f t="shared" si="18"/>
        <v/>
      </c>
      <c r="M137" s="401" t="str">
        <f t="shared" si="19"/>
        <v/>
      </c>
    </row>
    <row r="138" spans="2:13" x14ac:dyDescent="0.25">
      <c r="B138" s="46"/>
      <c r="C138" s="14"/>
      <c r="D138" s="15"/>
      <c r="E138" s="15"/>
      <c r="F138" s="15"/>
      <c r="G138" s="422"/>
      <c r="H138" s="17" t="str">
        <f t="shared" si="20"/>
        <v/>
      </c>
      <c r="I138" s="18"/>
      <c r="J138" s="62"/>
      <c r="K138" s="62"/>
      <c r="L138" s="420" t="str">
        <f t="shared" si="18"/>
        <v/>
      </c>
      <c r="M138" s="401" t="str">
        <f t="shared" si="19"/>
        <v/>
      </c>
    </row>
    <row r="139" spans="2:13" x14ac:dyDescent="0.25">
      <c r="B139" s="46"/>
      <c r="C139" s="14"/>
      <c r="D139" s="15"/>
      <c r="E139" s="15"/>
      <c r="F139" s="15"/>
      <c r="G139" s="422"/>
      <c r="H139" s="17" t="str">
        <f t="shared" si="20"/>
        <v/>
      </c>
      <c r="I139" s="18"/>
      <c r="J139" s="62"/>
      <c r="K139" s="62"/>
      <c r="L139" s="420" t="str">
        <f t="shared" si="18"/>
        <v/>
      </c>
      <c r="M139" s="401" t="str">
        <f t="shared" si="19"/>
        <v/>
      </c>
    </row>
    <row r="140" spans="2:13" x14ac:dyDescent="0.25">
      <c r="B140" s="46"/>
      <c r="C140" s="14"/>
      <c r="D140" s="15"/>
      <c r="E140" s="15"/>
      <c r="F140" s="15"/>
      <c r="G140" s="422"/>
      <c r="H140" s="17" t="str">
        <f t="shared" si="20"/>
        <v/>
      </c>
      <c r="I140" s="18"/>
      <c r="J140" s="62"/>
      <c r="K140" s="62"/>
      <c r="L140" s="420" t="str">
        <f t="shared" si="18"/>
        <v/>
      </c>
      <c r="M140" s="401" t="str">
        <f t="shared" si="19"/>
        <v/>
      </c>
    </row>
    <row r="141" spans="2:13" x14ac:dyDescent="0.25">
      <c r="B141" s="46"/>
      <c r="C141" s="14"/>
      <c r="D141" s="15"/>
      <c r="E141" s="15"/>
      <c r="F141" s="15"/>
      <c r="G141" s="422"/>
      <c r="H141" s="17" t="str">
        <f t="shared" si="20"/>
        <v/>
      </c>
      <c r="I141" s="18"/>
      <c r="J141" s="62"/>
      <c r="K141" s="62"/>
      <c r="L141" s="420" t="str">
        <f t="shared" si="18"/>
        <v/>
      </c>
      <c r="M141" s="401" t="str">
        <f t="shared" si="19"/>
        <v/>
      </c>
    </row>
    <row r="142" spans="2:13" x14ac:dyDescent="0.25">
      <c r="B142" s="46"/>
      <c r="C142" s="14"/>
      <c r="D142" s="15"/>
      <c r="E142" s="15"/>
      <c r="F142" s="15"/>
      <c r="G142" s="422"/>
      <c r="H142" s="17" t="str">
        <f t="shared" si="20"/>
        <v/>
      </c>
      <c r="I142" s="18"/>
      <c r="J142" s="62"/>
      <c r="K142" s="62"/>
      <c r="L142" s="420" t="str">
        <f t="shared" si="18"/>
        <v/>
      </c>
      <c r="M142" s="401" t="str">
        <f t="shared" si="19"/>
        <v/>
      </c>
    </row>
    <row r="143" spans="2:13" x14ac:dyDescent="0.25">
      <c r="B143" s="46"/>
      <c r="C143" s="14"/>
      <c r="D143" s="15"/>
      <c r="E143" s="15"/>
      <c r="F143" s="15"/>
      <c r="G143" s="422"/>
      <c r="H143" s="17" t="str">
        <f t="shared" si="20"/>
        <v/>
      </c>
      <c r="I143" s="18"/>
      <c r="J143" s="62"/>
      <c r="K143" s="62"/>
      <c r="L143" s="420" t="str">
        <f t="shared" si="18"/>
        <v/>
      </c>
      <c r="M143" s="401" t="str">
        <f t="shared" si="19"/>
        <v/>
      </c>
    </row>
    <row r="144" spans="2:13" x14ac:dyDescent="0.25">
      <c r="B144" s="46"/>
      <c r="C144" s="14"/>
      <c r="D144" s="15"/>
      <c r="E144" s="15"/>
      <c r="F144" s="15"/>
      <c r="G144" s="422"/>
      <c r="H144" s="17" t="str">
        <f t="shared" si="20"/>
        <v/>
      </c>
      <c r="I144" s="18"/>
      <c r="J144" s="61"/>
      <c r="K144" s="695"/>
      <c r="L144" s="420" t="str">
        <f t="shared" si="18"/>
        <v/>
      </c>
      <c r="M144" s="401" t="str">
        <f t="shared" si="19"/>
        <v/>
      </c>
    </row>
    <row r="145" spans="2:13" x14ac:dyDescent="0.25">
      <c r="B145" s="46"/>
      <c r="C145" s="14"/>
      <c r="D145" s="15"/>
      <c r="E145" s="15"/>
      <c r="F145" s="15"/>
      <c r="G145" s="422"/>
      <c r="H145" s="17" t="str">
        <f t="shared" si="20"/>
        <v/>
      </c>
      <c r="I145" s="18"/>
      <c r="J145" s="61"/>
      <c r="K145" s="696"/>
      <c r="L145" s="420" t="str">
        <f t="shared" si="18"/>
        <v/>
      </c>
      <c r="M145" s="401" t="str">
        <f t="shared" si="19"/>
        <v/>
      </c>
    </row>
    <row r="146" spans="2:13" s="28" customFormat="1" ht="25" customHeight="1" x14ac:dyDescent="0.25">
      <c r="B146" s="84" t="str">
        <f>$B$12</f>
        <v>C5.4</v>
      </c>
      <c r="C146" s="498" t="str">
        <f>"TOTAL CARRIED FORWARD"&amp;IF(H146=H$1," TO SUMMARY (Page C"&amp;Page_A&amp;")","")</f>
        <v>TOTAL CARRIED FORWARD TO SUMMARY (Page C48)</v>
      </c>
      <c r="D146" s="31"/>
      <c r="E146" s="31"/>
      <c r="F146" s="32"/>
      <c r="G146" s="31"/>
      <c r="H146" s="33">
        <f>SUM(H85:H145)</f>
        <v>2064500</v>
      </c>
      <c r="I146" s="34"/>
      <c r="J146" s="408"/>
      <c r="K146" s="406"/>
      <c r="L146" s="418">
        <f>SUM(L85:L145)</f>
        <v>141460</v>
      </c>
      <c r="M146" s="407" t="str">
        <f t="shared" si="19"/>
        <v/>
      </c>
    </row>
  </sheetData>
  <mergeCells count="11">
    <mergeCell ref="F3:H3"/>
    <mergeCell ref="B7:G9"/>
    <mergeCell ref="H6:H9"/>
    <mergeCell ref="B6:G6"/>
    <mergeCell ref="B80:G80"/>
    <mergeCell ref="H80:H83"/>
    <mergeCell ref="B81:G83"/>
    <mergeCell ref="B77:D77"/>
    <mergeCell ref="F77:H79"/>
    <mergeCell ref="B78:D78"/>
    <mergeCell ref="B79:D79"/>
  </mergeCells>
  <phoneticPr fontId="15" type="noConversion"/>
  <conditionalFormatting sqref="G11:H76">
    <cfRule type="expression" dxfId="23" priority="1">
      <formula>_Show_Price=FALSE</formula>
    </cfRule>
    <cfRule type="expression" dxfId="22" priority="2">
      <formula>AND(_Show_Price=FALSE,$D11&lt;&gt;"PC Sum",$D11&lt;&gt;"P C Sum",$D11&lt;&gt;"Prov Sum",$D11&lt;&gt;"P Sum")</formula>
    </cfRule>
  </conditionalFormatting>
  <conditionalFormatting sqref="G85:H146">
    <cfRule type="expression" dxfId="21" priority="3">
      <formula>AND(_Show_Price=FALSE,$D85&lt;&gt;"PC Sum",$D85&lt;&gt;"P C Sum",$D85&lt;&gt;"Prov Sum",$D85&lt;&gt;"P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7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09">
    <tabColor rgb="FFFFFF00"/>
  </sheetPr>
  <dimension ref="A1:N149"/>
  <sheetViews>
    <sheetView view="pageBreakPreview" zoomScaleNormal="125" zoomScaleSheetLayoutView="100" zoomScalePageLayoutView="125" workbookViewId="0">
      <pane xSplit="4" ySplit="3" topLeftCell="E4" activePane="bottomRight" state="frozen"/>
      <selection activeCell="B26" sqref="B26:G26"/>
      <selection pane="topRight" activeCell="B26" sqref="B26:G26"/>
      <selection pane="bottomLeft" activeCell="B26" sqref="B26:G26"/>
      <selection pane="bottomRight" activeCell="B26" sqref="B26:G26"/>
    </sheetView>
  </sheetViews>
  <sheetFormatPr defaultColWidth="8.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2.81640625" style="1" customWidth="1"/>
    <col min="12" max="12" width="14.1796875" style="1" customWidth="1"/>
    <col min="13" max="14" width="14.7265625" style="1" customWidth="1"/>
    <col min="15" max="16384" width="8.81640625" style="1"/>
  </cols>
  <sheetData>
    <row r="1" spans="1:14" s="250" customFormat="1" ht="11.5" x14ac:dyDescent="0.25">
      <c r="A1" s="242"/>
      <c r="B1" s="243"/>
      <c r="C1" s="244" t="s">
        <v>993</v>
      </c>
      <c r="D1" s="245"/>
      <c r="E1" s="245"/>
      <c r="F1" s="246" t="s">
        <v>994</v>
      </c>
      <c r="G1" s="244">
        <v>1</v>
      </c>
      <c r="H1" s="247">
        <f>MAX(H2:H149)</f>
        <v>185120</v>
      </c>
      <c r="I1" s="247">
        <f>MAX(I2:I226)</f>
        <v>0</v>
      </c>
      <c r="J1" s="248"/>
      <c r="K1" s="249"/>
      <c r="L1" s="247">
        <f>MAX(L2:L149)</f>
        <v>5316</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2.75" customHeight="1" x14ac:dyDescent="0.25">
      <c r="B6" s="1112" t="s">
        <v>8</v>
      </c>
      <c r="C6" s="1113"/>
      <c r="D6" s="1113"/>
      <c r="E6" s="1113"/>
      <c r="F6" s="1113"/>
      <c r="G6" s="1113"/>
      <c r="H6" s="1132" t="str">
        <f>"CHAPTER "&amp;B12</f>
        <v>CHAPTER C11.1</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3"/>
      <c r="I7" s="8"/>
    </row>
    <row r="8" spans="1:14" ht="12.75" customHeight="1" x14ac:dyDescent="0.25">
      <c r="B8" s="1117"/>
      <c r="C8" s="1118"/>
      <c r="D8" s="1118"/>
      <c r="E8" s="1118"/>
      <c r="F8" s="1118"/>
      <c r="G8" s="1118"/>
      <c r="H8" s="1133"/>
      <c r="I8" s="8"/>
    </row>
    <row r="9" spans="1:14" s="9" customFormat="1" ht="7.5" customHeight="1" x14ac:dyDescent="0.25">
      <c r="B9" s="1119"/>
      <c r="C9" s="1120"/>
      <c r="D9" s="1120"/>
      <c r="E9" s="1120"/>
      <c r="F9" s="1120"/>
      <c r="G9" s="1120"/>
      <c r="H9" s="1134"/>
      <c r="I9" s="12"/>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65"/>
      <c r="D11" s="15"/>
      <c r="E11" s="15"/>
      <c r="F11" s="15"/>
      <c r="G11" s="411"/>
      <c r="H11" s="96" t="str">
        <f t="shared" ref="H11:H75" si="0">IF(D11="","",F11*G11)</f>
        <v/>
      </c>
      <c r="I11" s="18"/>
      <c r="J11" s="61"/>
      <c r="K11" s="399"/>
      <c r="L11" s="420" t="str">
        <f t="shared" ref="L11" si="1">IF(J11="","",F11*K11)</f>
        <v/>
      </c>
      <c r="M11" s="401" t="str">
        <f t="shared" ref="M11" si="2">IF(J11="","",IF(SUM(H11)=0,"",L11/H11))</f>
        <v/>
      </c>
    </row>
    <row r="12" spans="1:14" ht="39" x14ac:dyDescent="0.25">
      <c r="B12" s="146" t="s">
        <v>625</v>
      </c>
      <c r="C12" s="672" t="s">
        <v>624</v>
      </c>
      <c r="D12" s="15"/>
      <c r="E12" s="15"/>
      <c r="F12" s="15"/>
      <c r="G12" s="411"/>
      <c r="H12" s="96" t="str">
        <f t="shared" si="0"/>
        <v/>
      </c>
      <c r="I12" s="18"/>
      <c r="J12" s="61"/>
      <c r="K12" s="399"/>
      <c r="L12" s="420" t="str">
        <f t="shared" ref="L12:L74" si="3">IF(J12="","",F12*K12)</f>
        <v/>
      </c>
      <c r="M12" s="401" t="str">
        <f t="shared" ref="M12:M74" si="4">IF(J12="","",IF(SUM(H12)=0,"",L12/H12))</f>
        <v/>
      </c>
    </row>
    <row r="13" spans="1:14" x14ac:dyDescent="0.25">
      <c r="B13" s="58"/>
      <c r="C13" s="65"/>
      <c r="D13" s="15"/>
      <c r="E13" s="15"/>
      <c r="F13" s="15"/>
      <c r="G13" s="411"/>
      <c r="H13" s="96" t="str">
        <f t="shared" si="0"/>
        <v/>
      </c>
      <c r="I13" s="18"/>
      <c r="J13" s="61"/>
      <c r="K13" s="399"/>
      <c r="L13" s="420" t="str">
        <f t="shared" si="3"/>
        <v/>
      </c>
      <c r="M13" s="401" t="str">
        <f t="shared" si="4"/>
        <v/>
      </c>
    </row>
    <row r="14" spans="1:14" ht="13" x14ac:dyDescent="0.25">
      <c r="B14" s="146" t="s">
        <v>623</v>
      </c>
      <c r="C14" s="789" t="s">
        <v>622</v>
      </c>
      <c r="D14" s="15"/>
      <c r="E14" s="15"/>
      <c r="F14" s="24"/>
      <c r="G14" s="421"/>
      <c r="H14" s="96" t="str">
        <f t="shared" si="0"/>
        <v/>
      </c>
      <c r="I14" s="63"/>
      <c r="J14" s="61"/>
      <c r="K14" s="402"/>
      <c r="L14" s="420" t="str">
        <f t="shared" si="3"/>
        <v/>
      </c>
      <c r="M14" s="401" t="str">
        <f t="shared" si="4"/>
        <v/>
      </c>
    </row>
    <row r="15" spans="1:14" x14ac:dyDescent="0.25">
      <c r="B15" s="58"/>
      <c r="C15" s="68"/>
      <c r="D15" s="61"/>
      <c r="E15" s="61"/>
      <c r="F15" s="24"/>
      <c r="G15" s="421"/>
      <c r="H15" s="96" t="str">
        <f t="shared" si="0"/>
        <v/>
      </c>
      <c r="I15" s="63"/>
      <c r="J15" s="61"/>
      <c r="K15" s="402"/>
      <c r="L15" s="420" t="str">
        <f t="shared" si="3"/>
        <v/>
      </c>
      <c r="M15" s="401" t="str">
        <f t="shared" si="4"/>
        <v/>
      </c>
    </row>
    <row r="16" spans="1:14" x14ac:dyDescent="0.25">
      <c r="B16" s="58" t="s">
        <v>621</v>
      </c>
      <c r="C16" s="65" t="s">
        <v>620</v>
      </c>
      <c r="D16" s="15"/>
      <c r="E16" s="15"/>
      <c r="F16" s="24"/>
      <c r="G16" s="422"/>
      <c r="H16" s="96" t="str">
        <f t="shared" si="0"/>
        <v/>
      </c>
      <c r="I16" s="63"/>
      <c r="J16" s="61"/>
      <c r="K16" s="402"/>
      <c r="L16" s="420" t="str">
        <f t="shared" si="3"/>
        <v/>
      </c>
      <c r="M16" s="401" t="str">
        <f t="shared" si="4"/>
        <v/>
      </c>
    </row>
    <row r="17" spans="2:13" x14ac:dyDescent="0.25">
      <c r="B17" s="58"/>
      <c r="C17" s="68"/>
      <c r="D17" s="61"/>
      <c r="E17" s="61"/>
      <c r="F17" s="24"/>
      <c r="G17" s="421"/>
      <c r="H17" s="96" t="str">
        <f t="shared" si="0"/>
        <v/>
      </c>
      <c r="I17" s="63"/>
      <c r="J17" s="61"/>
      <c r="K17" s="402"/>
      <c r="L17" s="420" t="str">
        <f t="shared" si="3"/>
        <v/>
      </c>
      <c r="M17" s="401" t="str">
        <f t="shared" si="4"/>
        <v/>
      </c>
    </row>
    <row r="18" spans="2:13" ht="13" x14ac:dyDescent="0.3">
      <c r="B18" s="58" t="s">
        <v>39</v>
      </c>
      <c r="C18" s="65" t="s">
        <v>619</v>
      </c>
      <c r="D18" s="61" t="s">
        <v>511</v>
      </c>
      <c r="E18" s="61"/>
      <c r="F18" s="24">
        <v>250</v>
      </c>
      <c r="G18" s="423">
        <v>180</v>
      </c>
      <c r="H18" s="96">
        <f t="shared" si="0"/>
        <v>45000</v>
      </c>
      <c r="I18" s="63"/>
      <c r="J18" s="61" t="s">
        <v>996</v>
      </c>
      <c r="K18" s="399">
        <f>IF(D18="","",ROUND(Labour_perc_roads*G18,0))</f>
        <v>5</v>
      </c>
      <c r="L18" s="420">
        <f t="shared" si="3"/>
        <v>1250</v>
      </c>
      <c r="M18" s="401">
        <f t="shared" si="4"/>
        <v>2.7777777777777776E-2</v>
      </c>
    </row>
    <row r="19" spans="2:13" x14ac:dyDescent="0.25">
      <c r="B19" s="58"/>
      <c r="C19" s="65"/>
      <c r="D19" s="15"/>
      <c r="E19" s="15"/>
      <c r="F19" s="24"/>
      <c r="G19" s="411"/>
      <c r="H19" s="96" t="str">
        <f t="shared" si="0"/>
        <v/>
      </c>
      <c r="I19" s="60"/>
      <c r="J19" s="61"/>
      <c r="K19" s="399"/>
      <c r="L19" s="420" t="str">
        <f t="shared" si="3"/>
        <v/>
      </c>
      <c r="M19" s="401" t="str">
        <f t="shared" si="4"/>
        <v/>
      </c>
    </row>
    <row r="20" spans="2:13" ht="13" x14ac:dyDescent="0.3">
      <c r="B20" s="58" t="s">
        <v>618</v>
      </c>
      <c r="C20" s="65" t="s">
        <v>617</v>
      </c>
      <c r="D20" s="15" t="s">
        <v>511</v>
      </c>
      <c r="E20" s="15"/>
      <c r="F20" s="24">
        <v>250</v>
      </c>
      <c r="G20" s="422">
        <v>380</v>
      </c>
      <c r="H20" s="96">
        <f t="shared" si="0"/>
        <v>95000</v>
      </c>
      <c r="I20" s="57"/>
      <c r="J20" s="61" t="s">
        <v>996</v>
      </c>
      <c r="K20" s="399">
        <f>IF(D20="","",ROUND(Labour_perc_roads*G20,0))</f>
        <v>11</v>
      </c>
      <c r="L20" s="420">
        <f t="shared" si="3"/>
        <v>2750</v>
      </c>
      <c r="M20" s="401">
        <f t="shared" si="4"/>
        <v>2.8947368421052631E-2</v>
      </c>
    </row>
    <row r="21" spans="2:13" x14ac:dyDescent="0.25">
      <c r="B21" s="58"/>
      <c r="C21" s="68"/>
      <c r="D21" s="61"/>
      <c r="E21" s="61"/>
      <c r="F21" s="24"/>
      <c r="G21" s="421"/>
      <c r="H21" s="96" t="str">
        <f t="shared" si="0"/>
        <v/>
      </c>
      <c r="I21" s="63"/>
      <c r="J21" s="61"/>
      <c r="K21" s="402"/>
      <c r="L21" s="420" t="str">
        <f t="shared" si="3"/>
        <v/>
      </c>
      <c r="M21" s="401" t="str">
        <f t="shared" si="4"/>
        <v/>
      </c>
    </row>
    <row r="22" spans="2:13" ht="13" x14ac:dyDescent="0.3">
      <c r="B22" s="58" t="s">
        <v>616</v>
      </c>
      <c r="C22" s="65" t="s">
        <v>615</v>
      </c>
      <c r="D22" s="15" t="s">
        <v>511</v>
      </c>
      <c r="E22" s="15"/>
      <c r="F22" s="24">
        <v>188</v>
      </c>
      <c r="G22" s="423">
        <v>240</v>
      </c>
      <c r="H22" s="96">
        <f t="shared" si="0"/>
        <v>45120</v>
      </c>
      <c r="I22" s="18"/>
      <c r="J22" s="61" t="s">
        <v>996</v>
      </c>
      <c r="K22" s="399">
        <f>IF(D22="","",ROUND(Labour_perc_roads*G22,0))</f>
        <v>7</v>
      </c>
      <c r="L22" s="420">
        <f t="shared" si="3"/>
        <v>1316</v>
      </c>
      <c r="M22" s="401">
        <f t="shared" si="4"/>
        <v>2.9166666666666667E-2</v>
      </c>
    </row>
    <row r="23" spans="2:13" x14ac:dyDescent="0.25">
      <c r="B23" s="58"/>
      <c r="C23" s="386"/>
      <c r="D23" s="15"/>
      <c r="E23" s="15"/>
      <c r="F23" s="647"/>
      <c r="G23" s="411"/>
      <c r="H23" s="743" t="str">
        <f t="shared" si="0"/>
        <v/>
      </c>
      <c r="I23" s="63"/>
      <c r="J23" s="61"/>
      <c r="K23" s="402"/>
      <c r="L23" s="420" t="str">
        <f t="shared" si="3"/>
        <v/>
      </c>
      <c r="M23" s="401" t="str">
        <f t="shared" si="4"/>
        <v/>
      </c>
    </row>
    <row r="24" spans="2:13" x14ac:dyDescent="0.25">
      <c r="B24" s="58"/>
      <c r="C24" s="386"/>
      <c r="D24" s="587"/>
      <c r="E24" s="587"/>
      <c r="F24" s="768"/>
      <c r="G24" s="411"/>
      <c r="H24" s="743" t="str">
        <f t="shared" si="0"/>
        <v/>
      </c>
      <c r="I24" s="63"/>
      <c r="J24" s="61"/>
      <c r="K24" s="399"/>
      <c r="L24" s="420" t="str">
        <f t="shared" si="3"/>
        <v/>
      </c>
      <c r="M24" s="401" t="str">
        <f t="shared" si="4"/>
        <v/>
      </c>
    </row>
    <row r="25" spans="2:13" x14ac:dyDescent="0.25">
      <c r="B25" s="58"/>
      <c r="C25" s="386"/>
      <c r="D25" s="587"/>
      <c r="E25" s="587"/>
      <c r="F25" s="647"/>
      <c r="G25" s="411"/>
      <c r="H25" s="743" t="str">
        <f t="shared" si="0"/>
        <v/>
      </c>
      <c r="I25" s="63"/>
      <c r="J25" s="61"/>
      <c r="K25" s="399"/>
      <c r="L25" s="420" t="str">
        <f t="shared" si="3"/>
        <v/>
      </c>
      <c r="M25" s="401" t="str">
        <f t="shared" si="4"/>
        <v/>
      </c>
    </row>
    <row r="26" spans="2:13" x14ac:dyDescent="0.25">
      <c r="B26" s="58"/>
      <c r="C26" s="386"/>
      <c r="D26" s="587"/>
      <c r="E26" s="587"/>
      <c r="F26" s="647"/>
      <c r="G26" s="411"/>
      <c r="H26" s="743" t="str">
        <f t="shared" si="0"/>
        <v/>
      </c>
      <c r="I26" s="63"/>
      <c r="J26" s="61"/>
      <c r="K26" s="399"/>
      <c r="L26" s="420" t="str">
        <f t="shared" si="3"/>
        <v/>
      </c>
      <c r="M26" s="401" t="str">
        <f t="shared" si="4"/>
        <v/>
      </c>
    </row>
    <row r="27" spans="2:13" ht="13" x14ac:dyDescent="0.25">
      <c r="B27" s="146"/>
      <c r="C27" s="790"/>
      <c r="D27" s="15"/>
      <c r="E27" s="15"/>
      <c r="F27" s="24"/>
      <c r="G27" s="422"/>
      <c r="H27" s="96" t="str">
        <f t="shared" si="0"/>
        <v/>
      </c>
      <c r="I27" s="57"/>
      <c r="J27" s="61"/>
      <c r="K27" s="399"/>
      <c r="L27" s="420" t="str">
        <f t="shared" si="3"/>
        <v/>
      </c>
      <c r="M27" s="401" t="str">
        <f t="shared" si="4"/>
        <v/>
      </c>
    </row>
    <row r="28" spans="2:13" x14ac:dyDescent="0.25">
      <c r="B28" s="58"/>
      <c r="C28" s="65"/>
      <c r="D28" s="15"/>
      <c r="E28" s="15"/>
      <c r="F28" s="24"/>
      <c r="G28" s="422"/>
      <c r="H28" s="96" t="str">
        <f t="shared" si="0"/>
        <v/>
      </c>
      <c r="I28" s="18"/>
      <c r="J28" s="61"/>
      <c r="K28" s="62"/>
      <c r="L28" s="420" t="str">
        <f t="shared" si="3"/>
        <v/>
      </c>
      <c r="M28" s="401" t="str">
        <f t="shared" si="4"/>
        <v/>
      </c>
    </row>
    <row r="29" spans="2:13" x14ac:dyDescent="0.25">
      <c r="B29" s="58"/>
      <c r="C29" s="65"/>
      <c r="D29" s="15"/>
      <c r="E29" s="15"/>
      <c r="F29" s="24"/>
      <c r="G29" s="423"/>
      <c r="H29" s="96" t="str">
        <f t="shared" si="0"/>
        <v/>
      </c>
      <c r="I29" s="18"/>
      <c r="J29" s="61"/>
      <c r="K29" s="399"/>
      <c r="L29" s="420" t="str">
        <f t="shared" si="3"/>
        <v/>
      </c>
      <c r="M29" s="401" t="str">
        <f t="shared" si="4"/>
        <v/>
      </c>
    </row>
    <row r="30" spans="2:13" x14ac:dyDescent="0.25">
      <c r="B30" s="58"/>
      <c r="C30" s="65"/>
      <c r="D30" s="15"/>
      <c r="E30" s="15"/>
      <c r="F30" s="24"/>
      <c r="G30" s="411"/>
      <c r="H30" s="96" t="str">
        <f t="shared" si="0"/>
        <v/>
      </c>
      <c r="I30" s="18"/>
      <c r="J30" s="61"/>
      <c r="K30" s="62"/>
      <c r="L30" s="420" t="str">
        <f t="shared" si="3"/>
        <v/>
      </c>
      <c r="M30" s="401" t="str">
        <f t="shared" si="4"/>
        <v/>
      </c>
    </row>
    <row r="31" spans="2:13" ht="13" x14ac:dyDescent="0.25">
      <c r="B31" s="146"/>
      <c r="C31" s="797"/>
      <c r="D31" s="61"/>
      <c r="E31" s="61"/>
      <c r="F31" s="24"/>
      <c r="G31" s="411"/>
      <c r="H31" s="96" t="str">
        <f t="shared" si="0"/>
        <v/>
      </c>
      <c r="I31" s="18"/>
      <c r="J31" s="61"/>
      <c r="K31" s="62"/>
      <c r="L31" s="420" t="str">
        <f t="shared" si="3"/>
        <v/>
      </c>
      <c r="M31" s="401" t="str">
        <f t="shared" si="4"/>
        <v/>
      </c>
    </row>
    <row r="32" spans="2:13" x14ac:dyDescent="0.25">
      <c r="B32" s="58"/>
      <c r="C32" s="793"/>
      <c r="D32" s="61"/>
      <c r="E32" s="61"/>
      <c r="F32" s="24"/>
      <c r="G32" s="411"/>
      <c r="H32" s="96" t="str">
        <f t="shared" si="0"/>
        <v/>
      </c>
      <c r="I32" s="18"/>
      <c r="J32" s="61"/>
      <c r="K32" s="62"/>
      <c r="L32" s="420" t="str">
        <f t="shared" si="3"/>
        <v/>
      </c>
      <c r="M32" s="401" t="str">
        <f t="shared" si="4"/>
        <v/>
      </c>
    </row>
    <row r="33" spans="2:13" x14ac:dyDescent="0.25">
      <c r="B33" s="58"/>
      <c r="C33" s="65"/>
      <c r="D33" s="15"/>
      <c r="E33" s="15"/>
      <c r="F33" s="24"/>
      <c r="G33" s="422"/>
      <c r="H33" s="96" t="str">
        <f t="shared" si="0"/>
        <v/>
      </c>
      <c r="I33" s="57"/>
      <c r="J33" s="61"/>
      <c r="K33" s="62"/>
      <c r="L33" s="420" t="str">
        <f t="shared" si="3"/>
        <v/>
      </c>
      <c r="M33" s="401" t="str">
        <f t="shared" si="4"/>
        <v/>
      </c>
    </row>
    <row r="34" spans="2:13" x14ac:dyDescent="0.25">
      <c r="B34" s="58"/>
      <c r="C34" s="65"/>
      <c r="D34" s="15"/>
      <c r="E34" s="15"/>
      <c r="F34" s="24"/>
      <c r="G34" s="411"/>
      <c r="H34" s="96" t="str">
        <f t="shared" si="0"/>
        <v/>
      </c>
      <c r="I34" s="18"/>
      <c r="J34" s="61"/>
      <c r="K34" s="62"/>
      <c r="L34" s="420" t="str">
        <f t="shared" si="3"/>
        <v/>
      </c>
      <c r="M34" s="401" t="str">
        <f t="shared" si="4"/>
        <v/>
      </c>
    </row>
    <row r="35" spans="2:13" x14ac:dyDescent="0.25">
      <c r="B35" s="58"/>
      <c r="C35" s="793"/>
      <c r="D35" s="61"/>
      <c r="E35" s="61"/>
      <c r="F35" s="24"/>
      <c r="G35" s="423"/>
      <c r="H35" s="96" t="str">
        <f t="shared" si="0"/>
        <v/>
      </c>
      <c r="I35" s="18"/>
      <c r="J35" s="61"/>
      <c r="K35" s="62"/>
      <c r="L35" s="420" t="str">
        <f t="shared" si="3"/>
        <v/>
      </c>
      <c r="M35" s="401" t="str">
        <f t="shared" si="4"/>
        <v/>
      </c>
    </row>
    <row r="36" spans="2:13" x14ac:dyDescent="0.25">
      <c r="B36" s="58"/>
      <c r="C36" s="793"/>
      <c r="D36" s="61"/>
      <c r="E36" s="61"/>
      <c r="F36" s="15"/>
      <c r="G36" s="411"/>
      <c r="H36" s="96" t="str">
        <f t="shared" si="0"/>
        <v/>
      </c>
      <c r="I36" s="18"/>
      <c r="J36" s="61"/>
      <c r="K36" s="62"/>
      <c r="L36" s="420" t="str">
        <f t="shared" si="3"/>
        <v/>
      </c>
      <c r="M36" s="401" t="str">
        <f t="shared" si="4"/>
        <v/>
      </c>
    </row>
    <row r="37" spans="2:13" x14ac:dyDescent="0.25">
      <c r="B37" s="58"/>
      <c r="C37" s="65"/>
      <c r="D37" s="15"/>
      <c r="E37" s="15"/>
      <c r="F37" s="15"/>
      <c r="G37" s="422"/>
      <c r="H37" s="96" t="str">
        <f t="shared" si="0"/>
        <v/>
      </c>
      <c r="I37" s="18"/>
      <c r="J37" s="61"/>
      <c r="K37" s="62"/>
      <c r="L37" s="420" t="str">
        <f t="shared" si="3"/>
        <v/>
      </c>
      <c r="M37" s="401" t="str">
        <f t="shared" si="4"/>
        <v/>
      </c>
    </row>
    <row r="38" spans="2:13" x14ac:dyDescent="0.25">
      <c r="B38" s="58"/>
      <c r="C38" s="65"/>
      <c r="D38" s="15"/>
      <c r="E38" s="15"/>
      <c r="F38" s="15"/>
      <c r="G38" s="422"/>
      <c r="H38" s="96" t="str">
        <f t="shared" si="0"/>
        <v/>
      </c>
      <c r="I38" s="18"/>
      <c r="J38" s="61"/>
      <c r="K38" s="62"/>
      <c r="L38" s="420" t="str">
        <f t="shared" si="3"/>
        <v/>
      </c>
      <c r="M38" s="401" t="str">
        <f t="shared" si="4"/>
        <v/>
      </c>
    </row>
    <row r="39" spans="2:13" x14ac:dyDescent="0.25">
      <c r="B39" s="58"/>
      <c r="C39" s="65"/>
      <c r="D39" s="15"/>
      <c r="E39" s="15"/>
      <c r="F39" s="15"/>
      <c r="G39" s="422"/>
      <c r="H39" s="96" t="str">
        <f t="shared" si="0"/>
        <v/>
      </c>
      <c r="I39" s="18"/>
      <c r="J39" s="61"/>
      <c r="K39" s="62"/>
      <c r="L39" s="420" t="str">
        <f t="shared" si="3"/>
        <v/>
      </c>
      <c r="M39" s="401" t="str">
        <f t="shared" si="4"/>
        <v/>
      </c>
    </row>
    <row r="40" spans="2:13" x14ac:dyDescent="0.25">
      <c r="B40" s="58"/>
      <c r="C40" s="65"/>
      <c r="D40" s="15"/>
      <c r="E40" s="15"/>
      <c r="F40" s="15"/>
      <c r="G40" s="422"/>
      <c r="H40" s="96" t="str">
        <f t="shared" si="0"/>
        <v/>
      </c>
      <c r="I40" s="18"/>
      <c r="J40" s="61"/>
      <c r="K40" s="62"/>
      <c r="L40" s="420" t="str">
        <f t="shared" si="3"/>
        <v/>
      </c>
      <c r="M40" s="401" t="str">
        <f t="shared" si="4"/>
        <v/>
      </c>
    </row>
    <row r="41" spans="2:13" x14ac:dyDescent="0.25">
      <c r="B41" s="58"/>
      <c r="C41" s="65"/>
      <c r="D41" s="15"/>
      <c r="E41" s="15"/>
      <c r="F41" s="15"/>
      <c r="G41" s="424"/>
      <c r="H41" s="96" t="str">
        <f t="shared" si="0"/>
        <v/>
      </c>
      <c r="I41" s="18"/>
      <c r="J41" s="61"/>
      <c r="K41" s="62"/>
      <c r="L41" s="420" t="str">
        <f t="shared" si="3"/>
        <v/>
      </c>
      <c r="M41" s="401" t="str">
        <f t="shared" si="4"/>
        <v/>
      </c>
    </row>
    <row r="42" spans="2:13" x14ac:dyDescent="0.25">
      <c r="B42" s="58"/>
      <c r="C42" s="65"/>
      <c r="D42" s="15"/>
      <c r="E42" s="15"/>
      <c r="F42" s="15"/>
      <c r="G42" s="422"/>
      <c r="H42" s="96" t="str">
        <f t="shared" si="0"/>
        <v/>
      </c>
      <c r="I42" s="18"/>
      <c r="J42" s="61"/>
      <c r="K42" s="62"/>
      <c r="L42" s="420" t="str">
        <f t="shared" si="3"/>
        <v/>
      </c>
      <c r="M42" s="401" t="str">
        <f t="shared" si="4"/>
        <v/>
      </c>
    </row>
    <row r="43" spans="2:13" x14ac:dyDescent="0.25">
      <c r="B43" s="58"/>
      <c r="C43" s="65"/>
      <c r="D43" s="15"/>
      <c r="E43" s="15"/>
      <c r="F43" s="15"/>
      <c r="G43" s="422"/>
      <c r="H43" s="96" t="str">
        <f t="shared" si="0"/>
        <v/>
      </c>
      <c r="I43" s="18"/>
      <c r="J43" s="61"/>
      <c r="K43" s="62"/>
      <c r="L43" s="420" t="str">
        <f t="shared" si="3"/>
        <v/>
      </c>
      <c r="M43" s="401" t="str">
        <f t="shared" si="4"/>
        <v/>
      </c>
    </row>
    <row r="44" spans="2:13" x14ac:dyDescent="0.25">
      <c r="B44" s="58"/>
      <c r="C44" s="65"/>
      <c r="D44" s="15"/>
      <c r="E44" s="15"/>
      <c r="F44" s="15"/>
      <c r="G44" s="422"/>
      <c r="H44" s="96" t="str">
        <f t="shared" si="0"/>
        <v/>
      </c>
      <c r="I44" s="18"/>
      <c r="J44" s="61"/>
      <c r="K44" s="62"/>
      <c r="L44" s="420" t="str">
        <f t="shared" si="3"/>
        <v/>
      </c>
      <c r="M44" s="401" t="str">
        <f t="shared" si="4"/>
        <v/>
      </c>
    </row>
    <row r="45" spans="2:13" x14ac:dyDescent="0.25">
      <c r="B45" s="58"/>
      <c r="C45" s="65"/>
      <c r="D45" s="15"/>
      <c r="E45" s="15"/>
      <c r="F45" s="61"/>
      <c r="G45" s="422"/>
      <c r="H45" s="96" t="str">
        <f t="shared" si="0"/>
        <v/>
      </c>
      <c r="I45" s="63"/>
      <c r="J45" s="61"/>
      <c r="K45" s="62"/>
      <c r="L45" s="420" t="str">
        <f t="shared" si="3"/>
        <v/>
      </c>
      <c r="M45" s="401" t="str">
        <f t="shared" si="4"/>
        <v/>
      </c>
    </row>
    <row r="46" spans="2:13" x14ac:dyDescent="0.25">
      <c r="B46" s="58"/>
      <c r="C46" s="65"/>
      <c r="D46" s="15"/>
      <c r="E46" s="15"/>
      <c r="F46" s="15"/>
      <c r="G46" s="422"/>
      <c r="H46" s="96" t="str">
        <f t="shared" si="0"/>
        <v/>
      </c>
      <c r="I46" s="18"/>
      <c r="J46" s="61"/>
      <c r="K46" s="62"/>
      <c r="L46" s="420" t="str">
        <f t="shared" si="3"/>
        <v/>
      </c>
      <c r="M46" s="401" t="str">
        <f t="shared" si="4"/>
        <v/>
      </c>
    </row>
    <row r="47" spans="2:13" x14ac:dyDescent="0.25">
      <c r="B47" s="58"/>
      <c r="C47" s="68"/>
      <c r="D47" s="61"/>
      <c r="E47" s="61"/>
      <c r="F47" s="61"/>
      <c r="G47" s="422"/>
      <c r="H47" s="96" t="str">
        <f t="shared" si="0"/>
        <v/>
      </c>
      <c r="I47" s="69"/>
      <c r="J47" s="61"/>
      <c r="K47" s="62"/>
      <c r="L47" s="420" t="str">
        <f t="shared" si="3"/>
        <v/>
      </c>
      <c r="M47" s="401" t="str">
        <f t="shared" si="4"/>
        <v/>
      </c>
    </row>
    <row r="48" spans="2:13" x14ac:dyDescent="0.25">
      <c r="B48" s="58"/>
      <c r="C48" s="68"/>
      <c r="D48" s="61"/>
      <c r="E48" s="61"/>
      <c r="F48" s="61"/>
      <c r="G48" s="422"/>
      <c r="H48" s="96" t="str">
        <f t="shared" si="0"/>
        <v/>
      </c>
      <c r="I48" s="63"/>
      <c r="J48" s="61"/>
      <c r="K48" s="62"/>
      <c r="L48" s="420" t="str">
        <f t="shared" si="3"/>
        <v/>
      </c>
      <c r="M48" s="401" t="str">
        <f t="shared" si="4"/>
        <v/>
      </c>
    </row>
    <row r="49" spans="2:13" x14ac:dyDescent="0.25">
      <c r="B49" s="58"/>
      <c r="C49" s="65"/>
      <c r="D49" s="15"/>
      <c r="E49" s="15"/>
      <c r="F49" s="15"/>
      <c r="G49" s="422"/>
      <c r="H49" s="96" t="str">
        <f t="shared" si="0"/>
        <v/>
      </c>
      <c r="I49" s="18"/>
      <c r="J49" s="61"/>
      <c r="K49" s="399"/>
      <c r="L49" s="420" t="str">
        <f t="shared" si="3"/>
        <v/>
      </c>
      <c r="M49" s="401" t="str">
        <f t="shared" si="4"/>
        <v/>
      </c>
    </row>
    <row r="50" spans="2:13" x14ac:dyDescent="0.25">
      <c r="B50" s="58"/>
      <c r="C50" s="65"/>
      <c r="D50" s="15"/>
      <c r="E50" s="15"/>
      <c r="F50" s="15"/>
      <c r="G50" s="422"/>
      <c r="H50" s="96" t="str">
        <f t="shared" si="0"/>
        <v/>
      </c>
      <c r="I50" s="18"/>
      <c r="J50" s="61"/>
      <c r="K50" s="62"/>
      <c r="L50" s="420" t="str">
        <f t="shared" si="3"/>
        <v/>
      </c>
      <c r="M50" s="401" t="str">
        <f t="shared" si="4"/>
        <v/>
      </c>
    </row>
    <row r="51" spans="2:13" x14ac:dyDescent="0.25">
      <c r="B51" s="58"/>
      <c r="C51" s="65"/>
      <c r="D51" s="15"/>
      <c r="E51" s="15"/>
      <c r="F51" s="15"/>
      <c r="G51" s="422"/>
      <c r="H51" s="96" t="str">
        <f t="shared" si="0"/>
        <v/>
      </c>
      <c r="I51" s="18"/>
      <c r="J51" s="61"/>
      <c r="K51" s="62"/>
      <c r="L51" s="420" t="str">
        <f t="shared" si="3"/>
        <v/>
      </c>
      <c r="M51" s="401" t="str">
        <f t="shared" si="4"/>
        <v/>
      </c>
    </row>
    <row r="52" spans="2:13" x14ac:dyDescent="0.25">
      <c r="B52" s="58"/>
      <c r="C52" s="65"/>
      <c r="D52" s="15"/>
      <c r="E52" s="15"/>
      <c r="F52" s="15"/>
      <c r="G52" s="422"/>
      <c r="H52" s="96" t="str">
        <f t="shared" si="0"/>
        <v/>
      </c>
      <c r="I52" s="18"/>
      <c r="J52" s="61"/>
      <c r="K52" s="62"/>
      <c r="L52" s="420" t="str">
        <f t="shared" si="3"/>
        <v/>
      </c>
      <c r="M52" s="401" t="str">
        <f t="shared" si="4"/>
        <v/>
      </c>
    </row>
    <row r="53" spans="2:13" x14ac:dyDescent="0.25">
      <c r="B53" s="58"/>
      <c r="C53" s="65"/>
      <c r="D53" s="15"/>
      <c r="E53" s="15"/>
      <c r="F53" s="15"/>
      <c r="G53" s="411"/>
      <c r="H53" s="96" t="str">
        <f t="shared" si="0"/>
        <v/>
      </c>
      <c r="I53" s="18"/>
      <c r="J53" s="61"/>
      <c r="K53" s="62"/>
      <c r="L53" s="420" t="str">
        <f t="shared" si="3"/>
        <v/>
      </c>
      <c r="M53" s="401" t="str">
        <f t="shared" si="4"/>
        <v/>
      </c>
    </row>
    <row r="54" spans="2:13" x14ac:dyDescent="0.25">
      <c r="B54" s="58"/>
      <c r="C54" s="65"/>
      <c r="D54" s="15"/>
      <c r="E54" s="15"/>
      <c r="F54" s="15"/>
      <c r="G54" s="411"/>
      <c r="H54" s="96" t="str">
        <f t="shared" si="0"/>
        <v/>
      </c>
      <c r="I54" s="63"/>
      <c r="J54" s="61"/>
      <c r="K54" s="62"/>
      <c r="L54" s="420" t="str">
        <f t="shared" si="3"/>
        <v/>
      </c>
      <c r="M54" s="401" t="str">
        <f t="shared" si="4"/>
        <v/>
      </c>
    </row>
    <row r="55" spans="2:13" x14ac:dyDescent="0.25">
      <c r="B55" s="58"/>
      <c r="C55" s="68"/>
      <c r="D55" s="15"/>
      <c r="E55" s="15"/>
      <c r="F55" s="15"/>
      <c r="G55" s="411"/>
      <c r="H55" s="96" t="str">
        <f t="shared" si="0"/>
        <v/>
      </c>
      <c r="I55" s="63"/>
      <c r="J55" s="61"/>
      <c r="K55" s="399"/>
      <c r="L55" s="420" t="str">
        <f t="shared" si="3"/>
        <v/>
      </c>
      <c r="M55" s="401" t="str">
        <f t="shared" si="4"/>
        <v/>
      </c>
    </row>
    <row r="56" spans="2:13" x14ac:dyDescent="0.25">
      <c r="B56" s="58"/>
      <c r="C56" s="65"/>
      <c r="D56" s="15"/>
      <c r="E56" s="15"/>
      <c r="F56" s="15"/>
      <c r="G56" s="411"/>
      <c r="H56" s="96" t="str">
        <f t="shared" si="0"/>
        <v/>
      </c>
      <c r="I56" s="63"/>
      <c r="J56" s="61"/>
      <c r="K56" s="62"/>
      <c r="L56" s="420" t="str">
        <f t="shared" si="3"/>
        <v/>
      </c>
      <c r="M56" s="401" t="str">
        <f t="shared" si="4"/>
        <v/>
      </c>
    </row>
    <row r="57" spans="2:13" x14ac:dyDescent="0.25">
      <c r="B57" s="58"/>
      <c r="C57" s="65"/>
      <c r="D57" s="15"/>
      <c r="E57" s="15"/>
      <c r="F57" s="15"/>
      <c r="G57" s="411"/>
      <c r="H57" s="96" t="str">
        <f t="shared" si="0"/>
        <v/>
      </c>
      <c r="I57" s="63"/>
      <c r="J57" s="61"/>
      <c r="K57" s="62"/>
      <c r="L57" s="420" t="str">
        <f t="shared" si="3"/>
        <v/>
      </c>
      <c r="M57" s="401" t="str">
        <f t="shared" si="4"/>
        <v/>
      </c>
    </row>
    <row r="58" spans="2:13" x14ac:dyDescent="0.25">
      <c r="B58" s="58"/>
      <c r="C58" s="65"/>
      <c r="D58" s="15"/>
      <c r="E58" s="15"/>
      <c r="F58" s="15"/>
      <c r="G58" s="411"/>
      <c r="H58" s="96" t="str">
        <f t="shared" si="0"/>
        <v/>
      </c>
      <c r="I58" s="63"/>
      <c r="J58" s="61"/>
      <c r="K58" s="62"/>
      <c r="L58" s="420" t="str">
        <f t="shared" si="3"/>
        <v/>
      </c>
      <c r="M58" s="401" t="str">
        <f t="shared" si="4"/>
        <v/>
      </c>
    </row>
    <row r="59" spans="2:13" x14ac:dyDescent="0.25">
      <c r="B59" s="58"/>
      <c r="C59" s="65"/>
      <c r="D59" s="15"/>
      <c r="E59" s="15"/>
      <c r="F59" s="15"/>
      <c r="G59" s="411"/>
      <c r="H59" s="96" t="str">
        <f t="shared" si="0"/>
        <v/>
      </c>
      <c r="I59" s="63"/>
      <c r="J59" s="61"/>
      <c r="K59" s="62"/>
      <c r="L59" s="420" t="str">
        <f t="shared" si="3"/>
        <v/>
      </c>
      <c r="M59" s="401" t="str">
        <f t="shared" si="4"/>
        <v/>
      </c>
    </row>
    <row r="60" spans="2:13" x14ac:dyDescent="0.25">
      <c r="B60" s="58"/>
      <c r="C60" s="65"/>
      <c r="D60" s="15"/>
      <c r="E60" s="15"/>
      <c r="F60" s="15"/>
      <c r="G60" s="411"/>
      <c r="H60" s="96" t="str">
        <f t="shared" si="0"/>
        <v/>
      </c>
      <c r="I60" s="63"/>
      <c r="J60" s="61"/>
      <c r="K60" s="62"/>
      <c r="L60" s="420" t="str">
        <f t="shared" si="3"/>
        <v/>
      </c>
      <c r="M60" s="401" t="str">
        <f t="shared" si="4"/>
        <v/>
      </c>
    </row>
    <row r="61" spans="2:13" x14ac:dyDescent="0.25">
      <c r="B61" s="58"/>
      <c r="C61" s="65"/>
      <c r="D61" s="15"/>
      <c r="E61" s="15"/>
      <c r="F61" s="15"/>
      <c r="G61" s="411"/>
      <c r="H61" s="96" t="str">
        <f t="shared" si="0"/>
        <v/>
      </c>
      <c r="I61" s="63"/>
      <c r="J61" s="61"/>
      <c r="K61" s="62"/>
      <c r="L61" s="420" t="str">
        <f t="shared" si="3"/>
        <v/>
      </c>
      <c r="M61" s="401" t="str">
        <f t="shared" si="4"/>
        <v/>
      </c>
    </row>
    <row r="62" spans="2:13" x14ac:dyDescent="0.25">
      <c r="B62" s="58"/>
      <c r="C62" s="65"/>
      <c r="D62" s="15"/>
      <c r="E62" s="15"/>
      <c r="F62" s="15"/>
      <c r="G62" s="411"/>
      <c r="H62" s="96" t="str">
        <f t="shared" si="0"/>
        <v/>
      </c>
      <c r="I62" s="63"/>
      <c r="J62" s="61"/>
      <c r="K62" s="62"/>
      <c r="L62" s="420" t="str">
        <f t="shared" si="3"/>
        <v/>
      </c>
      <c r="M62" s="401" t="str">
        <f t="shared" si="4"/>
        <v/>
      </c>
    </row>
    <row r="63" spans="2:13" x14ac:dyDescent="0.25">
      <c r="B63" s="58"/>
      <c r="C63" s="65"/>
      <c r="D63" s="15"/>
      <c r="E63" s="15"/>
      <c r="F63" s="15"/>
      <c r="G63" s="411"/>
      <c r="H63" s="96" t="str">
        <f t="shared" si="0"/>
        <v/>
      </c>
      <c r="I63" s="63"/>
      <c r="J63" s="61"/>
      <c r="K63" s="62"/>
      <c r="L63" s="420" t="str">
        <f t="shared" si="3"/>
        <v/>
      </c>
      <c r="M63" s="401" t="str">
        <f t="shared" si="4"/>
        <v/>
      </c>
    </row>
    <row r="64" spans="2:13" x14ac:dyDescent="0.25">
      <c r="B64" s="58"/>
      <c r="C64" s="65"/>
      <c r="D64" s="15"/>
      <c r="E64" s="15"/>
      <c r="F64" s="15"/>
      <c r="G64" s="411"/>
      <c r="H64" s="96" t="str">
        <f t="shared" si="0"/>
        <v/>
      </c>
      <c r="I64" s="63"/>
      <c r="J64" s="61"/>
      <c r="K64" s="62"/>
      <c r="L64" s="420" t="str">
        <f t="shared" si="3"/>
        <v/>
      </c>
      <c r="M64" s="401" t="str">
        <f t="shared" si="4"/>
        <v/>
      </c>
    </row>
    <row r="65" spans="2:13" x14ac:dyDescent="0.25">
      <c r="B65" s="58"/>
      <c r="C65" s="65"/>
      <c r="D65" s="15"/>
      <c r="E65" s="15"/>
      <c r="F65" s="15"/>
      <c r="G65" s="411"/>
      <c r="H65" s="96" t="str">
        <f t="shared" si="0"/>
        <v/>
      </c>
      <c r="I65" s="63"/>
      <c r="J65" s="61"/>
      <c r="K65" s="62"/>
      <c r="L65" s="420" t="str">
        <f t="shared" si="3"/>
        <v/>
      </c>
      <c r="M65" s="401" t="str">
        <f t="shared" si="4"/>
        <v/>
      </c>
    </row>
    <row r="66" spans="2:13" x14ac:dyDescent="0.25">
      <c r="B66" s="58"/>
      <c r="C66" s="65"/>
      <c r="D66" s="15"/>
      <c r="E66" s="15"/>
      <c r="F66" s="15"/>
      <c r="G66" s="411"/>
      <c r="H66" s="96" t="str">
        <f t="shared" si="0"/>
        <v/>
      </c>
      <c r="I66" s="63"/>
      <c r="J66" s="61"/>
      <c r="K66" s="62"/>
      <c r="L66" s="420" t="str">
        <f t="shared" si="3"/>
        <v/>
      </c>
      <c r="M66" s="401" t="str">
        <f t="shared" si="4"/>
        <v/>
      </c>
    </row>
    <row r="67" spans="2:13" x14ac:dyDescent="0.25">
      <c r="B67" s="58"/>
      <c r="C67" s="65"/>
      <c r="D67" s="15"/>
      <c r="E67" s="15"/>
      <c r="F67" s="15"/>
      <c r="G67" s="411"/>
      <c r="H67" s="96" t="str">
        <f t="shared" si="0"/>
        <v/>
      </c>
      <c r="I67" s="63"/>
      <c r="J67" s="61"/>
      <c r="K67" s="62"/>
      <c r="L67" s="420" t="str">
        <f t="shared" si="3"/>
        <v/>
      </c>
      <c r="M67" s="401" t="str">
        <f t="shared" si="4"/>
        <v/>
      </c>
    </row>
    <row r="68" spans="2:13" x14ac:dyDescent="0.25">
      <c r="B68" s="58"/>
      <c r="C68" s="65"/>
      <c r="D68" s="15"/>
      <c r="E68" s="15"/>
      <c r="F68" s="15"/>
      <c r="G68" s="411"/>
      <c r="H68" s="96" t="str">
        <f t="shared" si="0"/>
        <v/>
      </c>
      <c r="I68" s="63"/>
      <c r="J68" s="61"/>
      <c r="K68" s="62"/>
      <c r="L68" s="420" t="str">
        <f t="shared" si="3"/>
        <v/>
      </c>
      <c r="M68" s="401" t="str">
        <f t="shared" si="4"/>
        <v/>
      </c>
    </row>
    <row r="69" spans="2:13" x14ac:dyDescent="0.25">
      <c r="B69" s="58"/>
      <c r="C69" s="65"/>
      <c r="D69" s="15"/>
      <c r="E69" s="15"/>
      <c r="F69" s="15"/>
      <c r="G69" s="411"/>
      <c r="H69" s="96" t="str">
        <f t="shared" si="0"/>
        <v/>
      </c>
      <c r="I69" s="63"/>
      <c r="J69" s="61"/>
      <c r="K69" s="62"/>
      <c r="L69" s="420" t="str">
        <f t="shared" si="3"/>
        <v/>
      </c>
      <c r="M69" s="401" t="str">
        <f t="shared" si="4"/>
        <v/>
      </c>
    </row>
    <row r="70" spans="2:13" x14ac:dyDescent="0.25">
      <c r="B70" s="58"/>
      <c r="C70" s="65"/>
      <c r="D70" s="15"/>
      <c r="E70" s="15"/>
      <c r="F70" s="15"/>
      <c r="G70" s="411"/>
      <c r="H70" s="96" t="str">
        <f t="shared" si="0"/>
        <v/>
      </c>
      <c r="I70" s="63"/>
      <c r="J70" s="61"/>
      <c r="K70" s="62"/>
      <c r="L70" s="420" t="str">
        <f t="shared" si="3"/>
        <v/>
      </c>
      <c r="M70" s="401" t="str">
        <f t="shared" si="4"/>
        <v/>
      </c>
    </row>
    <row r="71" spans="2:13" x14ac:dyDescent="0.25">
      <c r="B71" s="58"/>
      <c r="C71" s="65"/>
      <c r="D71" s="15"/>
      <c r="E71" s="15"/>
      <c r="F71" s="15"/>
      <c r="G71" s="411"/>
      <c r="H71" s="96" t="str">
        <f t="shared" si="0"/>
        <v/>
      </c>
      <c r="I71" s="63"/>
      <c r="J71" s="61"/>
      <c r="K71" s="62"/>
      <c r="L71" s="420" t="str">
        <f t="shared" si="3"/>
        <v/>
      </c>
      <c r="M71" s="401" t="str">
        <f t="shared" si="4"/>
        <v/>
      </c>
    </row>
    <row r="72" spans="2:13" x14ac:dyDescent="0.25">
      <c r="B72" s="58"/>
      <c r="C72" s="65"/>
      <c r="D72" s="15"/>
      <c r="E72" s="15"/>
      <c r="F72" s="15"/>
      <c r="G72" s="411"/>
      <c r="H72" s="96" t="str">
        <f t="shared" si="0"/>
        <v/>
      </c>
      <c r="I72" s="63"/>
      <c r="J72" s="61"/>
      <c r="K72" s="62"/>
      <c r="L72" s="420" t="str">
        <f t="shared" si="3"/>
        <v/>
      </c>
      <c r="M72" s="401" t="str">
        <f t="shared" si="4"/>
        <v/>
      </c>
    </row>
    <row r="73" spans="2:13" x14ac:dyDescent="0.25">
      <c r="B73" s="58"/>
      <c r="C73" s="65"/>
      <c r="D73" s="15"/>
      <c r="E73" s="15"/>
      <c r="F73" s="24"/>
      <c r="G73" s="703"/>
      <c r="H73" s="96" t="str">
        <f t="shared" si="0"/>
        <v/>
      </c>
      <c r="I73" s="63"/>
      <c r="J73" s="61"/>
      <c r="K73" s="62"/>
      <c r="L73" s="420" t="str">
        <f t="shared" si="3"/>
        <v/>
      </c>
      <c r="M73" s="401" t="str">
        <f t="shared" si="4"/>
        <v/>
      </c>
    </row>
    <row r="74" spans="2:13" x14ac:dyDescent="0.25">
      <c r="B74" s="58"/>
      <c r="C74" s="65"/>
      <c r="D74" s="15"/>
      <c r="E74" s="15"/>
      <c r="F74" s="24"/>
      <c r="G74" s="411"/>
      <c r="H74" s="96" t="str">
        <f t="shared" si="0"/>
        <v/>
      </c>
      <c r="I74" s="63"/>
      <c r="J74" s="61"/>
      <c r="K74" s="62"/>
      <c r="L74" s="420" t="str">
        <f t="shared" si="3"/>
        <v/>
      </c>
      <c r="M74" s="401" t="str">
        <f t="shared" si="4"/>
        <v/>
      </c>
    </row>
    <row r="75" spans="2:13" x14ac:dyDescent="0.25">
      <c r="B75" s="58"/>
      <c r="C75" s="65"/>
      <c r="D75" s="15"/>
      <c r="E75" s="15"/>
      <c r="F75" s="24"/>
      <c r="G75" s="423"/>
      <c r="H75" s="96" t="str">
        <f t="shared" si="0"/>
        <v/>
      </c>
      <c r="I75" s="63"/>
      <c r="J75" s="61"/>
      <c r="K75" s="62"/>
      <c r="L75" s="420" t="str">
        <f t="shared" ref="L75:L77" si="5">IF(J75="","",F75*K75)</f>
        <v/>
      </c>
      <c r="M75" s="401" t="str">
        <f t="shared" ref="M75:M77" si="6">IF(J75="","",IF(SUM(H75)=0,"",L75/H75))</f>
        <v/>
      </c>
    </row>
    <row r="76" spans="2:13" x14ac:dyDescent="0.25">
      <c r="B76" s="58"/>
      <c r="C76" s="65"/>
      <c r="D76" s="15"/>
      <c r="E76" s="15"/>
      <c r="F76" s="24"/>
      <c r="G76" s="423"/>
      <c r="H76" s="96" t="str">
        <f t="shared" ref="H76:H77" si="7">IF(D76="","",F76*G76)</f>
        <v/>
      </c>
      <c r="I76" s="63"/>
      <c r="J76" s="61"/>
      <c r="K76" s="62"/>
      <c r="L76" s="420" t="str">
        <f t="shared" si="5"/>
        <v/>
      </c>
      <c r="M76" s="401" t="str">
        <f t="shared" si="6"/>
        <v/>
      </c>
    </row>
    <row r="77" spans="2:13" x14ac:dyDescent="0.25">
      <c r="B77" s="58"/>
      <c r="C77" s="65"/>
      <c r="D77" s="15"/>
      <c r="E77" s="15"/>
      <c r="F77" s="24"/>
      <c r="G77" s="411"/>
      <c r="H77" s="96" t="str">
        <f t="shared" si="7"/>
        <v/>
      </c>
      <c r="I77" s="63"/>
      <c r="J77" s="592"/>
      <c r="K77" s="711"/>
      <c r="L77" s="420" t="str">
        <f t="shared" si="5"/>
        <v/>
      </c>
      <c r="M77" s="401" t="str">
        <f t="shared" si="6"/>
        <v/>
      </c>
    </row>
    <row r="78" spans="2:13" s="28" customFormat="1" ht="19.5" customHeight="1" x14ac:dyDescent="0.25">
      <c r="B78" s="135" t="str">
        <f>$B$12</f>
        <v>C11.1</v>
      </c>
      <c r="C78" s="30" t="str">
        <f>"TOTAL CARRIED FORWARD"&amp;IF(H78=H$1," TO SUMMARY","")</f>
        <v>TOTAL CARRIED FORWARD TO SUMMARY</v>
      </c>
      <c r="D78" s="31"/>
      <c r="E78" s="31"/>
      <c r="F78" s="32"/>
      <c r="G78" s="31"/>
      <c r="H78" s="33">
        <f>SUM(H11:H77)</f>
        <v>185120</v>
      </c>
      <c r="I78" s="34"/>
      <c r="J78" s="408"/>
      <c r="K78" s="406"/>
      <c r="L78" s="418">
        <f>SUM(L11:L77)</f>
        <v>5316</v>
      </c>
      <c r="M78" s="407" t="str">
        <f t="shared" ref="M78" si="8">IF(J78="","",IF(SUM(H78)=0,"",L78/H78))</f>
        <v/>
      </c>
    </row>
    <row r="79" spans="2:13" ht="13" x14ac:dyDescent="0.25">
      <c r="B79" s="1108" t="str">
        <f>Client1</f>
        <v>Province of KwaZulu-Natal</v>
      </c>
      <c r="C79" s="1108"/>
      <c r="D79" s="1108"/>
      <c r="E79" s="87"/>
      <c r="F79" s="1109" t="str">
        <f>"Contract No. "&amp;ContractNo</f>
        <v>Contract No. ZNB 00399/00000/HOD/INF/21/T</v>
      </c>
      <c r="G79" s="1109"/>
      <c r="H79" s="1109"/>
    </row>
    <row r="80" spans="2:13" ht="13" x14ac:dyDescent="0.25">
      <c r="B80" s="1108" t="str">
        <f>Client2</f>
        <v>Department of Transport</v>
      </c>
      <c r="C80" s="1108"/>
      <c r="D80" s="1108"/>
      <c r="E80" s="87"/>
      <c r="F80" s="1109"/>
      <c r="G80" s="1109"/>
      <c r="H80" s="1109"/>
    </row>
    <row r="81" spans="2:13" x14ac:dyDescent="0.25">
      <c r="B81" s="1111"/>
      <c r="C81" s="1111"/>
      <c r="D81" s="1111"/>
      <c r="E81" s="78"/>
      <c r="F81" s="1110"/>
      <c r="G81" s="1110"/>
      <c r="H81" s="1110"/>
    </row>
    <row r="82" spans="2:13" ht="13" x14ac:dyDescent="0.25">
      <c r="B82" s="1112" t="s">
        <v>8</v>
      </c>
      <c r="C82" s="1113"/>
      <c r="D82" s="1113"/>
      <c r="E82" s="1113"/>
      <c r="F82" s="1113"/>
      <c r="G82" s="1113"/>
      <c r="H82" s="1125" t="str">
        <f>$H$6</f>
        <v>CHAPTER C11.1</v>
      </c>
      <c r="I82" s="6"/>
    </row>
    <row r="83" spans="2:13" ht="13" x14ac:dyDescent="0.25">
      <c r="B83" s="1117" t="str">
        <f>ContractDescription</f>
        <v>THE CONSTRUCTION OF EARTHWORKS, LAYERWORKS, SURFACING, CULVERTS AND CWAKA RIVER BRIDGE FROM KM 11.600 TO KM 14.000 ON MAIN ROAD P494 IN THE KING CETSHWAYO DISTRICT UNDER EMPANGENI REGION</v>
      </c>
      <c r="C83" s="1118"/>
      <c r="D83" s="1118"/>
      <c r="E83" s="1118"/>
      <c r="F83" s="1118"/>
      <c r="G83" s="1118"/>
      <c r="H83" s="1126"/>
      <c r="I83" s="8"/>
    </row>
    <row r="84" spans="2:13" ht="13" x14ac:dyDescent="0.25">
      <c r="B84" s="1117"/>
      <c r="C84" s="1118"/>
      <c r="D84" s="1118"/>
      <c r="E84" s="1118"/>
      <c r="F84" s="1118"/>
      <c r="G84" s="1118"/>
      <c r="H84" s="1126"/>
      <c r="I84" s="8"/>
    </row>
    <row r="85" spans="2:13" ht="13" x14ac:dyDescent="0.25">
      <c r="B85" s="1119"/>
      <c r="C85" s="1120"/>
      <c r="D85" s="1120"/>
      <c r="E85" s="1120"/>
      <c r="F85" s="1120"/>
      <c r="G85" s="1120"/>
      <c r="H85" s="1127"/>
      <c r="I85" s="8"/>
    </row>
    <row r="86" spans="2:13" s="9" customFormat="1" ht="25" customHeight="1" x14ac:dyDescent="0.25">
      <c r="B86" s="74" t="s">
        <v>0</v>
      </c>
      <c r="C86" s="11" t="s">
        <v>1</v>
      </c>
      <c r="D86" s="11" t="s">
        <v>2</v>
      </c>
      <c r="E86" s="11"/>
      <c r="F86" s="11" t="s">
        <v>3</v>
      </c>
      <c r="G86" s="11" t="s">
        <v>4</v>
      </c>
      <c r="H86" s="11" t="s">
        <v>5</v>
      </c>
      <c r="I86" s="12"/>
      <c r="J86" s="408" t="s">
        <v>996</v>
      </c>
      <c r="K86" s="253" t="s">
        <v>997</v>
      </c>
      <c r="L86" s="253" t="s">
        <v>998</v>
      </c>
      <c r="M86" s="253" t="s">
        <v>999</v>
      </c>
    </row>
    <row r="87" spans="2:13" s="28" customFormat="1" ht="19.5" customHeight="1" x14ac:dyDescent="0.25">
      <c r="B87" s="80"/>
      <c r="C87" s="30" t="s">
        <v>27</v>
      </c>
      <c r="D87" s="31"/>
      <c r="E87" s="31"/>
      <c r="F87" s="32"/>
      <c r="G87" s="31"/>
      <c r="H87" s="33">
        <f>H78</f>
        <v>185120</v>
      </c>
      <c r="I87" s="34"/>
      <c r="J87" s="416"/>
      <c r="K87" s="409"/>
      <c r="L87" s="419">
        <f>L78</f>
        <v>5316</v>
      </c>
      <c r="M87" s="410" t="str">
        <f t="shared" ref="M87:M118" si="9">IF(J87="","",IF(SUM(H87)=0,"",L87/H87))</f>
        <v/>
      </c>
    </row>
    <row r="88" spans="2:13" x14ac:dyDescent="0.25">
      <c r="B88" s="58"/>
      <c r="C88" s="134"/>
      <c r="D88" s="15"/>
      <c r="E88" s="15"/>
      <c r="F88" s="24"/>
      <c r="G88" s="411"/>
      <c r="H88" s="23"/>
      <c r="J88" s="37"/>
      <c r="K88" s="399"/>
      <c r="L88" s="420" t="str">
        <f t="shared" ref="L88:L128" si="10">IF(J88="","",F88*K88)</f>
        <v/>
      </c>
      <c r="M88" s="401" t="str">
        <f t="shared" si="9"/>
        <v/>
      </c>
    </row>
    <row r="89" spans="2:13" x14ac:dyDescent="0.25">
      <c r="B89" s="46"/>
      <c r="C89" s="26"/>
      <c r="D89" s="21"/>
      <c r="E89" s="21"/>
      <c r="F89" s="24"/>
      <c r="G89" s="421"/>
      <c r="H89" s="23" t="str">
        <f t="shared" ref="H89:H95" si="11">IF(D89="","",F89*G89)</f>
        <v/>
      </c>
      <c r="J89" s="37"/>
      <c r="K89" s="399"/>
      <c r="L89" s="420" t="str">
        <f t="shared" si="10"/>
        <v/>
      </c>
      <c r="M89" s="401" t="str">
        <f t="shared" si="9"/>
        <v/>
      </c>
    </row>
    <row r="90" spans="2:13" x14ac:dyDescent="0.25">
      <c r="B90" s="46"/>
      <c r="C90" s="14"/>
      <c r="D90" s="15"/>
      <c r="E90" s="15"/>
      <c r="F90" s="24"/>
      <c r="G90" s="421"/>
      <c r="H90" s="23" t="str">
        <f t="shared" si="11"/>
        <v/>
      </c>
      <c r="J90" s="37"/>
      <c r="K90" s="399"/>
      <c r="L90" s="420" t="str">
        <f t="shared" si="10"/>
        <v/>
      </c>
      <c r="M90" s="401" t="str">
        <f t="shared" si="9"/>
        <v/>
      </c>
    </row>
    <row r="91" spans="2:13" x14ac:dyDescent="0.25">
      <c r="B91" s="58"/>
      <c r="C91" s="14"/>
      <c r="D91" s="21"/>
      <c r="E91" s="21"/>
      <c r="F91" s="24"/>
      <c r="G91" s="422"/>
      <c r="H91" s="23" t="str">
        <f t="shared" si="11"/>
        <v/>
      </c>
      <c r="J91" s="37"/>
      <c r="K91" s="399"/>
      <c r="L91" s="420" t="str">
        <f t="shared" si="10"/>
        <v/>
      </c>
      <c r="M91" s="401" t="str">
        <f t="shared" si="9"/>
        <v/>
      </c>
    </row>
    <row r="92" spans="2:13" x14ac:dyDescent="0.25">
      <c r="B92" s="58"/>
      <c r="C92" s="14"/>
      <c r="D92" s="15"/>
      <c r="E92" s="15"/>
      <c r="F92" s="24"/>
      <c r="G92" s="421"/>
      <c r="H92" s="23" t="str">
        <f t="shared" si="11"/>
        <v/>
      </c>
      <c r="J92" s="37"/>
      <c r="K92" s="400"/>
      <c r="L92" s="420" t="str">
        <f t="shared" si="10"/>
        <v/>
      </c>
      <c r="M92" s="401" t="str">
        <f t="shared" si="9"/>
        <v/>
      </c>
    </row>
    <row r="93" spans="2:13" x14ac:dyDescent="0.25">
      <c r="B93" s="85"/>
      <c r="C93" s="14"/>
      <c r="D93" s="21"/>
      <c r="E93" s="21"/>
      <c r="F93" s="24"/>
      <c r="G93" s="423"/>
      <c r="H93" s="23" t="str">
        <f t="shared" si="11"/>
        <v/>
      </c>
      <c r="J93" s="37"/>
      <c r="K93" s="399"/>
      <c r="L93" s="420" t="str">
        <f t="shared" si="10"/>
        <v/>
      </c>
      <c r="M93" s="401" t="str">
        <f t="shared" si="9"/>
        <v/>
      </c>
    </row>
    <row r="94" spans="2:13" x14ac:dyDescent="0.25">
      <c r="B94" s="58"/>
      <c r="C94" s="14"/>
      <c r="D94" s="15"/>
      <c r="E94" s="15"/>
      <c r="F94" s="24"/>
      <c r="G94" s="421"/>
      <c r="H94" s="23" t="str">
        <f t="shared" si="11"/>
        <v/>
      </c>
      <c r="J94" s="37"/>
      <c r="K94" s="402">
        <f>ROUND(G94*8%,0)</f>
        <v>0</v>
      </c>
      <c r="L94" s="420" t="str">
        <f t="shared" si="10"/>
        <v/>
      </c>
      <c r="M94" s="401" t="str">
        <f t="shared" si="9"/>
        <v/>
      </c>
    </row>
    <row r="95" spans="2:13" x14ac:dyDescent="0.25">
      <c r="B95" s="58"/>
      <c r="C95" s="14"/>
      <c r="D95" s="21"/>
      <c r="E95" s="21"/>
      <c r="F95" s="24"/>
      <c r="G95" s="411"/>
      <c r="H95" s="23" t="str">
        <f t="shared" si="11"/>
        <v/>
      </c>
      <c r="J95" s="37"/>
      <c r="K95" s="399"/>
      <c r="L95" s="420" t="str">
        <f t="shared" si="10"/>
        <v/>
      </c>
      <c r="M95" s="401" t="str">
        <f t="shared" si="9"/>
        <v/>
      </c>
    </row>
    <row r="96" spans="2:13" x14ac:dyDescent="0.25">
      <c r="B96" s="58"/>
      <c r="C96" s="14"/>
      <c r="D96" s="21"/>
      <c r="E96" s="21"/>
      <c r="F96" s="24"/>
      <c r="G96" s="411"/>
      <c r="H96" s="23"/>
      <c r="J96" s="37"/>
      <c r="K96" s="402"/>
      <c r="L96" s="420" t="str">
        <f t="shared" si="10"/>
        <v/>
      </c>
      <c r="M96" s="401" t="str">
        <f t="shared" si="9"/>
        <v/>
      </c>
    </row>
    <row r="97" spans="2:13" x14ac:dyDescent="0.25">
      <c r="B97" s="58"/>
      <c r="C97" s="585"/>
      <c r="D97" s="21"/>
      <c r="E97" s="21"/>
      <c r="F97" s="24"/>
      <c r="G97" s="411"/>
      <c r="H97" s="23"/>
      <c r="J97" s="37"/>
      <c r="K97" s="402"/>
      <c r="L97" s="420" t="str">
        <f t="shared" si="10"/>
        <v/>
      </c>
      <c r="M97" s="401" t="str">
        <f t="shared" si="9"/>
        <v/>
      </c>
    </row>
    <row r="98" spans="2:13" x14ac:dyDescent="0.25">
      <c r="B98" s="58"/>
      <c r="C98" s="586"/>
      <c r="D98" s="21"/>
      <c r="E98" s="21"/>
      <c r="F98" s="24"/>
      <c r="G98" s="411"/>
      <c r="H98" s="23"/>
      <c r="J98" s="37"/>
      <c r="K98" s="402"/>
      <c r="L98" s="420" t="str">
        <f t="shared" si="10"/>
        <v/>
      </c>
      <c r="M98" s="401" t="str">
        <f t="shared" si="9"/>
        <v/>
      </c>
    </row>
    <row r="99" spans="2:13" x14ac:dyDescent="0.25">
      <c r="B99" s="58"/>
      <c r="C99" s="386"/>
      <c r="D99" s="575"/>
      <c r="E99" s="575"/>
      <c r="F99" s="593"/>
      <c r="G99" s="411"/>
      <c r="H99" s="23" t="str">
        <f t="shared" ref="H99" si="12">IF(D99="","",F99*G99)</f>
        <v/>
      </c>
      <c r="J99" s="37"/>
      <c r="K99" s="564"/>
      <c r="L99" s="420" t="str">
        <f t="shared" si="10"/>
        <v/>
      </c>
      <c r="M99" s="401" t="str">
        <f t="shared" si="9"/>
        <v/>
      </c>
    </row>
    <row r="100" spans="2:13" x14ac:dyDescent="0.25">
      <c r="B100" s="58"/>
      <c r="C100" s="586"/>
      <c r="D100" s="587"/>
      <c r="E100" s="587"/>
      <c r="F100" s="24"/>
      <c r="G100" s="411"/>
      <c r="H100" s="23"/>
      <c r="J100" s="37"/>
      <c r="K100" s="564"/>
      <c r="L100" s="420" t="str">
        <f t="shared" si="10"/>
        <v/>
      </c>
      <c r="M100" s="401" t="str">
        <f t="shared" si="9"/>
        <v/>
      </c>
    </row>
    <row r="101" spans="2:13" x14ac:dyDescent="0.25">
      <c r="B101" s="58"/>
      <c r="C101" s="386"/>
      <c r="D101" s="575"/>
      <c r="E101" s="575"/>
      <c r="F101" s="24"/>
      <c r="G101" s="411"/>
      <c r="H101" s="23" t="str">
        <f t="shared" ref="H101" si="13">IF(D101="","",F101*G101)</f>
        <v/>
      </c>
      <c r="J101" s="37"/>
      <c r="K101" s="564"/>
      <c r="L101" s="420" t="str">
        <f t="shared" si="10"/>
        <v/>
      </c>
      <c r="M101" s="401" t="str">
        <f t="shared" si="9"/>
        <v/>
      </c>
    </row>
    <row r="102" spans="2:13" x14ac:dyDescent="0.25">
      <c r="B102" s="58"/>
      <c r="C102" s="14"/>
      <c r="D102" s="21"/>
      <c r="E102" s="21"/>
      <c r="F102" s="24"/>
      <c r="G102" s="411"/>
      <c r="H102" s="23"/>
      <c r="J102" s="42"/>
      <c r="K102" s="42"/>
      <c r="L102" s="420" t="str">
        <f t="shared" si="10"/>
        <v/>
      </c>
      <c r="M102" s="401" t="str">
        <f t="shared" si="9"/>
        <v/>
      </c>
    </row>
    <row r="103" spans="2:13" x14ac:dyDescent="0.25">
      <c r="B103" s="58"/>
      <c r="C103" s="14"/>
      <c r="D103" s="21"/>
      <c r="E103" s="21"/>
      <c r="F103" s="24"/>
      <c r="G103" s="411"/>
      <c r="H103" s="23"/>
      <c r="J103" s="42"/>
      <c r="K103" s="42"/>
      <c r="L103" s="420" t="str">
        <f t="shared" si="10"/>
        <v/>
      </c>
      <c r="M103" s="401" t="str">
        <f t="shared" si="9"/>
        <v/>
      </c>
    </row>
    <row r="104" spans="2:13" x14ac:dyDescent="0.25">
      <c r="B104" s="58"/>
      <c r="C104" s="14"/>
      <c r="D104" s="21"/>
      <c r="E104" s="21"/>
      <c r="F104" s="24"/>
      <c r="G104" s="411"/>
      <c r="H104" s="23"/>
      <c r="J104" s="42"/>
      <c r="K104" s="42"/>
      <c r="L104" s="420" t="str">
        <f t="shared" si="10"/>
        <v/>
      </c>
      <c r="M104" s="401" t="str">
        <f t="shared" si="9"/>
        <v/>
      </c>
    </row>
    <row r="105" spans="2:13" x14ac:dyDescent="0.25">
      <c r="B105" s="58"/>
      <c r="C105" s="14"/>
      <c r="D105" s="21"/>
      <c r="E105" s="21"/>
      <c r="F105" s="24"/>
      <c r="G105" s="411"/>
      <c r="H105" s="23"/>
      <c r="J105" s="42"/>
      <c r="K105" s="42"/>
      <c r="L105" s="420" t="str">
        <f t="shared" si="10"/>
        <v/>
      </c>
      <c r="M105" s="401" t="str">
        <f t="shared" si="9"/>
        <v/>
      </c>
    </row>
    <row r="106" spans="2:13" x14ac:dyDescent="0.25">
      <c r="B106" s="58"/>
      <c r="C106" s="14"/>
      <c r="D106" s="21"/>
      <c r="E106" s="21"/>
      <c r="F106" s="24"/>
      <c r="G106" s="411"/>
      <c r="H106" s="23"/>
      <c r="J106" s="42"/>
      <c r="K106" s="42"/>
      <c r="L106" s="420" t="str">
        <f t="shared" si="10"/>
        <v/>
      </c>
      <c r="M106" s="401" t="str">
        <f t="shared" si="9"/>
        <v/>
      </c>
    </row>
    <row r="107" spans="2:13" x14ac:dyDescent="0.25">
      <c r="B107" s="58"/>
      <c r="C107" s="14"/>
      <c r="D107" s="21"/>
      <c r="E107" s="21"/>
      <c r="F107" s="24"/>
      <c r="G107" s="411"/>
      <c r="H107" s="23"/>
      <c r="J107" s="42"/>
      <c r="K107" s="42"/>
      <c r="L107" s="420" t="str">
        <f t="shared" si="10"/>
        <v/>
      </c>
      <c r="M107" s="401" t="str">
        <f t="shared" si="9"/>
        <v/>
      </c>
    </row>
    <row r="108" spans="2:13" x14ac:dyDescent="0.25">
      <c r="B108" s="58"/>
      <c r="C108" s="14"/>
      <c r="D108" s="21"/>
      <c r="E108" s="21"/>
      <c r="F108" s="24"/>
      <c r="G108" s="411"/>
      <c r="H108" s="23"/>
      <c r="J108" s="42"/>
      <c r="K108" s="42"/>
      <c r="L108" s="420" t="str">
        <f t="shared" si="10"/>
        <v/>
      </c>
      <c r="M108" s="401" t="str">
        <f t="shared" si="9"/>
        <v/>
      </c>
    </row>
    <row r="109" spans="2:13" x14ac:dyDescent="0.25">
      <c r="B109" s="58"/>
      <c r="C109" s="14"/>
      <c r="D109" s="21"/>
      <c r="E109" s="21"/>
      <c r="F109" s="24"/>
      <c r="G109" s="411"/>
      <c r="H109" s="23"/>
      <c r="J109" s="42"/>
      <c r="K109" s="42"/>
      <c r="L109" s="420" t="str">
        <f t="shared" si="10"/>
        <v/>
      </c>
      <c r="M109" s="401" t="str">
        <f t="shared" si="9"/>
        <v/>
      </c>
    </row>
    <row r="110" spans="2:13" x14ac:dyDescent="0.25">
      <c r="B110" s="58"/>
      <c r="C110" s="14"/>
      <c r="D110" s="21"/>
      <c r="E110" s="21"/>
      <c r="F110" s="24"/>
      <c r="G110" s="411"/>
      <c r="H110" s="23"/>
      <c r="J110" s="42"/>
      <c r="K110" s="42"/>
      <c r="L110" s="420" t="str">
        <f t="shared" si="10"/>
        <v/>
      </c>
      <c r="M110" s="401" t="str">
        <f t="shared" si="9"/>
        <v/>
      </c>
    </row>
    <row r="111" spans="2:13" x14ac:dyDescent="0.25">
      <c r="B111" s="58"/>
      <c r="C111" s="14"/>
      <c r="D111" s="21"/>
      <c r="E111" s="21"/>
      <c r="F111" s="24"/>
      <c r="G111" s="411"/>
      <c r="H111" s="23"/>
      <c r="J111" s="42"/>
      <c r="K111" s="42"/>
      <c r="L111" s="420" t="str">
        <f t="shared" si="10"/>
        <v/>
      </c>
      <c r="M111" s="401" t="str">
        <f t="shared" si="9"/>
        <v/>
      </c>
    </row>
    <row r="112" spans="2:13" x14ac:dyDescent="0.25">
      <c r="B112" s="58"/>
      <c r="C112" s="14"/>
      <c r="D112" s="21"/>
      <c r="E112" s="21"/>
      <c r="F112" s="24"/>
      <c r="G112" s="411"/>
      <c r="H112" s="23"/>
      <c r="J112" s="42"/>
      <c r="K112" s="42"/>
      <c r="L112" s="420" t="str">
        <f t="shared" si="10"/>
        <v/>
      </c>
      <c r="M112" s="401" t="str">
        <f t="shared" si="9"/>
        <v/>
      </c>
    </row>
    <row r="113" spans="2:13" x14ac:dyDescent="0.25">
      <c r="B113" s="58"/>
      <c r="C113" s="14"/>
      <c r="D113" s="21"/>
      <c r="E113" s="21"/>
      <c r="F113" s="24"/>
      <c r="G113" s="411"/>
      <c r="H113" s="23"/>
      <c r="J113" s="42"/>
      <c r="K113" s="42"/>
      <c r="L113" s="420" t="str">
        <f t="shared" si="10"/>
        <v/>
      </c>
      <c r="M113" s="401" t="str">
        <f t="shared" si="9"/>
        <v/>
      </c>
    </row>
    <row r="114" spans="2:13" x14ac:dyDescent="0.25">
      <c r="B114" s="58"/>
      <c r="C114" s="14"/>
      <c r="D114" s="21"/>
      <c r="E114" s="21"/>
      <c r="F114" s="24"/>
      <c r="G114" s="411"/>
      <c r="H114" s="23"/>
      <c r="J114" s="42"/>
      <c r="K114" s="42"/>
      <c r="L114" s="420" t="str">
        <f t="shared" si="10"/>
        <v/>
      </c>
      <c r="M114" s="401" t="str">
        <f t="shared" si="9"/>
        <v/>
      </c>
    </row>
    <row r="115" spans="2:13" x14ac:dyDescent="0.25">
      <c r="B115" s="58"/>
      <c r="C115" s="14"/>
      <c r="D115" s="21"/>
      <c r="E115" s="21"/>
      <c r="F115" s="24"/>
      <c r="G115" s="411"/>
      <c r="H115" s="23"/>
      <c r="J115" s="42"/>
      <c r="K115" s="42"/>
      <c r="L115" s="420" t="str">
        <f t="shared" si="10"/>
        <v/>
      </c>
      <c r="M115" s="401" t="str">
        <f t="shared" si="9"/>
        <v/>
      </c>
    </row>
    <row r="116" spans="2:13" x14ac:dyDescent="0.25">
      <c r="B116" s="58"/>
      <c r="C116" s="14"/>
      <c r="D116" s="21"/>
      <c r="E116" s="21"/>
      <c r="F116" s="24"/>
      <c r="G116" s="411"/>
      <c r="H116" s="23"/>
      <c r="J116" s="42"/>
      <c r="K116" s="42"/>
      <c r="L116" s="420" t="str">
        <f t="shared" si="10"/>
        <v/>
      </c>
      <c r="M116" s="401" t="str">
        <f t="shared" si="9"/>
        <v/>
      </c>
    </row>
    <row r="117" spans="2:13" x14ac:dyDescent="0.25">
      <c r="B117" s="58"/>
      <c r="C117" s="14"/>
      <c r="D117" s="21"/>
      <c r="E117" s="21"/>
      <c r="F117" s="24"/>
      <c r="G117" s="411"/>
      <c r="H117" s="23"/>
      <c r="J117" s="42"/>
      <c r="K117" s="42"/>
      <c r="L117" s="420" t="str">
        <f t="shared" si="10"/>
        <v/>
      </c>
      <c r="M117" s="401" t="str">
        <f t="shared" si="9"/>
        <v/>
      </c>
    </row>
    <row r="118" spans="2:13" x14ac:dyDescent="0.25">
      <c r="B118" s="58"/>
      <c r="C118" s="14"/>
      <c r="D118" s="21"/>
      <c r="E118" s="21"/>
      <c r="F118" s="24"/>
      <c r="G118" s="411"/>
      <c r="H118" s="23"/>
      <c r="J118" s="42"/>
      <c r="K118" s="42"/>
      <c r="L118" s="420" t="str">
        <f t="shared" si="10"/>
        <v/>
      </c>
      <c r="M118" s="401" t="str">
        <f t="shared" si="9"/>
        <v/>
      </c>
    </row>
    <row r="119" spans="2:13" x14ac:dyDescent="0.25">
      <c r="B119" s="58"/>
      <c r="C119" s="14"/>
      <c r="D119" s="21"/>
      <c r="E119" s="21"/>
      <c r="F119" s="24"/>
      <c r="G119" s="411"/>
      <c r="H119" s="23"/>
      <c r="J119" s="42"/>
      <c r="K119" s="42"/>
      <c r="L119" s="420" t="str">
        <f t="shared" si="10"/>
        <v/>
      </c>
      <c r="M119" s="401" t="str">
        <f t="shared" ref="M119:M128" si="14">IF(J119="","",IF(SUM(H119)=0,"",L119/H119))</f>
        <v/>
      </c>
    </row>
    <row r="120" spans="2:13" x14ac:dyDescent="0.25">
      <c r="B120" s="58"/>
      <c r="C120" s="14"/>
      <c r="D120" s="21"/>
      <c r="E120" s="21"/>
      <c r="F120" s="24"/>
      <c r="G120" s="411"/>
      <c r="H120" s="23"/>
      <c r="J120" s="42"/>
      <c r="K120" s="42"/>
      <c r="L120" s="420" t="str">
        <f t="shared" si="10"/>
        <v/>
      </c>
      <c r="M120" s="401" t="str">
        <f t="shared" si="14"/>
        <v/>
      </c>
    </row>
    <row r="121" spans="2:13" x14ac:dyDescent="0.25">
      <c r="B121" s="58"/>
      <c r="C121" s="14"/>
      <c r="D121" s="21"/>
      <c r="E121" s="21"/>
      <c r="F121" s="24"/>
      <c r="G121" s="411"/>
      <c r="H121" s="23"/>
      <c r="J121" s="42"/>
      <c r="K121" s="42"/>
      <c r="L121" s="420" t="str">
        <f t="shared" si="10"/>
        <v/>
      </c>
      <c r="M121" s="401" t="str">
        <f t="shared" si="14"/>
        <v/>
      </c>
    </row>
    <row r="122" spans="2:13" x14ac:dyDescent="0.25">
      <c r="B122" s="58"/>
      <c r="C122" s="14"/>
      <c r="D122" s="21"/>
      <c r="E122" s="21"/>
      <c r="F122" s="24"/>
      <c r="G122" s="411"/>
      <c r="H122" s="23"/>
      <c r="J122" s="42"/>
      <c r="K122" s="42"/>
      <c r="L122" s="420" t="str">
        <f t="shared" si="10"/>
        <v/>
      </c>
      <c r="M122" s="401" t="str">
        <f t="shared" si="14"/>
        <v/>
      </c>
    </row>
    <row r="123" spans="2:13" x14ac:dyDescent="0.25">
      <c r="B123" s="58"/>
      <c r="C123" s="14"/>
      <c r="D123" s="21"/>
      <c r="E123" s="21"/>
      <c r="F123" s="24"/>
      <c r="G123" s="411"/>
      <c r="H123" s="23"/>
      <c r="J123" s="42"/>
      <c r="K123" s="42"/>
      <c r="L123" s="420" t="str">
        <f t="shared" si="10"/>
        <v/>
      </c>
      <c r="M123" s="401" t="str">
        <f t="shared" si="14"/>
        <v/>
      </c>
    </row>
    <row r="124" spans="2:13" x14ac:dyDescent="0.25">
      <c r="B124" s="58"/>
      <c r="C124" s="14"/>
      <c r="D124" s="21"/>
      <c r="E124" s="21"/>
      <c r="F124" s="24"/>
      <c r="G124" s="411"/>
      <c r="H124" s="23"/>
      <c r="J124" s="42"/>
      <c r="K124" s="42"/>
      <c r="L124" s="420" t="str">
        <f t="shared" si="10"/>
        <v/>
      </c>
      <c r="M124" s="401" t="str">
        <f t="shared" si="14"/>
        <v/>
      </c>
    </row>
    <row r="125" spans="2:13" x14ac:dyDescent="0.25">
      <c r="B125" s="58"/>
      <c r="C125" s="14"/>
      <c r="D125" s="21"/>
      <c r="E125" s="21"/>
      <c r="F125" s="24"/>
      <c r="G125" s="411"/>
      <c r="H125" s="23"/>
      <c r="J125" s="42"/>
      <c r="K125" s="42"/>
      <c r="L125" s="420" t="str">
        <f t="shared" si="10"/>
        <v/>
      </c>
      <c r="M125" s="401" t="str">
        <f t="shared" si="14"/>
        <v/>
      </c>
    </row>
    <row r="126" spans="2:13" x14ac:dyDescent="0.25">
      <c r="B126" s="58"/>
      <c r="C126" s="14"/>
      <c r="D126" s="21"/>
      <c r="E126" s="21"/>
      <c r="F126" s="24"/>
      <c r="G126" s="411"/>
      <c r="H126" s="23"/>
      <c r="J126" s="42"/>
      <c r="K126" s="399">
        <f>ROUND(G126*6%,0)</f>
        <v>0</v>
      </c>
      <c r="L126" s="420" t="str">
        <f t="shared" si="10"/>
        <v/>
      </c>
      <c r="M126" s="401" t="str">
        <f t="shared" si="14"/>
        <v/>
      </c>
    </row>
    <row r="127" spans="2:13" x14ac:dyDescent="0.25">
      <c r="B127" s="58"/>
      <c r="C127" s="14"/>
      <c r="D127" s="21"/>
      <c r="E127" s="21"/>
      <c r="F127" s="24"/>
      <c r="G127" s="411"/>
      <c r="H127" s="23"/>
      <c r="J127" s="42"/>
      <c r="K127" s="42"/>
      <c r="L127" s="420" t="str">
        <f t="shared" si="10"/>
        <v/>
      </c>
      <c r="M127" s="401" t="str">
        <f t="shared" si="14"/>
        <v/>
      </c>
    </row>
    <row r="128" spans="2:13" x14ac:dyDescent="0.25">
      <c r="B128" s="58"/>
      <c r="C128" s="14"/>
      <c r="D128" s="21"/>
      <c r="E128" s="21"/>
      <c r="F128" s="24"/>
      <c r="G128" s="411"/>
      <c r="H128" s="23"/>
      <c r="J128" s="42"/>
      <c r="K128" s="42"/>
      <c r="L128" s="420" t="str">
        <f t="shared" si="10"/>
        <v/>
      </c>
      <c r="M128" s="401" t="str">
        <f t="shared" si="14"/>
        <v/>
      </c>
    </row>
    <row r="129" spans="2:13" x14ac:dyDescent="0.25">
      <c r="B129" s="58"/>
      <c r="C129" s="14"/>
      <c r="D129" s="21"/>
      <c r="E129" s="21"/>
      <c r="F129" s="24"/>
      <c r="G129" s="411"/>
      <c r="H129" s="23"/>
      <c r="J129" s="42"/>
      <c r="K129" s="42"/>
      <c r="L129" s="420" t="str">
        <f t="shared" ref="L129:L148" si="15">IF(J129="","",F129*K129)</f>
        <v/>
      </c>
      <c r="M129" s="401" t="str">
        <f t="shared" ref="M129:M148" si="16">IF(J129="","",IF(SUM(H129)=0,"",L129/H129))</f>
        <v/>
      </c>
    </row>
    <row r="130" spans="2:13" x14ac:dyDescent="0.25">
      <c r="B130" s="58"/>
      <c r="C130" s="14"/>
      <c r="D130" s="21"/>
      <c r="E130" s="21"/>
      <c r="F130" s="24"/>
      <c r="G130" s="411"/>
      <c r="H130" s="23"/>
      <c r="J130" s="42"/>
      <c r="K130" s="42"/>
      <c r="L130" s="420" t="str">
        <f t="shared" si="15"/>
        <v/>
      </c>
      <c r="M130" s="401" t="str">
        <f t="shared" si="16"/>
        <v/>
      </c>
    </row>
    <row r="131" spans="2:13" x14ac:dyDescent="0.25">
      <c r="B131" s="58"/>
      <c r="C131" s="14"/>
      <c r="D131" s="21"/>
      <c r="E131" s="21"/>
      <c r="F131" s="24"/>
      <c r="G131" s="411"/>
      <c r="H131" s="23"/>
      <c r="J131" s="42"/>
      <c r="K131" s="42"/>
      <c r="L131" s="420" t="str">
        <f t="shared" si="15"/>
        <v/>
      </c>
      <c r="M131" s="401" t="str">
        <f t="shared" si="16"/>
        <v/>
      </c>
    </row>
    <row r="132" spans="2:13" x14ac:dyDescent="0.25">
      <c r="B132" s="58"/>
      <c r="C132" s="14"/>
      <c r="D132" s="21"/>
      <c r="E132" s="21"/>
      <c r="F132" s="24"/>
      <c r="G132" s="411"/>
      <c r="H132" s="23"/>
      <c r="J132" s="42"/>
      <c r="K132" s="399">
        <f>ROUND(G132*15%,0)</f>
        <v>0</v>
      </c>
      <c r="L132" s="420" t="str">
        <f t="shared" si="15"/>
        <v/>
      </c>
      <c r="M132" s="401" t="str">
        <f t="shared" si="16"/>
        <v/>
      </c>
    </row>
    <row r="133" spans="2:13" x14ac:dyDescent="0.25">
      <c r="B133" s="58"/>
      <c r="C133" s="14"/>
      <c r="D133" s="21"/>
      <c r="E133" s="21"/>
      <c r="F133" s="24"/>
      <c r="G133" s="411"/>
      <c r="H133" s="23"/>
      <c r="J133" s="42"/>
      <c r="K133" s="42"/>
      <c r="L133" s="420" t="str">
        <f t="shared" si="15"/>
        <v/>
      </c>
      <c r="M133" s="401" t="str">
        <f t="shared" si="16"/>
        <v/>
      </c>
    </row>
    <row r="134" spans="2:13" x14ac:dyDescent="0.25">
      <c r="B134" s="58"/>
      <c r="C134" s="14"/>
      <c r="D134" s="21"/>
      <c r="E134" s="21"/>
      <c r="F134" s="24"/>
      <c r="G134" s="411"/>
      <c r="H134" s="23"/>
      <c r="J134" s="42"/>
      <c r="K134" s="42"/>
      <c r="L134" s="420" t="str">
        <f t="shared" si="15"/>
        <v/>
      </c>
      <c r="M134" s="401" t="str">
        <f t="shared" si="16"/>
        <v/>
      </c>
    </row>
    <row r="135" spans="2:13" x14ac:dyDescent="0.25">
      <c r="B135" s="58"/>
      <c r="C135" s="14"/>
      <c r="D135" s="21"/>
      <c r="E135" s="21"/>
      <c r="F135" s="24"/>
      <c r="G135" s="411"/>
      <c r="H135" s="23"/>
      <c r="J135" s="42"/>
      <c r="K135" s="42"/>
      <c r="L135" s="420" t="str">
        <f t="shared" si="15"/>
        <v/>
      </c>
      <c r="M135" s="401" t="str">
        <f t="shared" si="16"/>
        <v/>
      </c>
    </row>
    <row r="136" spans="2:13" x14ac:dyDescent="0.25">
      <c r="B136" s="58"/>
      <c r="C136" s="14"/>
      <c r="D136" s="21"/>
      <c r="E136" s="21"/>
      <c r="F136" s="24"/>
      <c r="G136" s="411"/>
      <c r="H136" s="23"/>
      <c r="J136" s="42"/>
      <c r="K136" s="42"/>
      <c r="L136" s="420" t="str">
        <f t="shared" si="15"/>
        <v/>
      </c>
      <c r="M136" s="401" t="str">
        <f t="shared" si="16"/>
        <v/>
      </c>
    </row>
    <row r="137" spans="2:13" x14ac:dyDescent="0.25">
      <c r="B137" s="58"/>
      <c r="C137" s="14"/>
      <c r="D137" s="21"/>
      <c r="E137" s="21"/>
      <c r="F137" s="24"/>
      <c r="G137" s="411"/>
      <c r="H137" s="23"/>
      <c r="J137" s="42"/>
      <c r="K137" s="42"/>
      <c r="L137" s="420" t="str">
        <f t="shared" si="15"/>
        <v/>
      </c>
      <c r="M137" s="401" t="str">
        <f t="shared" si="16"/>
        <v/>
      </c>
    </row>
    <row r="138" spans="2:13" x14ac:dyDescent="0.25">
      <c r="B138" s="58"/>
      <c r="C138" s="14"/>
      <c r="D138" s="21"/>
      <c r="E138" s="21"/>
      <c r="F138" s="24"/>
      <c r="G138" s="411"/>
      <c r="H138" s="23"/>
      <c r="J138" s="42"/>
      <c r="K138" s="42"/>
      <c r="L138" s="420" t="str">
        <f t="shared" si="15"/>
        <v/>
      </c>
      <c r="M138" s="401" t="str">
        <f t="shared" si="16"/>
        <v/>
      </c>
    </row>
    <row r="139" spans="2:13" x14ac:dyDescent="0.25">
      <c r="B139" s="58"/>
      <c r="C139" s="14"/>
      <c r="D139" s="21"/>
      <c r="E139" s="21"/>
      <c r="F139" s="24"/>
      <c r="G139" s="411"/>
      <c r="H139" s="23"/>
      <c r="J139" s="42"/>
      <c r="K139" s="42"/>
      <c r="L139" s="420" t="str">
        <f t="shared" si="15"/>
        <v/>
      </c>
      <c r="M139" s="401" t="str">
        <f t="shared" si="16"/>
        <v/>
      </c>
    </row>
    <row r="140" spans="2:13" x14ac:dyDescent="0.25">
      <c r="B140" s="58"/>
      <c r="C140" s="14"/>
      <c r="D140" s="21"/>
      <c r="E140" s="21"/>
      <c r="F140" s="24"/>
      <c r="G140" s="411"/>
      <c r="H140" s="23"/>
      <c r="J140" s="42"/>
      <c r="K140" s="42"/>
      <c r="L140" s="420" t="str">
        <f t="shared" si="15"/>
        <v/>
      </c>
      <c r="M140" s="401" t="str">
        <f t="shared" si="16"/>
        <v/>
      </c>
    </row>
    <row r="141" spans="2:13" x14ac:dyDescent="0.25">
      <c r="B141" s="58"/>
      <c r="C141" s="14"/>
      <c r="D141" s="21"/>
      <c r="E141" s="21"/>
      <c r="F141" s="24"/>
      <c r="G141" s="411"/>
      <c r="H141" s="23"/>
      <c r="J141" s="42"/>
      <c r="K141" s="42"/>
      <c r="L141" s="420" t="str">
        <f t="shared" si="15"/>
        <v/>
      </c>
      <c r="M141" s="401" t="str">
        <f t="shared" si="16"/>
        <v/>
      </c>
    </row>
    <row r="142" spans="2:13" x14ac:dyDescent="0.25">
      <c r="B142" s="58"/>
      <c r="C142" s="14"/>
      <c r="D142" s="21"/>
      <c r="E142" s="21"/>
      <c r="F142" s="24"/>
      <c r="G142" s="411"/>
      <c r="H142" s="23"/>
      <c r="J142" s="42"/>
      <c r="K142" s="42"/>
      <c r="L142" s="420" t="str">
        <f t="shared" si="15"/>
        <v/>
      </c>
      <c r="M142" s="401" t="str">
        <f t="shared" si="16"/>
        <v/>
      </c>
    </row>
    <row r="143" spans="2:13" x14ac:dyDescent="0.25">
      <c r="B143" s="58"/>
      <c r="C143" s="14"/>
      <c r="D143" s="21"/>
      <c r="E143" s="21"/>
      <c r="F143" s="24"/>
      <c r="G143" s="411"/>
      <c r="H143" s="23"/>
      <c r="J143" s="42"/>
      <c r="K143" s="42"/>
      <c r="L143" s="420" t="str">
        <f t="shared" si="15"/>
        <v/>
      </c>
      <c r="M143" s="401" t="str">
        <f t="shared" si="16"/>
        <v/>
      </c>
    </row>
    <row r="144" spans="2:13" x14ac:dyDescent="0.25">
      <c r="B144" s="58"/>
      <c r="C144" s="14"/>
      <c r="D144" s="21"/>
      <c r="E144" s="21"/>
      <c r="F144" s="24"/>
      <c r="G144" s="411"/>
      <c r="H144" s="23"/>
      <c r="J144" s="42"/>
      <c r="K144" s="42"/>
      <c r="L144" s="420" t="str">
        <f t="shared" si="15"/>
        <v/>
      </c>
      <c r="M144" s="401" t="str">
        <f t="shared" si="16"/>
        <v/>
      </c>
    </row>
    <row r="145" spans="2:13" x14ac:dyDescent="0.25">
      <c r="B145" s="58"/>
      <c r="C145" s="14"/>
      <c r="D145" s="21"/>
      <c r="E145" s="21"/>
      <c r="F145" s="24"/>
      <c r="G145" s="411"/>
      <c r="H145" s="23"/>
      <c r="J145" s="42"/>
      <c r="K145" s="42"/>
      <c r="L145" s="420" t="str">
        <f t="shared" si="15"/>
        <v/>
      </c>
      <c r="M145" s="401" t="str">
        <f t="shared" si="16"/>
        <v/>
      </c>
    </row>
    <row r="146" spans="2:13" x14ac:dyDescent="0.25">
      <c r="B146" s="58"/>
      <c r="C146" s="14"/>
      <c r="D146" s="21"/>
      <c r="E146" s="21"/>
      <c r="F146" s="24"/>
      <c r="G146" s="411"/>
      <c r="H146" s="23"/>
      <c r="J146" s="42"/>
      <c r="K146" s="42"/>
      <c r="L146" s="420" t="str">
        <f t="shared" si="15"/>
        <v/>
      </c>
      <c r="M146" s="401" t="str">
        <f t="shared" si="16"/>
        <v/>
      </c>
    </row>
    <row r="147" spans="2:13" x14ac:dyDescent="0.25">
      <c r="B147" s="58"/>
      <c r="C147" s="14"/>
      <c r="D147" s="21"/>
      <c r="E147" s="21"/>
      <c r="F147" s="24"/>
      <c r="G147" s="411"/>
      <c r="H147" s="23"/>
      <c r="J147" s="42"/>
      <c r="K147" s="42"/>
      <c r="L147" s="420" t="str">
        <f t="shared" si="15"/>
        <v/>
      </c>
      <c r="M147" s="401" t="str">
        <f t="shared" si="16"/>
        <v/>
      </c>
    </row>
    <row r="148" spans="2:13" x14ac:dyDescent="0.25">
      <c r="B148" s="58"/>
      <c r="C148" s="14"/>
      <c r="D148" s="21"/>
      <c r="E148" s="21"/>
      <c r="F148" s="24"/>
      <c r="G148" s="411"/>
      <c r="H148" s="23"/>
      <c r="J148" s="405"/>
      <c r="K148" s="405"/>
      <c r="L148" s="420" t="str">
        <f t="shared" si="15"/>
        <v/>
      </c>
      <c r="M148" s="401" t="str">
        <f t="shared" si="16"/>
        <v/>
      </c>
    </row>
    <row r="149" spans="2:13" s="28" customFormat="1" ht="24.75" customHeight="1" x14ac:dyDescent="0.25">
      <c r="B149" s="84" t="str">
        <f>$B$12</f>
        <v>C11.1</v>
      </c>
      <c r="C149" s="30" t="str">
        <f>"TOTAL CARRIED FORWARD"&amp;IF(H149=H$1," TO SUMMARY","")</f>
        <v>TOTAL CARRIED FORWARD TO SUMMARY</v>
      </c>
      <c r="D149" s="31"/>
      <c r="E149" s="31"/>
      <c r="F149" s="32"/>
      <c r="G149" s="31"/>
      <c r="H149" s="33">
        <f>SUM(H87:H148)</f>
        <v>185120</v>
      </c>
      <c r="I149" s="34"/>
      <c r="J149" s="408"/>
      <c r="K149" s="406"/>
      <c r="L149" s="418">
        <f>SUM(L87:L148)</f>
        <v>5316</v>
      </c>
      <c r="M149" s="407" t="str">
        <f>IF(F141="","",IF(SUM(I141)=0,"",L149/I131))</f>
        <v/>
      </c>
    </row>
  </sheetData>
  <mergeCells count="11">
    <mergeCell ref="B82:G82"/>
    <mergeCell ref="H82:H85"/>
    <mergeCell ref="B83:G85"/>
    <mergeCell ref="F3:H3"/>
    <mergeCell ref="B6:G6"/>
    <mergeCell ref="H6:H9"/>
    <mergeCell ref="B7:G9"/>
    <mergeCell ref="B79:D79"/>
    <mergeCell ref="F79:H81"/>
    <mergeCell ref="B80:D80"/>
    <mergeCell ref="B81:D81"/>
  </mergeCells>
  <conditionalFormatting sqref="G11:H78 G87:H149">
    <cfRule type="expression" dxfId="20"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10">
    <tabColor rgb="FFFFFF00"/>
  </sheetPr>
  <dimension ref="A1:N71"/>
  <sheetViews>
    <sheetView view="pageBreakPreview" zoomScaleNormal="125" zoomScaleSheetLayoutView="100" zoomScalePageLayoutView="125" workbookViewId="0">
      <selection activeCell="B26" sqref="B26:G26"/>
    </sheetView>
  </sheetViews>
  <sheetFormatPr defaultColWidth="8.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8.81640625" style="1"/>
    <col min="11" max="11" width="12.81640625" style="1" customWidth="1"/>
    <col min="12" max="12" width="14.1796875" style="1" customWidth="1"/>
    <col min="13" max="14" width="14.7265625" style="1" customWidth="1"/>
    <col min="15" max="16384" width="8.81640625" style="1"/>
  </cols>
  <sheetData>
    <row r="1" spans="1:14" s="250" customFormat="1" ht="11.5" x14ac:dyDescent="0.25">
      <c r="A1" s="242"/>
      <c r="B1" s="243"/>
      <c r="C1" s="244" t="s">
        <v>993</v>
      </c>
      <c r="D1" s="245"/>
      <c r="E1" s="245"/>
      <c r="F1" s="246" t="s">
        <v>994</v>
      </c>
      <c r="G1" s="244">
        <v>1</v>
      </c>
      <c r="H1" s="247">
        <f>MAX(H2:H71)</f>
        <v>613840</v>
      </c>
      <c r="I1" s="247">
        <f>MAX(I2:I214)</f>
        <v>0</v>
      </c>
      <c r="J1" s="248"/>
      <c r="K1" s="249"/>
      <c r="L1" s="247">
        <f>MAX(L2:L71)</f>
        <v>137142</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2.75" customHeight="1" x14ac:dyDescent="0.25">
      <c r="B6" s="1112" t="s">
        <v>8</v>
      </c>
      <c r="C6" s="1113"/>
      <c r="D6" s="1113"/>
      <c r="E6" s="1113"/>
      <c r="F6" s="1113"/>
      <c r="G6" s="1113"/>
      <c r="H6" s="1132" t="str">
        <f>"CHAPTER "&amp;B12</f>
        <v>CHAPTER C11.2</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3"/>
      <c r="I7" s="8"/>
    </row>
    <row r="8" spans="1:14" ht="12.75" customHeight="1" x14ac:dyDescent="0.25">
      <c r="B8" s="1117"/>
      <c r="C8" s="1118"/>
      <c r="D8" s="1118"/>
      <c r="E8" s="1118"/>
      <c r="F8" s="1118"/>
      <c r="G8" s="1118"/>
      <c r="H8" s="1133"/>
      <c r="I8" s="8"/>
    </row>
    <row r="9" spans="1:14" s="9" customFormat="1" ht="7.5" customHeight="1" x14ac:dyDescent="0.25">
      <c r="B9" s="1119"/>
      <c r="C9" s="1120"/>
      <c r="D9" s="1120"/>
      <c r="E9" s="1120"/>
      <c r="F9" s="1120"/>
      <c r="G9" s="1120"/>
      <c r="H9" s="1134"/>
      <c r="I9" s="12"/>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65"/>
      <c r="D11" s="15"/>
      <c r="E11" s="15"/>
      <c r="F11" s="580"/>
      <c r="G11" s="411"/>
      <c r="H11" s="17" t="str">
        <f t="shared" ref="H11:H70" si="0">IF(D11="","",F11*G11)</f>
        <v/>
      </c>
      <c r="I11" s="18"/>
      <c r="J11" s="61"/>
      <c r="K11" s="399"/>
      <c r="L11" s="420" t="str">
        <f t="shared" ref="L11" si="1">IF(J11="","",F11*K11)</f>
        <v/>
      </c>
      <c r="M11" s="401" t="str">
        <f t="shared" ref="M11" si="2">IF(J11="","",IF(SUM(H11)=0,"",L11/H11))</f>
        <v/>
      </c>
    </row>
    <row r="12" spans="1:14" ht="13" x14ac:dyDescent="0.25">
      <c r="B12" s="146" t="s">
        <v>807</v>
      </c>
      <c r="C12" s="672" t="s">
        <v>808</v>
      </c>
      <c r="D12" s="15"/>
      <c r="E12" s="15"/>
      <c r="F12" s="580"/>
      <c r="G12" s="411"/>
      <c r="H12" s="17" t="str">
        <f t="shared" si="0"/>
        <v/>
      </c>
      <c r="I12" s="18"/>
      <c r="J12" s="61"/>
      <c r="K12" s="399"/>
      <c r="L12" s="420" t="str">
        <f t="shared" ref="L12:L70" si="3">IF(J12="","",F12*K12)</f>
        <v/>
      </c>
      <c r="M12" s="401" t="str">
        <f t="shared" ref="M12:M70" si="4">IF(J12="","",IF(SUM(H12)=0,"",L12/H12))</f>
        <v/>
      </c>
    </row>
    <row r="13" spans="1:14" x14ac:dyDescent="0.25">
      <c r="B13" s="58"/>
      <c r="C13" s="65"/>
      <c r="D13" s="15"/>
      <c r="E13" s="15"/>
      <c r="F13" s="580"/>
      <c r="G13" s="411"/>
      <c r="H13" s="17" t="str">
        <f t="shared" si="0"/>
        <v/>
      </c>
      <c r="I13" s="18"/>
      <c r="J13" s="61"/>
      <c r="K13" s="399"/>
      <c r="L13" s="420" t="str">
        <f t="shared" si="3"/>
        <v/>
      </c>
      <c r="M13" s="401" t="str">
        <f t="shared" si="4"/>
        <v/>
      </c>
    </row>
    <row r="14" spans="1:14" ht="13" x14ac:dyDescent="0.25">
      <c r="B14" s="146" t="s">
        <v>635</v>
      </c>
      <c r="C14" s="672" t="s">
        <v>559</v>
      </c>
      <c r="D14" s="15"/>
      <c r="E14" s="15"/>
      <c r="F14" s="580"/>
      <c r="G14" s="411"/>
      <c r="H14" s="17" t="str">
        <f t="shared" si="0"/>
        <v/>
      </c>
      <c r="I14" s="18"/>
      <c r="J14" s="61"/>
      <c r="K14" s="399"/>
      <c r="L14" s="420" t="str">
        <f t="shared" si="3"/>
        <v/>
      </c>
      <c r="M14" s="401" t="str">
        <f t="shared" si="4"/>
        <v/>
      </c>
    </row>
    <row r="15" spans="1:14" x14ac:dyDescent="0.25">
      <c r="B15" s="58"/>
      <c r="C15" s="65"/>
      <c r="D15" s="15"/>
      <c r="E15" s="15"/>
      <c r="F15" s="580"/>
      <c r="G15" s="411"/>
      <c r="H15" s="17" t="str">
        <f t="shared" si="0"/>
        <v/>
      </c>
      <c r="I15" s="18"/>
      <c r="J15" s="61"/>
      <c r="K15" s="399"/>
      <c r="L15" s="420" t="str">
        <f t="shared" si="3"/>
        <v/>
      </c>
      <c r="M15" s="401" t="str">
        <f t="shared" si="4"/>
        <v/>
      </c>
    </row>
    <row r="16" spans="1:14" ht="25" x14ac:dyDescent="0.25">
      <c r="B16" s="58" t="s">
        <v>634</v>
      </c>
      <c r="C16" s="65" t="s">
        <v>558</v>
      </c>
      <c r="D16" s="15"/>
      <c r="E16" s="15"/>
      <c r="F16" s="580"/>
      <c r="G16" s="411"/>
      <c r="H16" s="17" t="str">
        <f t="shared" si="0"/>
        <v/>
      </c>
      <c r="I16" s="18"/>
      <c r="J16" s="61"/>
      <c r="K16" s="400"/>
      <c r="L16" s="420" t="str">
        <f t="shared" si="3"/>
        <v/>
      </c>
      <c r="M16" s="401" t="str">
        <f t="shared" si="4"/>
        <v/>
      </c>
    </row>
    <row r="17" spans="2:13" x14ac:dyDescent="0.25">
      <c r="B17" s="58"/>
      <c r="C17" s="65"/>
      <c r="D17" s="15"/>
      <c r="E17" s="15"/>
      <c r="F17" s="580"/>
      <c r="G17" s="411"/>
      <c r="H17" s="17" t="str">
        <f t="shared" si="0"/>
        <v/>
      </c>
      <c r="I17" s="18"/>
      <c r="J17" s="61"/>
      <c r="K17" s="399"/>
      <c r="L17" s="420" t="str">
        <f t="shared" si="3"/>
        <v/>
      </c>
      <c r="M17" s="401" t="str">
        <f t="shared" si="4"/>
        <v/>
      </c>
    </row>
    <row r="18" spans="2:13" ht="13" x14ac:dyDescent="0.3">
      <c r="B18" s="58" t="s">
        <v>39</v>
      </c>
      <c r="C18" s="65" t="s">
        <v>633</v>
      </c>
      <c r="D18" s="15" t="s">
        <v>512</v>
      </c>
      <c r="E18" s="15"/>
      <c r="F18" s="24">
        <v>100</v>
      </c>
      <c r="G18" s="422">
        <v>80</v>
      </c>
      <c r="H18" s="17">
        <f t="shared" si="0"/>
        <v>8000</v>
      </c>
      <c r="I18" s="18"/>
      <c r="J18" s="61" t="s">
        <v>996</v>
      </c>
      <c r="K18" s="399">
        <f>IF(D18="","",ROUND(Labour_perc_roads*G18,1))</f>
        <v>2.2999999999999998</v>
      </c>
      <c r="L18" s="420">
        <f t="shared" si="3"/>
        <v>229.99999999999997</v>
      </c>
      <c r="M18" s="401">
        <f t="shared" si="4"/>
        <v>2.8749999999999998E-2</v>
      </c>
    </row>
    <row r="19" spans="2:13" x14ac:dyDescent="0.25">
      <c r="B19" s="58"/>
      <c r="C19" s="65"/>
      <c r="D19" s="15"/>
      <c r="E19" s="15"/>
      <c r="F19" s="24"/>
      <c r="G19" s="411"/>
      <c r="H19" s="17" t="str">
        <f t="shared" si="0"/>
        <v/>
      </c>
      <c r="I19" s="60"/>
      <c r="J19" s="61"/>
      <c r="K19" s="399"/>
      <c r="L19" s="420" t="str">
        <f t="shared" si="3"/>
        <v/>
      </c>
      <c r="M19" s="401" t="str">
        <f t="shared" si="4"/>
        <v/>
      </c>
    </row>
    <row r="20" spans="2:13" ht="26" x14ac:dyDescent="0.3">
      <c r="B20" s="146" t="s">
        <v>632</v>
      </c>
      <c r="C20" s="672" t="s">
        <v>631</v>
      </c>
      <c r="D20" s="15" t="s">
        <v>511</v>
      </c>
      <c r="E20" s="15" t="s">
        <v>996</v>
      </c>
      <c r="F20" s="24">
        <v>400</v>
      </c>
      <c r="G20" s="422">
        <v>10</v>
      </c>
      <c r="H20" s="17">
        <f t="shared" si="0"/>
        <v>4000</v>
      </c>
      <c r="I20" s="63"/>
      <c r="J20" s="61" t="s">
        <v>996</v>
      </c>
      <c r="K20" s="399">
        <f>IF(D20="","",ROUND(Labour_perc_roads*G20,1))</f>
        <v>0.3</v>
      </c>
      <c r="L20" s="420">
        <f t="shared" si="3"/>
        <v>120</v>
      </c>
      <c r="M20" s="401">
        <f t="shared" si="4"/>
        <v>0.03</v>
      </c>
    </row>
    <row r="21" spans="2:13" x14ac:dyDescent="0.25">
      <c r="B21" s="58"/>
      <c r="C21" s="65"/>
      <c r="D21" s="15"/>
      <c r="E21" s="15"/>
      <c r="F21" s="24"/>
      <c r="G21" s="411"/>
      <c r="H21" s="17" t="str">
        <f t="shared" si="0"/>
        <v/>
      </c>
      <c r="I21" s="63"/>
      <c r="J21" s="61"/>
      <c r="K21" s="62"/>
      <c r="L21" s="420" t="str">
        <f t="shared" si="3"/>
        <v/>
      </c>
      <c r="M21" s="401" t="str">
        <f t="shared" si="4"/>
        <v/>
      </c>
    </row>
    <row r="22" spans="2:13" ht="13" x14ac:dyDescent="0.25">
      <c r="B22" s="146" t="s">
        <v>630</v>
      </c>
      <c r="C22" s="672" t="s">
        <v>629</v>
      </c>
      <c r="D22" s="15"/>
      <c r="E22" s="15"/>
      <c r="F22" s="24"/>
      <c r="G22" s="411"/>
      <c r="H22" s="17" t="str">
        <f t="shared" si="0"/>
        <v/>
      </c>
      <c r="I22" s="63"/>
      <c r="J22" s="61"/>
      <c r="K22" s="62"/>
      <c r="L22" s="420" t="str">
        <f t="shared" si="3"/>
        <v/>
      </c>
      <c r="M22" s="401" t="str">
        <f t="shared" si="4"/>
        <v/>
      </c>
    </row>
    <row r="23" spans="2:13" x14ac:dyDescent="0.25">
      <c r="B23" s="58"/>
      <c r="C23" s="65"/>
      <c r="D23" s="15"/>
      <c r="E23" s="15"/>
      <c r="F23" s="24"/>
      <c r="G23" s="411"/>
      <c r="H23" s="17" t="str">
        <f t="shared" si="0"/>
        <v/>
      </c>
      <c r="I23" s="63"/>
      <c r="J23" s="61"/>
      <c r="K23" s="62"/>
      <c r="L23" s="420" t="str">
        <f t="shared" si="3"/>
        <v/>
      </c>
      <c r="M23" s="401" t="str">
        <f t="shared" si="4"/>
        <v/>
      </c>
    </row>
    <row r="24" spans="2:13" ht="37.5" x14ac:dyDescent="0.3">
      <c r="B24" s="58" t="s">
        <v>628</v>
      </c>
      <c r="C24" s="70" t="s">
        <v>2228</v>
      </c>
      <c r="D24" s="15" t="s">
        <v>512</v>
      </c>
      <c r="E24" s="15" t="s">
        <v>996</v>
      </c>
      <c r="F24" s="24">
        <v>40</v>
      </c>
      <c r="G24" s="422">
        <v>1600</v>
      </c>
      <c r="H24" s="17">
        <f t="shared" si="0"/>
        <v>64000</v>
      </c>
      <c r="I24" s="63"/>
      <c r="J24" s="61" t="s">
        <v>996</v>
      </c>
      <c r="K24" s="399">
        <f>_Gabion</f>
        <v>358</v>
      </c>
      <c r="L24" s="420">
        <f t="shared" si="3"/>
        <v>14320</v>
      </c>
      <c r="M24" s="401">
        <f t="shared" si="4"/>
        <v>0.22375</v>
      </c>
    </row>
    <row r="25" spans="2:13" x14ac:dyDescent="0.25">
      <c r="B25" s="58"/>
      <c r="C25" s="65"/>
      <c r="D25" s="15"/>
      <c r="E25" s="15"/>
      <c r="F25" s="24"/>
      <c r="G25" s="421"/>
      <c r="H25" s="17" t="str">
        <f t="shared" si="0"/>
        <v/>
      </c>
      <c r="I25" s="63"/>
      <c r="J25" s="61"/>
      <c r="K25" s="402"/>
      <c r="L25" s="420" t="str">
        <f t="shared" si="3"/>
        <v/>
      </c>
      <c r="M25" s="401" t="str">
        <f t="shared" si="4"/>
        <v/>
      </c>
    </row>
    <row r="26" spans="2:13" ht="50" x14ac:dyDescent="0.3">
      <c r="B26" s="58" t="s">
        <v>627</v>
      </c>
      <c r="C26" s="65" t="s">
        <v>2229</v>
      </c>
      <c r="D26" s="15" t="s">
        <v>512</v>
      </c>
      <c r="E26" s="15" t="s">
        <v>996</v>
      </c>
      <c r="F26" s="580">
        <v>324</v>
      </c>
      <c r="G26" s="422">
        <v>1600</v>
      </c>
      <c r="H26" s="17">
        <f t="shared" si="0"/>
        <v>518400</v>
      </c>
      <c r="I26" s="18"/>
      <c r="J26" s="61" t="s">
        <v>996</v>
      </c>
      <c r="K26" s="588">
        <f>_Gabion</f>
        <v>358</v>
      </c>
      <c r="L26" s="420">
        <f t="shared" si="3"/>
        <v>115992</v>
      </c>
      <c r="M26" s="401">
        <f t="shared" si="4"/>
        <v>0.22375</v>
      </c>
    </row>
    <row r="27" spans="2:13" x14ac:dyDescent="0.25">
      <c r="B27" s="58"/>
      <c r="C27" s="65"/>
      <c r="D27" s="15"/>
      <c r="E27" s="15"/>
      <c r="F27" s="24"/>
      <c r="G27" s="411"/>
      <c r="H27" s="17" t="str">
        <f t="shared" si="0"/>
        <v/>
      </c>
      <c r="I27" s="18"/>
      <c r="J27" s="61"/>
      <c r="K27" s="62"/>
      <c r="L27" s="420" t="str">
        <f t="shared" si="3"/>
        <v/>
      </c>
      <c r="M27" s="401" t="str">
        <f t="shared" si="4"/>
        <v/>
      </c>
    </row>
    <row r="28" spans="2:13" ht="25.5" x14ac:dyDescent="0.3">
      <c r="B28" s="146" t="s">
        <v>626</v>
      </c>
      <c r="C28" s="798" t="s">
        <v>2118</v>
      </c>
      <c r="D28" s="15" t="s">
        <v>511</v>
      </c>
      <c r="E28" s="15" t="s">
        <v>996</v>
      </c>
      <c r="F28" s="580">
        <v>1080</v>
      </c>
      <c r="G28" s="424">
        <v>18</v>
      </c>
      <c r="H28" s="17">
        <f t="shared" si="0"/>
        <v>19440</v>
      </c>
      <c r="I28" s="18"/>
      <c r="J28" s="61" t="s">
        <v>996</v>
      </c>
      <c r="K28" s="577">
        <f>_Geofabric</f>
        <v>6</v>
      </c>
      <c r="L28" s="420">
        <f t="shared" si="3"/>
        <v>6480</v>
      </c>
      <c r="M28" s="401">
        <f t="shared" si="4"/>
        <v>0.33333333333333331</v>
      </c>
    </row>
    <row r="29" spans="2:13" x14ac:dyDescent="0.25">
      <c r="B29" s="58"/>
      <c r="C29" s="65"/>
      <c r="D29" s="15"/>
      <c r="E29" s="15"/>
      <c r="F29" s="24"/>
      <c r="G29" s="422"/>
      <c r="H29" s="17" t="str">
        <f t="shared" si="0"/>
        <v/>
      </c>
      <c r="I29" s="18"/>
      <c r="J29" s="61"/>
      <c r="K29" s="62"/>
      <c r="L29" s="420" t="str">
        <f t="shared" si="3"/>
        <v/>
      </c>
      <c r="M29" s="401" t="str">
        <f t="shared" si="4"/>
        <v/>
      </c>
    </row>
    <row r="30" spans="2:13" ht="13" x14ac:dyDescent="0.25">
      <c r="B30" s="146"/>
      <c r="C30" s="672"/>
      <c r="D30" s="15"/>
      <c r="E30" s="15"/>
      <c r="F30" s="580"/>
      <c r="G30" s="424"/>
      <c r="H30" s="17" t="str">
        <f t="shared" si="0"/>
        <v/>
      </c>
      <c r="I30" s="18"/>
      <c r="J30" s="61"/>
      <c r="K30" s="399"/>
      <c r="L30" s="420" t="str">
        <f t="shared" si="3"/>
        <v/>
      </c>
      <c r="M30" s="401" t="str">
        <f t="shared" si="4"/>
        <v/>
      </c>
    </row>
    <row r="31" spans="2:13" x14ac:dyDescent="0.25">
      <c r="B31" s="58"/>
      <c r="C31" s="65"/>
      <c r="D31" s="15"/>
      <c r="E31" s="15"/>
      <c r="F31" s="580"/>
      <c r="G31" s="424"/>
      <c r="H31" s="17" t="str">
        <f t="shared" si="0"/>
        <v/>
      </c>
      <c r="I31" s="18"/>
      <c r="J31" s="61"/>
      <c r="K31" s="62"/>
      <c r="L31" s="420" t="str">
        <f t="shared" si="3"/>
        <v/>
      </c>
      <c r="M31" s="401" t="str">
        <f t="shared" si="4"/>
        <v/>
      </c>
    </row>
    <row r="32" spans="2:13" x14ac:dyDescent="0.25">
      <c r="B32" s="58"/>
      <c r="C32" s="65"/>
      <c r="D32" s="15"/>
      <c r="E32" s="15"/>
      <c r="F32" s="580"/>
      <c r="G32" s="424"/>
      <c r="H32" s="17" t="str">
        <f t="shared" si="0"/>
        <v/>
      </c>
      <c r="I32" s="18"/>
      <c r="J32" s="61"/>
      <c r="K32" s="62"/>
      <c r="L32" s="420" t="str">
        <f t="shared" si="3"/>
        <v/>
      </c>
      <c r="M32" s="401" t="str">
        <f t="shared" si="4"/>
        <v/>
      </c>
    </row>
    <row r="33" spans="2:13" x14ac:dyDescent="0.25">
      <c r="B33" s="58"/>
      <c r="C33" s="65"/>
      <c r="D33" s="15"/>
      <c r="E33" s="15"/>
      <c r="F33" s="580"/>
      <c r="G33" s="424"/>
      <c r="H33" s="17" t="str">
        <f t="shared" si="0"/>
        <v/>
      </c>
      <c r="I33" s="18"/>
      <c r="J33" s="61"/>
      <c r="K33" s="62"/>
      <c r="L33" s="420" t="str">
        <f t="shared" si="3"/>
        <v/>
      </c>
      <c r="M33" s="401" t="str">
        <f t="shared" si="4"/>
        <v/>
      </c>
    </row>
    <row r="34" spans="2:13" x14ac:dyDescent="0.25">
      <c r="B34" s="58"/>
      <c r="C34" s="65"/>
      <c r="D34" s="15"/>
      <c r="E34" s="15"/>
      <c r="F34" s="580"/>
      <c r="G34" s="424"/>
      <c r="H34" s="17" t="str">
        <f t="shared" si="0"/>
        <v/>
      </c>
      <c r="I34" s="57"/>
      <c r="J34" s="61"/>
      <c r="K34" s="399"/>
      <c r="L34" s="420" t="str">
        <f t="shared" si="3"/>
        <v/>
      </c>
      <c r="M34" s="401" t="str">
        <f t="shared" si="4"/>
        <v/>
      </c>
    </row>
    <row r="35" spans="2:13" x14ac:dyDescent="0.25">
      <c r="B35" s="58"/>
      <c r="C35" s="65"/>
      <c r="D35" s="15"/>
      <c r="E35" s="15"/>
      <c r="F35" s="580"/>
      <c r="G35" s="424"/>
      <c r="H35" s="17" t="str">
        <f t="shared" si="0"/>
        <v/>
      </c>
      <c r="I35" s="18"/>
      <c r="J35" s="61"/>
      <c r="K35" s="62"/>
      <c r="L35" s="420" t="str">
        <f t="shared" si="3"/>
        <v/>
      </c>
      <c r="M35" s="401" t="str">
        <f t="shared" si="4"/>
        <v/>
      </c>
    </row>
    <row r="36" spans="2:13" x14ac:dyDescent="0.25">
      <c r="B36" s="395"/>
      <c r="C36" s="787"/>
      <c r="D36" s="394"/>
      <c r="E36" s="394"/>
      <c r="F36" s="580"/>
      <c r="G36" s="424"/>
      <c r="H36" s="17" t="str">
        <f t="shared" si="0"/>
        <v/>
      </c>
      <c r="I36" s="18"/>
      <c r="J36" s="61"/>
      <c r="K36" s="62"/>
      <c r="L36" s="420" t="str">
        <f t="shared" si="3"/>
        <v/>
      </c>
      <c r="M36" s="401" t="str">
        <f t="shared" si="4"/>
        <v/>
      </c>
    </row>
    <row r="37" spans="2:13" x14ac:dyDescent="0.25">
      <c r="B37" s="58"/>
      <c r="C37" s="65"/>
      <c r="D37" s="15"/>
      <c r="E37" s="15"/>
      <c r="F37" s="580"/>
      <c r="G37" s="424"/>
      <c r="H37" s="17" t="str">
        <f t="shared" si="0"/>
        <v/>
      </c>
      <c r="I37" s="18"/>
      <c r="J37" s="61"/>
      <c r="K37" s="62"/>
      <c r="L37" s="420" t="str">
        <f t="shared" si="3"/>
        <v/>
      </c>
      <c r="M37" s="401" t="str">
        <f t="shared" si="4"/>
        <v/>
      </c>
    </row>
    <row r="38" spans="2:13" x14ac:dyDescent="0.25">
      <c r="B38" s="395"/>
      <c r="C38" s="787"/>
      <c r="D38" s="394"/>
      <c r="E38" s="394"/>
      <c r="F38" s="580"/>
      <c r="G38" s="424"/>
      <c r="H38" s="17" t="str">
        <f t="shared" si="0"/>
        <v/>
      </c>
      <c r="I38" s="18"/>
      <c r="J38" s="61"/>
      <c r="K38" s="588"/>
      <c r="L38" s="420" t="str">
        <f t="shared" si="3"/>
        <v/>
      </c>
      <c r="M38" s="401" t="str">
        <f t="shared" si="4"/>
        <v/>
      </c>
    </row>
    <row r="39" spans="2:13" x14ac:dyDescent="0.25">
      <c r="B39" s="58"/>
      <c r="C39" s="65"/>
      <c r="D39" s="15"/>
      <c r="E39" s="15"/>
      <c r="F39" s="580"/>
      <c r="G39" s="422"/>
      <c r="H39" s="17" t="str">
        <f t="shared" si="0"/>
        <v/>
      </c>
      <c r="I39" s="18"/>
      <c r="J39" s="61"/>
      <c r="K39" s="62"/>
      <c r="L39" s="420" t="str">
        <f t="shared" si="3"/>
        <v/>
      </c>
      <c r="M39" s="401" t="str">
        <f t="shared" si="4"/>
        <v/>
      </c>
    </row>
    <row r="40" spans="2:13" x14ac:dyDescent="0.25">
      <c r="B40" s="58"/>
      <c r="C40" s="70"/>
      <c r="D40" s="15"/>
      <c r="E40" s="15"/>
      <c r="F40" s="580"/>
      <c r="G40" s="422"/>
      <c r="H40" s="17" t="str">
        <f t="shared" si="0"/>
        <v/>
      </c>
      <c r="I40" s="18"/>
      <c r="J40" s="61"/>
      <c r="K40" s="62"/>
      <c r="L40" s="420" t="str">
        <f t="shared" si="3"/>
        <v/>
      </c>
      <c r="M40" s="401" t="str">
        <f t="shared" si="4"/>
        <v/>
      </c>
    </row>
    <row r="41" spans="2:13" x14ac:dyDescent="0.25">
      <c r="B41" s="58"/>
      <c r="C41" s="65"/>
      <c r="D41" s="15"/>
      <c r="E41" s="15"/>
      <c r="F41" s="580"/>
      <c r="G41" s="422"/>
      <c r="H41" s="17" t="str">
        <f t="shared" si="0"/>
        <v/>
      </c>
      <c r="I41" s="18"/>
      <c r="J41" s="61"/>
      <c r="K41" s="62"/>
      <c r="L41" s="420" t="str">
        <f t="shared" si="3"/>
        <v/>
      </c>
      <c r="M41" s="401" t="str">
        <f t="shared" si="4"/>
        <v/>
      </c>
    </row>
    <row r="42" spans="2:13" x14ac:dyDescent="0.25">
      <c r="B42" s="58"/>
      <c r="C42" s="798"/>
      <c r="D42" s="15"/>
      <c r="E42" s="15"/>
      <c r="F42" s="580"/>
      <c r="G42" s="424"/>
      <c r="H42" s="17" t="str">
        <f t="shared" si="0"/>
        <v/>
      </c>
      <c r="I42" s="18"/>
      <c r="J42" s="61"/>
      <c r="K42" s="577"/>
      <c r="L42" s="420" t="str">
        <f t="shared" si="3"/>
        <v/>
      </c>
      <c r="M42" s="401" t="str">
        <f t="shared" si="4"/>
        <v/>
      </c>
    </row>
    <row r="43" spans="2:13" x14ac:dyDescent="0.25">
      <c r="B43" s="58"/>
      <c r="C43" s="65"/>
      <c r="D43" s="15"/>
      <c r="E43" s="15"/>
      <c r="F43" s="580"/>
      <c r="G43" s="424"/>
      <c r="H43" s="17" t="str">
        <f t="shared" si="0"/>
        <v/>
      </c>
      <c r="I43" s="18"/>
      <c r="J43" s="61"/>
      <c r="K43" s="62"/>
      <c r="L43" s="420" t="str">
        <f t="shared" si="3"/>
        <v/>
      </c>
      <c r="M43" s="401" t="str">
        <f t="shared" si="4"/>
        <v/>
      </c>
    </row>
    <row r="44" spans="2:13" x14ac:dyDescent="0.25">
      <c r="B44" s="58"/>
      <c r="C44" s="65"/>
      <c r="D44" s="61"/>
      <c r="E44" s="61"/>
      <c r="F44" s="580"/>
      <c r="G44" s="424"/>
      <c r="H44" s="17" t="str">
        <f t="shared" si="0"/>
        <v/>
      </c>
      <c r="I44" s="18"/>
      <c r="J44" s="61"/>
      <c r="K44" s="62"/>
      <c r="L44" s="420" t="str">
        <f t="shared" si="3"/>
        <v/>
      </c>
      <c r="M44" s="401" t="str">
        <f t="shared" si="4"/>
        <v/>
      </c>
    </row>
    <row r="45" spans="2:13" x14ac:dyDescent="0.25">
      <c r="B45" s="58"/>
      <c r="C45" s="65"/>
      <c r="D45" s="15"/>
      <c r="E45" s="15"/>
      <c r="F45" s="580"/>
      <c r="G45" s="424"/>
      <c r="H45" s="17" t="str">
        <f t="shared" si="0"/>
        <v/>
      </c>
      <c r="I45" s="18"/>
      <c r="J45" s="61"/>
      <c r="K45" s="62"/>
      <c r="L45" s="420" t="str">
        <f t="shared" si="3"/>
        <v/>
      </c>
      <c r="M45" s="401" t="str">
        <f t="shared" si="4"/>
        <v/>
      </c>
    </row>
    <row r="46" spans="2:13" x14ac:dyDescent="0.25">
      <c r="B46" s="58"/>
      <c r="C46" s="65"/>
      <c r="D46" s="15"/>
      <c r="E46" s="15"/>
      <c r="F46" s="580"/>
      <c r="G46" s="424"/>
      <c r="H46" s="17" t="str">
        <f t="shared" si="0"/>
        <v/>
      </c>
      <c r="I46" s="18"/>
      <c r="J46" s="61"/>
      <c r="K46" s="402"/>
      <c r="L46" s="420" t="str">
        <f t="shared" si="3"/>
        <v/>
      </c>
      <c r="M46" s="401" t="str">
        <f t="shared" si="4"/>
        <v/>
      </c>
    </row>
    <row r="47" spans="2:13" x14ac:dyDescent="0.25">
      <c r="B47" s="58"/>
      <c r="C47" s="65"/>
      <c r="D47" s="15"/>
      <c r="E47" s="15"/>
      <c r="F47" s="580"/>
      <c r="G47" s="424"/>
      <c r="H47" s="17" t="str">
        <f t="shared" si="0"/>
        <v/>
      </c>
      <c r="I47" s="18"/>
      <c r="J47" s="61"/>
      <c r="K47" s="62"/>
      <c r="L47" s="420" t="str">
        <f t="shared" si="3"/>
        <v/>
      </c>
      <c r="M47" s="401" t="str">
        <f t="shared" si="4"/>
        <v/>
      </c>
    </row>
    <row r="48" spans="2:13" x14ac:dyDescent="0.25">
      <c r="B48" s="58"/>
      <c r="C48" s="65"/>
      <c r="D48" s="15"/>
      <c r="E48" s="15"/>
      <c r="F48" s="580"/>
      <c r="G48" s="424"/>
      <c r="H48" s="17" t="str">
        <f t="shared" si="0"/>
        <v/>
      </c>
      <c r="I48" s="18"/>
      <c r="J48" s="61"/>
      <c r="K48" s="62"/>
      <c r="L48" s="420" t="str">
        <f t="shared" si="3"/>
        <v/>
      </c>
      <c r="M48" s="401" t="str">
        <f t="shared" si="4"/>
        <v/>
      </c>
    </row>
    <row r="49" spans="2:13" x14ac:dyDescent="0.25">
      <c r="B49" s="58"/>
      <c r="C49" s="65"/>
      <c r="D49" s="15"/>
      <c r="E49" s="15"/>
      <c r="F49" s="580"/>
      <c r="G49" s="424"/>
      <c r="H49" s="17" t="str">
        <f t="shared" si="0"/>
        <v/>
      </c>
      <c r="I49" s="18"/>
      <c r="J49" s="61"/>
      <c r="K49" s="62"/>
      <c r="L49" s="420" t="str">
        <f t="shared" si="3"/>
        <v/>
      </c>
      <c r="M49" s="401" t="str">
        <f t="shared" si="4"/>
        <v/>
      </c>
    </row>
    <row r="50" spans="2:13" x14ac:dyDescent="0.25">
      <c r="B50" s="58"/>
      <c r="C50" s="65"/>
      <c r="D50" s="15"/>
      <c r="E50" s="15"/>
      <c r="F50" s="580"/>
      <c r="G50" s="424"/>
      <c r="H50" s="17" t="str">
        <f t="shared" si="0"/>
        <v/>
      </c>
      <c r="I50" s="18"/>
      <c r="J50" s="61"/>
      <c r="K50" s="62"/>
      <c r="L50" s="420" t="str">
        <f t="shared" si="3"/>
        <v/>
      </c>
      <c r="M50" s="401" t="str">
        <f t="shared" si="4"/>
        <v/>
      </c>
    </row>
    <row r="51" spans="2:13" x14ac:dyDescent="0.25">
      <c r="B51" s="58"/>
      <c r="C51" s="65"/>
      <c r="D51" s="15"/>
      <c r="E51" s="15"/>
      <c r="F51" s="580"/>
      <c r="G51" s="424"/>
      <c r="H51" s="17" t="str">
        <f t="shared" si="0"/>
        <v/>
      </c>
      <c r="I51" s="18"/>
      <c r="J51" s="61"/>
      <c r="K51" s="62"/>
      <c r="L51" s="420" t="str">
        <f t="shared" si="3"/>
        <v/>
      </c>
      <c r="M51" s="401" t="str">
        <f t="shared" si="4"/>
        <v/>
      </c>
    </row>
    <row r="52" spans="2:13" x14ac:dyDescent="0.25">
      <c r="B52" s="58"/>
      <c r="C52" s="65"/>
      <c r="D52" s="15"/>
      <c r="E52" s="15"/>
      <c r="F52" s="580"/>
      <c r="G52" s="424"/>
      <c r="H52" s="17" t="str">
        <f t="shared" ref="H52:H65" si="5">IF(D52="","",F52*G52)</f>
        <v/>
      </c>
      <c r="I52" s="18"/>
      <c r="J52" s="61"/>
      <c r="K52" s="62"/>
      <c r="L52" s="420" t="str">
        <f t="shared" ref="L52:L65" si="6">IF(J52="","",F52*K52)</f>
        <v/>
      </c>
      <c r="M52" s="401" t="str">
        <f t="shared" ref="M52:M65" si="7">IF(J52="","",IF(SUM(H52)=0,"",L52/H52))</f>
        <v/>
      </c>
    </row>
    <row r="53" spans="2:13" x14ac:dyDescent="0.25">
      <c r="B53" s="58"/>
      <c r="C53" s="65"/>
      <c r="D53" s="15"/>
      <c r="E53" s="15"/>
      <c r="F53" s="580"/>
      <c r="G53" s="424"/>
      <c r="H53" s="17" t="str">
        <f t="shared" si="5"/>
        <v/>
      </c>
      <c r="I53" s="18"/>
      <c r="J53" s="61"/>
      <c r="K53" s="62"/>
      <c r="L53" s="420" t="str">
        <f t="shared" si="6"/>
        <v/>
      </c>
      <c r="M53" s="401" t="str">
        <f t="shared" si="7"/>
        <v/>
      </c>
    </row>
    <row r="54" spans="2:13" x14ac:dyDescent="0.25">
      <c r="B54" s="58"/>
      <c r="C54" s="65"/>
      <c r="D54" s="15"/>
      <c r="E54" s="15"/>
      <c r="F54" s="580"/>
      <c r="G54" s="424"/>
      <c r="H54" s="17" t="str">
        <f t="shared" si="5"/>
        <v/>
      </c>
      <c r="I54" s="18"/>
      <c r="J54" s="61"/>
      <c r="K54" s="62"/>
      <c r="L54" s="420" t="str">
        <f t="shared" si="6"/>
        <v/>
      </c>
      <c r="M54" s="401" t="str">
        <f t="shared" si="7"/>
        <v/>
      </c>
    </row>
    <row r="55" spans="2:13" x14ac:dyDescent="0.25">
      <c r="B55" s="58"/>
      <c r="C55" s="65"/>
      <c r="D55" s="15"/>
      <c r="E55" s="15"/>
      <c r="F55" s="580"/>
      <c r="G55" s="424"/>
      <c r="H55" s="17" t="str">
        <f t="shared" si="5"/>
        <v/>
      </c>
      <c r="I55" s="18"/>
      <c r="J55" s="61"/>
      <c r="K55" s="62"/>
      <c r="L55" s="420" t="str">
        <f t="shared" si="6"/>
        <v/>
      </c>
      <c r="M55" s="401" t="str">
        <f t="shared" si="7"/>
        <v/>
      </c>
    </row>
    <row r="56" spans="2:13" x14ac:dyDescent="0.25">
      <c r="B56" s="58"/>
      <c r="C56" s="65"/>
      <c r="D56" s="15"/>
      <c r="E56" s="15"/>
      <c r="F56" s="580"/>
      <c r="G56" s="424"/>
      <c r="H56" s="17" t="str">
        <f t="shared" si="5"/>
        <v/>
      </c>
      <c r="I56" s="18"/>
      <c r="J56" s="61"/>
      <c r="K56" s="62"/>
      <c r="L56" s="420" t="str">
        <f t="shared" si="6"/>
        <v/>
      </c>
      <c r="M56" s="401" t="str">
        <f t="shared" si="7"/>
        <v/>
      </c>
    </row>
    <row r="57" spans="2:13" x14ac:dyDescent="0.25">
      <c r="B57" s="58"/>
      <c r="C57" s="65"/>
      <c r="D57" s="15"/>
      <c r="E57" s="15"/>
      <c r="F57" s="580"/>
      <c r="G57" s="424"/>
      <c r="H57" s="17" t="str">
        <f t="shared" si="5"/>
        <v/>
      </c>
      <c r="I57" s="18"/>
      <c r="J57" s="61"/>
      <c r="K57" s="62"/>
      <c r="L57" s="420" t="str">
        <f t="shared" si="6"/>
        <v/>
      </c>
      <c r="M57" s="401" t="str">
        <f t="shared" si="7"/>
        <v/>
      </c>
    </row>
    <row r="58" spans="2:13" x14ac:dyDescent="0.25">
      <c r="B58" s="58"/>
      <c r="C58" s="65"/>
      <c r="D58" s="15"/>
      <c r="E58" s="15"/>
      <c r="F58" s="580"/>
      <c r="G58" s="424"/>
      <c r="H58" s="17" t="str">
        <f t="shared" si="5"/>
        <v/>
      </c>
      <c r="I58" s="18"/>
      <c r="J58" s="61"/>
      <c r="K58" s="62"/>
      <c r="L58" s="420" t="str">
        <f t="shared" si="6"/>
        <v/>
      </c>
      <c r="M58" s="401" t="str">
        <f t="shared" si="7"/>
        <v/>
      </c>
    </row>
    <row r="59" spans="2:13" x14ac:dyDescent="0.25">
      <c r="B59" s="58"/>
      <c r="C59" s="65"/>
      <c r="D59" s="15"/>
      <c r="E59" s="15"/>
      <c r="F59" s="580"/>
      <c r="G59" s="424"/>
      <c r="H59" s="17" t="str">
        <f t="shared" si="5"/>
        <v/>
      </c>
      <c r="I59" s="18"/>
      <c r="J59" s="61"/>
      <c r="K59" s="62"/>
      <c r="L59" s="420" t="str">
        <f t="shared" si="6"/>
        <v/>
      </c>
      <c r="M59" s="401" t="str">
        <f t="shared" si="7"/>
        <v/>
      </c>
    </row>
    <row r="60" spans="2:13" x14ac:dyDescent="0.25">
      <c r="B60" s="58"/>
      <c r="C60" s="65"/>
      <c r="D60" s="15"/>
      <c r="E60" s="15"/>
      <c r="F60" s="580"/>
      <c r="G60" s="424"/>
      <c r="H60" s="17" t="str">
        <f t="shared" si="5"/>
        <v/>
      </c>
      <c r="I60" s="18"/>
      <c r="J60" s="61"/>
      <c r="K60" s="62"/>
      <c r="L60" s="420" t="str">
        <f t="shared" si="6"/>
        <v/>
      </c>
      <c r="M60" s="401" t="str">
        <f t="shared" si="7"/>
        <v/>
      </c>
    </row>
    <row r="61" spans="2:13" x14ac:dyDescent="0.25">
      <c r="B61" s="58"/>
      <c r="C61" s="65"/>
      <c r="D61" s="15"/>
      <c r="E61" s="15"/>
      <c r="F61" s="580"/>
      <c r="G61" s="424"/>
      <c r="H61" s="17" t="str">
        <f t="shared" si="5"/>
        <v/>
      </c>
      <c r="I61" s="18"/>
      <c r="J61" s="61"/>
      <c r="K61" s="62"/>
      <c r="L61" s="420" t="str">
        <f t="shared" si="6"/>
        <v/>
      </c>
      <c r="M61" s="401" t="str">
        <f t="shared" si="7"/>
        <v/>
      </c>
    </row>
    <row r="62" spans="2:13" x14ac:dyDescent="0.25">
      <c r="B62" s="58"/>
      <c r="C62" s="65"/>
      <c r="D62" s="15"/>
      <c r="E62" s="15"/>
      <c r="F62" s="580"/>
      <c r="G62" s="424"/>
      <c r="H62" s="17" t="str">
        <f t="shared" si="5"/>
        <v/>
      </c>
      <c r="I62" s="18"/>
      <c r="J62" s="61"/>
      <c r="K62" s="62"/>
      <c r="L62" s="420" t="str">
        <f t="shared" si="6"/>
        <v/>
      </c>
      <c r="M62" s="401" t="str">
        <f t="shared" si="7"/>
        <v/>
      </c>
    </row>
    <row r="63" spans="2:13" x14ac:dyDescent="0.25">
      <c r="B63" s="58"/>
      <c r="C63" s="65"/>
      <c r="D63" s="15"/>
      <c r="E63" s="15"/>
      <c r="F63" s="580"/>
      <c r="G63" s="424"/>
      <c r="H63" s="17" t="str">
        <f t="shared" si="5"/>
        <v/>
      </c>
      <c r="I63" s="18"/>
      <c r="J63" s="61"/>
      <c r="K63" s="62"/>
      <c r="L63" s="420" t="str">
        <f t="shared" si="6"/>
        <v/>
      </c>
      <c r="M63" s="401" t="str">
        <f t="shared" si="7"/>
        <v/>
      </c>
    </row>
    <row r="64" spans="2:13" x14ac:dyDescent="0.25">
      <c r="B64" s="58"/>
      <c r="C64" s="65"/>
      <c r="D64" s="15"/>
      <c r="E64" s="15"/>
      <c r="F64" s="580"/>
      <c r="G64" s="424"/>
      <c r="H64" s="17" t="str">
        <f t="shared" si="5"/>
        <v/>
      </c>
      <c r="I64" s="18"/>
      <c r="J64" s="61"/>
      <c r="K64" s="62"/>
      <c r="L64" s="420" t="str">
        <f t="shared" si="6"/>
        <v/>
      </c>
      <c r="M64" s="401" t="str">
        <f t="shared" si="7"/>
        <v/>
      </c>
    </row>
    <row r="65" spans="2:13" x14ac:dyDescent="0.25">
      <c r="B65" s="58"/>
      <c r="C65" s="65"/>
      <c r="D65" s="15"/>
      <c r="E65" s="15"/>
      <c r="F65" s="580"/>
      <c r="G65" s="424"/>
      <c r="H65" s="17" t="str">
        <f t="shared" si="5"/>
        <v/>
      </c>
      <c r="I65" s="18"/>
      <c r="J65" s="61"/>
      <c r="K65" s="62"/>
      <c r="L65" s="420" t="str">
        <f t="shared" si="6"/>
        <v/>
      </c>
      <c r="M65" s="401" t="str">
        <f t="shared" si="7"/>
        <v/>
      </c>
    </row>
    <row r="66" spans="2:13" x14ac:dyDescent="0.25">
      <c r="B66" s="58"/>
      <c r="C66" s="65"/>
      <c r="D66" s="15"/>
      <c r="E66" s="15"/>
      <c r="F66" s="580"/>
      <c r="G66" s="424"/>
      <c r="H66" s="17" t="str">
        <f t="shared" si="0"/>
        <v/>
      </c>
      <c r="I66" s="18"/>
      <c r="J66" s="61"/>
      <c r="K66" s="62"/>
      <c r="L66" s="420" t="str">
        <f t="shared" si="3"/>
        <v/>
      </c>
      <c r="M66" s="401" t="str">
        <f t="shared" si="4"/>
        <v/>
      </c>
    </row>
    <row r="67" spans="2:13" x14ac:dyDescent="0.25">
      <c r="B67" s="58"/>
      <c r="C67" s="65"/>
      <c r="D67" s="15"/>
      <c r="E67" s="15"/>
      <c r="F67" s="580"/>
      <c r="G67" s="424"/>
      <c r="H67" s="17" t="str">
        <f t="shared" si="0"/>
        <v/>
      </c>
      <c r="I67" s="18"/>
      <c r="J67" s="61"/>
      <c r="K67" s="62"/>
      <c r="L67" s="420" t="str">
        <f t="shared" si="3"/>
        <v/>
      </c>
      <c r="M67" s="401" t="str">
        <f t="shared" si="4"/>
        <v/>
      </c>
    </row>
    <row r="68" spans="2:13" x14ac:dyDescent="0.25">
      <c r="B68" s="58"/>
      <c r="C68" s="65"/>
      <c r="D68" s="15"/>
      <c r="E68" s="15"/>
      <c r="F68" s="580"/>
      <c r="G68" s="424"/>
      <c r="H68" s="17" t="str">
        <f t="shared" si="0"/>
        <v/>
      </c>
      <c r="I68" s="18"/>
      <c r="J68" s="61"/>
      <c r="K68" s="62"/>
      <c r="L68" s="420" t="str">
        <f t="shared" si="3"/>
        <v/>
      </c>
      <c r="M68" s="401" t="str">
        <f t="shared" si="4"/>
        <v/>
      </c>
    </row>
    <row r="69" spans="2:13" x14ac:dyDescent="0.25">
      <c r="B69" s="58"/>
      <c r="C69" s="65"/>
      <c r="D69" s="15"/>
      <c r="E69" s="15"/>
      <c r="F69" s="580"/>
      <c r="G69" s="422"/>
      <c r="H69" s="17" t="str">
        <f t="shared" si="0"/>
        <v/>
      </c>
      <c r="I69" s="18"/>
      <c r="J69" s="61"/>
      <c r="K69" s="62"/>
      <c r="L69" s="420" t="str">
        <f t="shared" si="3"/>
        <v/>
      </c>
      <c r="M69" s="401" t="str">
        <f t="shared" si="4"/>
        <v/>
      </c>
    </row>
    <row r="70" spans="2:13" x14ac:dyDescent="0.25">
      <c r="B70" s="58"/>
      <c r="C70" s="65"/>
      <c r="D70" s="15"/>
      <c r="E70" s="15"/>
      <c r="F70" s="580"/>
      <c r="G70" s="422"/>
      <c r="H70" s="17" t="str">
        <f t="shared" si="0"/>
        <v/>
      </c>
      <c r="I70" s="18"/>
      <c r="J70" s="592"/>
      <c r="K70" s="711"/>
      <c r="L70" s="420" t="str">
        <f t="shared" si="3"/>
        <v/>
      </c>
      <c r="M70" s="401" t="str">
        <f t="shared" si="4"/>
        <v/>
      </c>
    </row>
    <row r="71" spans="2:13" s="28" customFormat="1" ht="24.75" customHeight="1" x14ac:dyDescent="0.25">
      <c r="B71" s="84" t="str">
        <f>$B$12</f>
        <v>C11.2</v>
      </c>
      <c r="C71" s="30" t="str">
        <f>"TOTAL CARRIED FORWARD"&amp;IF(H71=H$1," TO SUMMARY","")</f>
        <v>TOTAL CARRIED FORWARD TO SUMMARY</v>
      </c>
      <c r="D71" s="31"/>
      <c r="E71" s="31"/>
      <c r="F71" s="32"/>
      <c r="G71" s="31"/>
      <c r="H71" s="33">
        <f>SUM(H11:H70)</f>
        <v>613840</v>
      </c>
      <c r="I71" s="34"/>
      <c r="J71" s="408"/>
      <c r="K71" s="406"/>
      <c r="L71" s="418">
        <f>SUM(L11:L70)</f>
        <v>137142</v>
      </c>
      <c r="M71" s="407" t="str">
        <f t="shared" ref="M71" si="8">IF(J71="","",IF(SUM(H71)=0,"",L71/H71))</f>
        <v/>
      </c>
    </row>
  </sheetData>
  <mergeCells count="4">
    <mergeCell ref="F3:H3"/>
    <mergeCell ref="B6:G6"/>
    <mergeCell ref="H6:H9"/>
    <mergeCell ref="B7:G9"/>
  </mergeCells>
  <conditionalFormatting sqref="G11:H71">
    <cfRule type="expression" dxfId="19"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1">
    <tabColor rgb="FFFFFF00"/>
  </sheetPr>
  <dimension ref="A1:N249"/>
  <sheetViews>
    <sheetView view="pageBreakPreview" zoomScaleNormal="125" zoomScaleSheetLayoutView="100" zoomScalePageLayoutView="125" workbookViewId="0">
      <pane xSplit="4" ySplit="3" topLeftCell="E4" activePane="bottomRight" state="frozen"/>
      <selection activeCell="B26" sqref="B26:G26"/>
      <selection pane="topRight" activeCell="B26" sqref="B26:G26"/>
      <selection pane="bottomLeft" activeCell="B26" sqref="B26:G26"/>
      <selection pane="bottomRight" activeCell="B26" sqref="B26:G26"/>
    </sheetView>
  </sheetViews>
  <sheetFormatPr defaultColWidth="8.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8.81640625" style="1"/>
    <col min="11" max="11" width="12.81640625" style="1" customWidth="1"/>
    <col min="12" max="12" width="14.1796875" style="1" customWidth="1"/>
    <col min="13" max="14" width="14.7265625" style="1" customWidth="1"/>
    <col min="15" max="16384" width="8.81640625" style="1"/>
  </cols>
  <sheetData>
    <row r="1" spans="1:14" s="250" customFormat="1" ht="11.5" x14ac:dyDescent="0.25">
      <c r="A1" s="242"/>
      <c r="B1" s="243"/>
      <c r="C1" s="244" t="s">
        <v>993</v>
      </c>
      <c r="D1" s="245"/>
      <c r="E1" s="245"/>
      <c r="F1" s="246" t="s">
        <v>994</v>
      </c>
      <c r="G1" s="244">
        <v>1</v>
      </c>
      <c r="H1" s="247">
        <f>MAX(H2:H213)</f>
        <v>1075350</v>
      </c>
      <c r="I1" s="247">
        <f>MAX(I2:I235)</f>
        <v>0</v>
      </c>
      <c r="J1" s="248"/>
      <c r="K1" s="249"/>
      <c r="L1" s="247">
        <f>MAX(L2:L213)</f>
        <v>121174.2</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2.75" customHeight="1" x14ac:dyDescent="0.25">
      <c r="B6" s="1112" t="s">
        <v>8</v>
      </c>
      <c r="C6" s="1113"/>
      <c r="D6" s="1113"/>
      <c r="E6" s="1113"/>
      <c r="F6" s="1113"/>
      <c r="G6" s="1113"/>
      <c r="H6" s="1132" t="str">
        <f>"CHAPTER "&amp;B12</f>
        <v>CHAPTER C11.4</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3"/>
      <c r="I7" s="8"/>
    </row>
    <row r="8" spans="1:14" ht="12.75" customHeight="1" x14ac:dyDescent="0.25">
      <c r="B8" s="1117"/>
      <c r="C8" s="1118"/>
      <c r="D8" s="1118"/>
      <c r="E8" s="1118"/>
      <c r="F8" s="1118"/>
      <c r="G8" s="1118"/>
      <c r="H8" s="1133"/>
      <c r="I8" s="8"/>
    </row>
    <row r="9" spans="1:14" s="9" customFormat="1" ht="7.5" customHeight="1" x14ac:dyDescent="0.25">
      <c r="B9" s="1119"/>
      <c r="C9" s="1120"/>
      <c r="D9" s="1120"/>
      <c r="E9" s="1120"/>
      <c r="F9" s="1120"/>
      <c r="G9" s="1120"/>
      <c r="H9" s="1134"/>
      <c r="I9" s="12"/>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IF(D11="","",F11*G11)</f>
        <v/>
      </c>
      <c r="I11" s="18"/>
      <c r="J11" s="61"/>
      <c r="K11" s="399"/>
      <c r="L11" s="420" t="str">
        <f t="shared" ref="L11" si="0">IF(J11="","",F11*K11)</f>
        <v/>
      </c>
      <c r="M11" s="401" t="str">
        <f t="shared" ref="M11" si="1">IF(J11="","",IF(SUM(H11)=0,"",L11/H11))</f>
        <v/>
      </c>
    </row>
    <row r="12" spans="1:14" ht="13" x14ac:dyDescent="0.25">
      <c r="B12" s="146" t="s">
        <v>810</v>
      </c>
      <c r="C12" s="672" t="s">
        <v>809</v>
      </c>
      <c r="D12" s="15"/>
      <c r="E12" s="15"/>
      <c r="F12" s="15"/>
      <c r="G12" s="411"/>
      <c r="H12" s="17" t="str">
        <f t="shared" ref="H12:H68" si="2">IF(D12="","",F12*G12)</f>
        <v/>
      </c>
      <c r="I12" s="18"/>
      <c r="J12" s="61"/>
      <c r="K12" s="399"/>
      <c r="L12" s="420" t="str">
        <f t="shared" ref="L12:L68" si="3">IF(J12="","",F12*K12)</f>
        <v/>
      </c>
      <c r="M12" s="401" t="str">
        <f t="shared" ref="M12:M69" si="4">IF(J12="","",IF(SUM(H12)=0,"",L12/H12))</f>
        <v/>
      </c>
    </row>
    <row r="13" spans="1:14" x14ac:dyDescent="0.25">
      <c r="B13" s="58"/>
      <c r="C13" s="65"/>
      <c r="D13" s="15"/>
      <c r="E13" s="15"/>
      <c r="F13" s="15"/>
      <c r="G13" s="411"/>
      <c r="H13" s="17" t="str">
        <f t="shared" si="2"/>
        <v/>
      </c>
      <c r="I13" s="18"/>
      <c r="J13" s="61"/>
      <c r="K13" s="399"/>
      <c r="L13" s="420" t="str">
        <f t="shared" si="3"/>
        <v/>
      </c>
      <c r="M13" s="401" t="str">
        <f t="shared" si="4"/>
        <v/>
      </c>
    </row>
    <row r="14" spans="1:14" ht="13" x14ac:dyDescent="0.25">
      <c r="B14" s="146" t="s">
        <v>669</v>
      </c>
      <c r="C14" s="672" t="s">
        <v>668</v>
      </c>
      <c r="D14" s="15"/>
      <c r="E14" s="15"/>
      <c r="F14" s="15"/>
      <c r="G14" s="411"/>
      <c r="H14" s="17" t="str">
        <f t="shared" si="2"/>
        <v/>
      </c>
      <c r="I14" s="18"/>
      <c r="J14" s="61"/>
      <c r="K14" s="399"/>
      <c r="L14" s="420" t="str">
        <f t="shared" si="3"/>
        <v/>
      </c>
      <c r="M14" s="401" t="str">
        <f t="shared" si="4"/>
        <v/>
      </c>
    </row>
    <row r="15" spans="1:14" x14ac:dyDescent="0.25">
      <c r="B15" s="58"/>
      <c r="C15" s="65"/>
      <c r="D15" s="15"/>
      <c r="E15" s="15"/>
      <c r="F15" s="15"/>
      <c r="G15" s="411"/>
      <c r="H15" s="17" t="str">
        <f t="shared" si="2"/>
        <v/>
      </c>
      <c r="I15" s="18"/>
      <c r="J15" s="61"/>
      <c r="K15" s="399"/>
      <c r="L15" s="420" t="str">
        <f t="shared" si="3"/>
        <v/>
      </c>
      <c r="M15" s="401" t="str">
        <f t="shared" si="4"/>
        <v/>
      </c>
    </row>
    <row r="16" spans="1:14" x14ac:dyDescent="0.25">
      <c r="B16" s="58" t="s">
        <v>650</v>
      </c>
      <c r="C16" s="65" t="s">
        <v>2238</v>
      </c>
      <c r="D16" s="15"/>
      <c r="E16" s="15"/>
      <c r="F16" s="15"/>
      <c r="G16" s="411"/>
      <c r="H16" s="17" t="str">
        <f t="shared" si="2"/>
        <v/>
      </c>
      <c r="I16" s="18"/>
      <c r="J16" s="61"/>
      <c r="K16" s="400"/>
      <c r="L16" s="420" t="str">
        <f t="shared" si="3"/>
        <v/>
      </c>
      <c r="M16" s="401" t="str">
        <f t="shared" si="4"/>
        <v/>
      </c>
    </row>
    <row r="17" spans="2:13" x14ac:dyDescent="0.25">
      <c r="B17" s="58"/>
      <c r="C17" s="65"/>
      <c r="D17" s="15"/>
      <c r="E17" s="15"/>
      <c r="F17" s="15"/>
      <c r="G17" s="411"/>
      <c r="H17" s="17" t="str">
        <f t="shared" si="2"/>
        <v/>
      </c>
      <c r="I17" s="18"/>
      <c r="J17" s="61"/>
      <c r="K17" s="399"/>
      <c r="L17" s="420" t="str">
        <f t="shared" si="3"/>
        <v/>
      </c>
      <c r="M17" s="401" t="str">
        <f t="shared" si="4"/>
        <v/>
      </c>
    </row>
    <row r="18" spans="2:13" x14ac:dyDescent="0.25">
      <c r="B18" s="58" t="s">
        <v>39</v>
      </c>
      <c r="C18" s="65" t="s">
        <v>649</v>
      </c>
      <c r="D18" s="15" t="s">
        <v>6</v>
      </c>
      <c r="E18" s="15"/>
      <c r="F18" s="24">
        <f>Quantities!$S$891</f>
        <v>1920</v>
      </c>
      <c r="G18" s="422">
        <v>500</v>
      </c>
      <c r="H18" s="17">
        <f t="shared" si="2"/>
        <v>960000</v>
      </c>
      <c r="I18" s="57"/>
      <c r="J18" s="61" t="s">
        <v>1721</v>
      </c>
      <c r="K18" s="577">
        <f>_GRail</f>
        <v>55.1</v>
      </c>
      <c r="L18" s="420">
        <f t="shared" si="3"/>
        <v>105792</v>
      </c>
      <c r="M18" s="401">
        <f t="shared" si="4"/>
        <v>0.11020000000000001</v>
      </c>
    </row>
    <row r="19" spans="2:13" x14ac:dyDescent="0.25">
      <c r="B19" s="58"/>
      <c r="C19" s="65"/>
      <c r="D19" s="15"/>
      <c r="E19" s="15"/>
      <c r="F19" s="24"/>
      <c r="G19" s="411"/>
      <c r="H19" s="17" t="str">
        <f t="shared" si="2"/>
        <v/>
      </c>
      <c r="I19" s="18"/>
      <c r="J19" s="61"/>
      <c r="K19" s="399"/>
      <c r="L19" s="420" t="str">
        <f t="shared" si="3"/>
        <v/>
      </c>
      <c r="M19" s="401" t="str">
        <f t="shared" si="4"/>
        <v/>
      </c>
    </row>
    <row r="20" spans="2:13" ht="37.5" x14ac:dyDescent="0.25">
      <c r="B20" s="58" t="s">
        <v>43</v>
      </c>
      <c r="C20" s="65" t="s">
        <v>2010</v>
      </c>
      <c r="D20" s="15" t="s">
        <v>6</v>
      </c>
      <c r="E20" s="15" t="s">
        <v>996</v>
      </c>
      <c r="F20" s="647">
        <v>10</v>
      </c>
      <c r="G20" s="424">
        <v>200</v>
      </c>
      <c r="H20" s="743">
        <f t="shared" si="2"/>
        <v>2000</v>
      </c>
      <c r="I20" s="63"/>
      <c r="J20" s="61" t="s">
        <v>1721</v>
      </c>
      <c r="K20" s="399">
        <f>IF(D20="","",ROUND(Labour_perc_roads*G20,1))</f>
        <v>5.8</v>
      </c>
      <c r="L20" s="420">
        <f t="shared" si="3"/>
        <v>58</v>
      </c>
      <c r="M20" s="401">
        <f t="shared" si="4"/>
        <v>2.9000000000000001E-2</v>
      </c>
    </row>
    <row r="21" spans="2:13" x14ac:dyDescent="0.25">
      <c r="B21" s="58"/>
      <c r="C21" s="65"/>
      <c r="D21" s="15"/>
      <c r="E21" s="15"/>
      <c r="F21" s="24"/>
      <c r="G21" s="411"/>
      <c r="H21" s="17" t="str">
        <f t="shared" si="2"/>
        <v/>
      </c>
      <c r="I21" s="60"/>
      <c r="J21" s="61"/>
      <c r="K21" s="402"/>
      <c r="L21" s="420" t="str">
        <f t="shared" si="3"/>
        <v/>
      </c>
      <c r="M21" s="401" t="str">
        <f t="shared" si="4"/>
        <v/>
      </c>
    </row>
    <row r="22" spans="2:13" x14ac:dyDescent="0.25">
      <c r="B22" s="58" t="s">
        <v>666</v>
      </c>
      <c r="C22" s="68" t="s">
        <v>665</v>
      </c>
      <c r="D22" s="15"/>
      <c r="E22" s="15"/>
      <c r="F22" s="24"/>
      <c r="G22" s="422"/>
      <c r="H22" s="17" t="str">
        <f t="shared" si="2"/>
        <v/>
      </c>
      <c r="I22" s="63"/>
      <c r="J22" s="61"/>
      <c r="K22" s="62"/>
      <c r="L22" s="420" t="str">
        <f t="shared" si="3"/>
        <v/>
      </c>
      <c r="M22" s="401" t="str">
        <f t="shared" si="4"/>
        <v/>
      </c>
    </row>
    <row r="23" spans="2:13" x14ac:dyDescent="0.25">
      <c r="B23" s="58"/>
      <c r="C23" s="68"/>
      <c r="D23" s="61"/>
      <c r="E23" s="61"/>
      <c r="F23" s="24"/>
      <c r="G23" s="421"/>
      <c r="H23" s="17" t="str">
        <f t="shared" si="2"/>
        <v/>
      </c>
      <c r="I23" s="63"/>
      <c r="J23" s="61"/>
      <c r="K23" s="62"/>
      <c r="L23" s="420" t="str">
        <f t="shared" si="3"/>
        <v/>
      </c>
      <c r="M23" s="401" t="str">
        <f t="shared" si="4"/>
        <v/>
      </c>
    </row>
    <row r="24" spans="2:13" x14ac:dyDescent="0.25">
      <c r="B24" s="58" t="s">
        <v>39</v>
      </c>
      <c r="C24" s="65" t="s">
        <v>664</v>
      </c>
      <c r="D24" s="15" t="s">
        <v>34</v>
      </c>
      <c r="E24" s="15" t="s">
        <v>996</v>
      </c>
      <c r="F24" s="24">
        <f>Quantities!$S$904</f>
        <v>14</v>
      </c>
      <c r="G24" s="423">
        <v>750</v>
      </c>
      <c r="H24" s="17">
        <f t="shared" si="2"/>
        <v>10500</v>
      </c>
      <c r="I24" s="63"/>
      <c r="J24" s="61" t="s">
        <v>1721</v>
      </c>
      <c r="K24" s="399">
        <f>IF(D24="","",ROUND(Labour_perc_roads*G24,1))</f>
        <v>21.8</v>
      </c>
      <c r="L24" s="420">
        <f t="shared" si="3"/>
        <v>305.2</v>
      </c>
      <c r="M24" s="401">
        <f t="shared" si="4"/>
        <v>2.9066666666666664E-2</v>
      </c>
    </row>
    <row r="25" spans="2:13" x14ac:dyDescent="0.25">
      <c r="B25" s="58"/>
      <c r="C25" s="70"/>
      <c r="D25" s="15"/>
      <c r="E25" s="15"/>
      <c r="F25" s="24"/>
      <c r="G25" s="422"/>
      <c r="H25" s="17" t="str">
        <f t="shared" si="2"/>
        <v/>
      </c>
      <c r="I25" s="63"/>
      <c r="J25" s="61"/>
      <c r="K25" s="402"/>
      <c r="L25" s="420" t="str">
        <f t="shared" si="3"/>
        <v/>
      </c>
      <c r="M25" s="401" t="str">
        <f t="shared" si="4"/>
        <v/>
      </c>
    </row>
    <row r="26" spans="2:13" ht="13" x14ac:dyDescent="0.25">
      <c r="B26" s="146" t="s">
        <v>663</v>
      </c>
      <c r="C26" s="672" t="s">
        <v>662</v>
      </c>
      <c r="D26" s="15"/>
      <c r="E26" s="15"/>
      <c r="F26" s="24"/>
      <c r="G26" s="64"/>
      <c r="H26" s="17" t="str">
        <f t="shared" si="2"/>
        <v/>
      </c>
      <c r="I26" s="63"/>
      <c r="J26" s="61"/>
      <c r="K26" s="402"/>
      <c r="L26" s="420" t="str">
        <f t="shared" si="3"/>
        <v/>
      </c>
      <c r="M26" s="401" t="str">
        <f t="shared" si="4"/>
        <v/>
      </c>
    </row>
    <row r="27" spans="2:13" x14ac:dyDescent="0.25">
      <c r="B27" s="58"/>
      <c r="C27" s="70"/>
      <c r="D27" s="15"/>
      <c r="E27" s="15"/>
      <c r="F27" s="24"/>
      <c r="G27" s="64"/>
      <c r="H27" s="17" t="str">
        <f t="shared" si="2"/>
        <v/>
      </c>
      <c r="I27" s="63"/>
      <c r="J27" s="61"/>
      <c r="K27" s="399" t="str">
        <f>IF(D27="","",ROUND(Labour_perc_roads*H27,1))</f>
        <v/>
      </c>
      <c r="L27" s="420" t="str">
        <f t="shared" si="3"/>
        <v/>
      </c>
      <c r="M27" s="401" t="str">
        <f t="shared" si="4"/>
        <v/>
      </c>
    </row>
    <row r="28" spans="2:13" ht="37.5" x14ac:dyDescent="0.25">
      <c r="B28" s="58" t="s">
        <v>661</v>
      </c>
      <c r="C28" s="70" t="s">
        <v>660</v>
      </c>
      <c r="D28" s="15" t="s">
        <v>6</v>
      </c>
      <c r="E28" s="15"/>
      <c r="F28" s="24">
        <v>100</v>
      </c>
      <c r="G28" s="64">
        <v>300</v>
      </c>
      <c r="H28" s="17">
        <f t="shared" si="2"/>
        <v>30000</v>
      </c>
      <c r="I28" s="63"/>
      <c r="J28" s="61" t="s">
        <v>1721</v>
      </c>
      <c r="K28" s="399">
        <f>IF(D28="","",ROUND(Labour_perc_roads*G28,1))</f>
        <v>8.6999999999999993</v>
      </c>
      <c r="L28" s="420">
        <f t="shared" si="3"/>
        <v>869.99999999999989</v>
      </c>
      <c r="M28" s="401">
        <f t="shared" si="4"/>
        <v>2.8999999999999995E-2</v>
      </c>
    </row>
    <row r="29" spans="2:13" x14ac:dyDescent="0.25">
      <c r="B29" s="58"/>
      <c r="C29" s="65"/>
      <c r="D29" s="15"/>
      <c r="E29" s="15"/>
      <c r="F29" s="24"/>
      <c r="G29" s="421"/>
      <c r="H29" s="17" t="str">
        <f t="shared" si="2"/>
        <v/>
      </c>
      <c r="I29" s="63"/>
      <c r="J29" s="61"/>
      <c r="K29" s="62"/>
      <c r="L29" s="420" t="str">
        <f t="shared" si="3"/>
        <v/>
      </c>
      <c r="M29" s="401" t="str">
        <f t="shared" si="4"/>
        <v/>
      </c>
    </row>
    <row r="30" spans="2:13" ht="13" x14ac:dyDescent="0.25">
      <c r="B30" s="146" t="s">
        <v>659</v>
      </c>
      <c r="C30" s="790" t="s">
        <v>658</v>
      </c>
      <c r="D30" s="15"/>
      <c r="E30" s="15"/>
      <c r="F30" s="24"/>
      <c r="G30" s="64"/>
      <c r="H30" s="17" t="str">
        <f t="shared" si="2"/>
        <v/>
      </c>
      <c r="I30" s="57"/>
      <c r="J30" s="61"/>
      <c r="K30" s="577"/>
      <c r="L30" s="420" t="str">
        <f t="shared" si="3"/>
        <v/>
      </c>
      <c r="M30" s="401" t="str">
        <f t="shared" si="4"/>
        <v/>
      </c>
    </row>
    <row r="31" spans="2:13" x14ac:dyDescent="0.25">
      <c r="B31" s="58"/>
      <c r="C31" s="65"/>
      <c r="D31" s="15"/>
      <c r="E31" s="15"/>
      <c r="F31" s="24"/>
      <c r="G31" s="64"/>
      <c r="H31" s="17" t="str">
        <f t="shared" si="2"/>
        <v/>
      </c>
      <c r="I31" s="18"/>
      <c r="J31" s="61"/>
      <c r="K31" s="62"/>
      <c r="L31" s="420" t="str">
        <f t="shared" si="3"/>
        <v/>
      </c>
      <c r="M31" s="401" t="str">
        <f t="shared" si="4"/>
        <v/>
      </c>
    </row>
    <row r="32" spans="2:13" x14ac:dyDescent="0.25">
      <c r="B32" s="58" t="s">
        <v>657</v>
      </c>
      <c r="C32" s="65" t="s">
        <v>656</v>
      </c>
      <c r="D32" s="15" t="s">
        <v>34</v>
      </c>
      <c r="E32" s="15" t="s">
        <v>996</v>
      </c>
      <c r="F32" s="717">
        <f>F24/2*3</f>
        <v>21</v>
      </c>
      <c r="G32" s="64">
        <v>350</v>
      </c>
      <c r="H32" s="17">
        <f t="shared" si="2"/>
        <v>7350</v>
      </c>
      <c r="I32" s="57"/>
      <c r="J32" s="61" t="s">
        <v>1721</v>
      </c>
      <c r="K32" s="577">
        <f>_GPost</f>
        <v>179</v>
      </c>
      <c r="L32" s="420">
        <f t="shared" si="3"/>
        <v>3759</v>
      </c>
      <c r="M32" s="401">
        <f t="shared" si="4"/>
        <v>0.51142857142857145</v>
      </c>
    </row>
    <row r="33" spans="2:13" x14ac:dyDescent="0.25">
      <c r="B33" s="58"/>
      <c r="C33" s="65"/>
      <c r="D33" s="15"/>
      <c r="E33" s="15"/>
      <c r="F33" s="24"/>
      <c r="G33" s="64"/>
      <c r="H33" s="17" t="str">
        <f t="shared" si="2"/>
        <v/>
      </c>
      <c r="I33" s="18"/>
      <c r="J33" s="61"/>
      <c r="K33" s="62"/>
      <c r="L33" s="420" t="str">
        <f t="shared" si="3"/>
        <v/>
      </c>
      <c r="M33" s="401" t="str">
        <f t="shared" si="4"/>
        <v/>
      </c>
    </row>
    <row r="34" spans="2:13" ht="13" x14ac:dyDescent="0.25">
      <c r="B34" s="146" t="s">
        <v>655</v>
      </c>
      <c r="C34" s="672" t="s">
        <v>646</v>
      </c>
      <c r="D34" s="15"/>
      <c r="E34" s="15"/>
      <c r="F34" s="24"/>
      <c r="G34" s="27"/>
      <c r="H34" s="17" t="str">
        <f t="shared" si="2"/>
        <v/>
      </c>
      <c r="I34" s="18"/>
      <c r="J34" s="61"/>
      <c r="K34" s="62"/>
      <c r="L34" s="420" t="str">
        <f t="shared" si="3"/>
        <v/>
      </c>
      <c r="M34" s="401" t="str">
        <f t="shared" si="4"/>
        <v/>
      </c>
    </row>
    <row r="35" spans="2:13" x14ac:dyDescent="0.25">
      <c r="B35" s="58"/>
      <c r="C35" s="65"/>
      <c r="D35" s="15"/>
      <c r="E35" s="15"/>
      <c r="F35" s="24"/>
      <c r="G35" s="27"/>
      <c r="H35" s="17" t="str">
        <f t="shared" si="2"/>
        <v/>
      </c>
      <c r="I35" s="18"/>
      <c r="J35" s="61"/>
      <c r="K35" s="62"/>
      <c r="L35" s="420" t="str">
        <f t="shared" si="3"/>
        <v/>
      </c>
      <c r="M35" s="401" t="str">
        <f t="shared" si="4"/>
        <v/>
      </c>
    </row>
    <row r="36" spans="2:13" x14ac:dyDescent="0.25">
      <c r="B36" s="58" t="s">
        <v>654</v>
      </c>
      <c r="C36" s="70" t="s">
        <v>653</v>
      </c>
      <c r="D36" s="15" t="s">
        <v>34</v>
      </c>
      <c r="E36" s="15" t="s">
        <v>996</v>
      </c>
      <c r="F36" s="24">
        <v>300</v>
      </c>
      <c r="G36" s="64">
        <v>35</v>
      </c>
      <c r="H36" s="17">
        <f t="shared" si="2"/>
        <v>10500</v>
      </c>
      <c r="I36" s="57"/>
      <c r="J36" s="61" t="s">
        <v>1721</v>
      </c>
      <c r="K36" s="399">
        <f>IF(D36="","",ROUND(Labour_perc_roads*G36,1))</f>
        <v>1</v>
      </c>
      <c r="L36" s="420">
        <f t="shared" si="3"/>
        <v>300</v>
      </c>
      <c r="M36" s="401">
        <f t="shared" si="4"/>
        <v>2.8571428571428571E-2</v>
      </c>
    </row>
    <row r="37" spans="2:13" x14ac:dyDescent="0.25">
      <c r="B37" s="58"/>
      <c r="C37" s="65"/>
      <c r="D37" s="15"/>
      <c r="E37" s="15"/>
      <c r="F37" s="24"/>
      <c r="G37" s="27"/>
      <c r="H37" s="17" t="str">
        <f t="shared" si="2"/>
        <v/>
      </c>
      <c r="I37" s="18"/>
      <c r="J37" s="61"/>
      <c r="K37" s="62"/>
      <c r="L37" s="420" t="str">
        <f t="shared" si="3"/>
        <v/>
      </c>
      <c r="M37" s="401" t="str">
        <f t="shared" si="4"/>
        <v/>
      </c>
    </row>
    <row r="38" spans="2:13" ht="13" x14ac:dyDescent="0.25">
      <c r="B38" s="146" t="s">
        <v>652</v>
      </c>
      <c r="C38" s="672" t="s">
        <v>651</v>
      </c>
      <c r="D38" s="15" t="s">
        <v>6</v>
      </c>
      <c r="E38" s="15" t="s">
        <v>996</v>
      </c>
      <c r="F38" s="15">
        <v>100</v>
      </c>
      <c r="G38" s="64">
        <v>150</v>
      </c>
      <c r="H38" s="17">
        <f t="shared" si="2"/>
        <v>15000</v>
      </c>
      <c r="I38" s="18"/>
      <c r="J38" s="61" t="s">
        <v>1721</v>
      </c>
      <c r="K38" s="577">
        <f>_GRail</f>
        <v>55.1</v>
      </c>
      <c r="L38" s="420">
        <f t="shared" si="3"/>
        <v>5510</v>
      </c>
      <c r="M38" s="401">
        <f t="shared" si="4"/>
        <v>0.36733333333333335</v>
      </c>
    </row>
    <row r="39" spans="2:13" x14ac:dyDescent="0.25">
      <c r="B39" s="58"/>
      <c r="C39" s="800"/>
      <c r="D39" s="15"/>
      <c r="E39" s="15"/>
      <c r="F39" s="15"/>
      <c r="G39" s="16"/>
      <c r="H39" s="17" t="str">
        <f t="shared" si="2"/>
        <v/>
      </c>
      <c r="I39" s="18"/>
      <c r="J39" s="61"/>
      <c r="K39" s="62"/>
      <c r="L39" s="420" t="str">
        <f t="shared" si="3"/>
        <v/>
      </c>
      <c r="M39" s="401" t="str">
        <f t="shared" si="4"/>
        <v/>
      </c>
    </row>
    <row r="40" spans="2:13" ht="26" x14ac:dyDescent="0.25">
      <c r="B40" s="146" t="s">
        <v>648</v>
      </c>
      <c r="C40" s="789" t="s">
        <v>647</v>
      </c>
      <c r="D40" s="15"/>
      <c r="E40" s="15"/>
      <c r="F40" s="15"/>
      <c r="G40" s="64"/>
      <c r="H40" s="17" t="str">
        <f t="shared" si="2"/>
        <v/>
      </c>
      <c r="I40" s="18"/>
      <c r="J40" s="61"/>
      <c r="K40" s="577"/>
      <c r="L40" s="420" t="str">
        <f t="shared" si="3"/>
        <v/>
      </c>
      <c r="M40" s="401" t="str">
        <f t="shared" si="4"/>
        <v/>
      </c>
    </row>
    <row r="41" spans="2:13" x14ac:dyDescent="0.25">
      <c r="B41" s="58"/>
      <c r="C41" s="800"/>
      <c r="D41" s="15"/>
      <c r="E41" s="15"/>
      <c r="F41" s="15"/>
      <c r="G41" s="411"/>
      <c r="H41" s="17" t="str">
        <f t="shared" si="2"/>
        <v/>
      </c>
      <c r="I41" s="18"/>
      <c r="J41" s="61"/>
      <c r="K41" s="62"/>
      <c r="L41" s="420" t="str">
        <f t="shared" si="3"/>
        <v/>
      </c>
      <c r="M41" s="401" t="str">
        <f t="shared" si="4"/>
        <v/>
      </c>
    </row>
    <row r="42" spans="2:13" x14ac:dyDescent="0.25">
      <c r="B42" s="58" t="s">
        <v>645</v>
      </c>
      <c r="C42" s="65" t="s">
        <v>644</v>
      </c>
      <c r="D42" s="15" t="s">
        <v>34</v>
      </c>
      <c r="E42" s="15" t="s">
        <v>996</v>
      </c>
      <c r="F42" s="24">
        <v>300</v>
      </c>
      <c r="G42" s="411">
        <v>10</v>
      </c>
      <c r="H42" s="17">
        <f t="shared" si="2"/>
        <v>3000</v>
      </c>
      <c r="I42" s="18"/>
      <c r="J42" s="61" t="s">
        <v>1721</v>
      </c>
      <c r="K42" s="399">
        <f>IF(D42="","",ROUND(Labour_perc_roads*G42,1))</f>
        <v>0.3</v>
      </c>
      <c r="L42" s="420">
        <f t="shared" si="3"/>
        <v>90</v>
      </c>
      <c r="M42" s="401">
        <f t="shared" si="4"/>
        <v>0.03</v>
      </c>
    </row>
    <row r="43" spans="2:13" x14ac:dyDescent="0.25">
      <c r="B43" s="58"/>
      <c r="C43" s="65"/>
      <c r="D43" s="15"/>
      <c r="E43" s="15"/>
      <c r="F43" s="24"/>
      <c r="G43" s="411"/>
      <c r="H43" s="17" t="str">
        <f t="shared" si="2"/>
        <v/>
      </c>
      <c r="I43" s="18"/>
      <c r="J43" s="61"/>
      <c r="K43" s="399" t="str">
        <f t="shared" ref="K43" si="5">IF(D43="","",ROUND(Labour_perc_roads*H43,1))</f>
        <v/>
      </c>
      <c r="L43" s="420" t="str">
        <f t="shared" si="3"/>
        <v/>
      </c>
      <c r="M43" s="401" t="str">
        <f t="shared" si="4"/>
        <v/>
      </c>
    </row>
    <row r="44" spans="2:13" ht="25" x14ac:dyDescent="0.25">
      <c r="B44" s="58" t="s">
        <v>643</v>
      </c>
      <c r="C44" s="70" t="s">
        <v>642</v>
      </c>
      <c r="D44" s="15" t="s">
        <v>34</v>
      </c>
      <c r="E44" s="15" t="s">
        <v>996</v>
      </c>
      <c r="F44" s="24">
        <v>300</v>
      </c>
      <c r="G44" s="422">
        <v>15</v>
      </c>
      <c r="H44" s="17">
        <f t="shared" si="2"/>
        <v>4500</v>
      </c>
      <c r="I44" s="57"/>
      <c r="J44" s="61" t="s">
        <v>1721</v>
      </c>
      <c r="K44" s="399">
        <f>IF(D44="","",ROUND(Labour_perc_roads*G44,1))</f>
        <v>0.4</v>
      </c>
      <c r="L44" s="420">
        <f t="shared" si="3"/>
        <v>120</v>
      </c>
      <c r="M44" s="401">
        <f t="shared" si="4"/>
        <v>2.6666666666666668E-2</v>
      </c>
    </row>
    <row r="45" spans="2:13" x14ac:dyDescent="0.25">
      <c r="B45" s="58"/>
      <c r="C45" s="65"/>
      <c r="D45" s="15"/>
      <c r="E45" s="15"/>
      <c r="F45" s="24"/>
      <c r="G45" s="411"/>
      <c r="H45" s="17" t="str">
        <f t="shared" si="2"/>
        <v/>
      </c>
      <c r="I45" s="18"/>
      <c r="J45" s="61"/>
      <c r="K45" s="399" t="str">
        <f t="shared" ref="K45" si="6">IF(D45="","",ROUND(Labour_perc_roads*H45,1))</f>
        <v/>
      </c>
      <c r="L45" s="420" t="str">
        <f t="shared" si="3"/>
        <v/>
      </c>
      <c r="M45" s="401" t="str">
        <f t="shared" si="4"/>
        <v/>
      </c>
    </row>
    <row r="46" spans="2:13" ht="25" x14ac:dyDescent="0.25">
      <c r="B46" s="58" t="s">
        <v>641</v>
      </c>
      <c r="C46" s="65" t="s">
        <v>640</v>
      </c>
      <c r="D46" s="15" t="s">
        <v>34</v>
      </c>
      <c r="E46" s="15" t="s">
        <v>996</v>
      </c>
      <c r="F46" s="24">
        <v>300</v>
      </c>
      <c r="G46" s="423">
        <v>25</v>
      </c>
      <c r="H46" s="17">
        <f t="shared" si="2"/>
        <v>7500</v>
      </c>
      <c r="I46" s="18"/>
      <c r="J46" s="61" t="s">
        <v>1721</v>
      </c>
      <c r="K46" s="399">
        <f>IF(D46="","",ROUND(Labour_perc_roads*G46,1))</f>
        <v>0.7</v>
      </c>
      <c r="L46" s="420">
        <f t="shared" si="3"/>
        <v>210</v>
      </c>
      <c r="M46" s="401">
        <f t="shared" si="4"/>
        <v>2.8000000000000001E-2</v>
      </c>
    </row>
    <row r="47" spans="2:13" x14ac:dyDescent="0.25">
      <c r="B47" s="58"/>
      <c r="C47" s="800"/>
      <c r="D47" s="15"/>
      <c r="E47" s="15"/>
      <c r="F47" s="15"/>
      <c r="G47" s="411"/>
      <c r="H47" s="17" t="str">
        <f t="shared" si="2"/>
        <v/>
      </c>
      <c r="I47" s="18"/>
      <c r="J47" s="61"/>
      <c r="K47" s="399" t="str">
        <f t="shared" ref="K47" si="7">IF(D47="","",ROUND(Labour_perc_roads*H47,1))</f>
        <v/>
      </c>
      <c r="L47" s="420" t="str">
        <f t="shared" si="3"/>
        <v/>
      </c>
      <c r="M47" s="401" t="str">
        <f t="shared" si="4"/>
        <v/>
      </c>
    </row>
    <row r="48" spans="2:13" x14ac:dyDescent="0.25">
      <c r="B48" s="58" t="s">
        <v>639</v>
      </c>
      <c r="C48" s="65" t="s">
        <v>2007</v>
      </c>
      <c r="D48" s="15" t="s">
        <v>34</v>
      </c>
      <c r="E48" s="15" t="s">
        <v>996</v>
      </c>
      <c r="F48" s="15">
        <v>300</v>
      </c>
      <c r="G48" s="422">
        <v>10</v>
      </c>
      <c r="H48" s="17">
        <f t="shared" si="2"/>
        <v>3000</v>
      </c>
      <c r="I48" s="18"/>
      <c r="J48" s="61" t="s">
        <v>1721</v>
      </c>
      <c r="K48" s="399">
        <f>IF(D48="","",ROUND(Labour_perc_roads*G48,1))</f>
        <v>0.3</v>
      </c>
      <c r="L48" s="420">
        <f t="shared" si="3"/>
        <v>90</v>
      </c>
      <c r="M48" s="401">
        <f t="shared" si="4"/>
        <v>0.03</v>
      </c>
    </row>
    <row r="49" spans="2:13" x14ac:dyDescent="0.25">
      <c r="B49" s="58"/>
      <c r="C49" s="65"/>
      <c r="D49" s="15"/>
      <c r="E49" s="15"/>
      <c r="F49" s="15"/>
      <c r="G49" s="422"/>
      <c r="H49" s="17" t="str">
        <f t="shared" si="2"/>
        <v/>
      </c>
      <c r="I49" s="18"/>
      <c r="J49" s="61"/>
      <c r="K49" s="62"/>
      <c r="L49" s="420" t="str">
        <f t="shared" si="3"/>
        <v/>
      </c>
      <c r="M49" s="401" t="str">
        <f t="shared" si="4"/>
        <v/>
      </c>
    </row>
    <row r="50" spans="2:13" ht="26" x14ac:dyDescent="0.25">
      <c r="B50" s="146" t="s">
        <v>638</v>
      </c>
      <c r="C50" s="672" t="s">
        <v>637</v>
      </c>
      <c r="D50" s="15" t="s">
        <v>34</v>
      </c>
      <c r="E50" s="15" t="s">
        <v>996</v>
      </c>
      <c r="F50" s="697">
        <v>500</v>
      </c>
      <c r="G50" s="422">
        <v>12</v>
      </c>
      <c r="H50" s="17">
        <f t="shared" si="2"/>
        <v>6000</v>
      </c>
      <c r="I50" s="18"/>
      <c r="J50" s="61" t="s">
        <v>1721</v>
      </c>
      <c r="K50" s="399">
        <f>IF(D50="","",ROUND(Labour_perc_roads*G50,1))</f>
        <v>0.3</v>
      </c>
      <c r="L50" s="420">
        <f t="shared" si="3"/>
        <v>150</v>
      </c>
      <c r="M50" s="401">
        <f t="shared" si="4"/>
        <v>2.5000000000000001E-2</v>
      </c>
    </row>
    <row r="51" spans="2:13" x14ac:dyDescent="0.25">
      <c r="B51" s="58"/>
      <c r="C51" s="65"/>
      <c r="D51" s="15"/>
      <c r="E51" s="15"/>
      <c r="F51" s="15"/>
      <c r="G51" s="422"/>
      <c r="H51" s="17" t="str">
        <f t="shared" si="2"/>
        <v/>
      </c>
      <c r="I51" s="18"/>
      <c r="J51" s="61"/>
      <c r="K51" s="62"/>
      <c r="L51" s="420" t="str">
        <f t="shared" si="3"/>
        <v/>
      </c>
      <c r="M51" s="401" t="str">
        <f t="shared" si="4"/>
        <v/>
      </c>
    </row>
    <row r="52" spans="2:13" ht="39" x14ac:dyDescent="0.25">
      <c r="B52" s="146" t="s">
        <v>2008</v>
      </c>
      <c r="C52" s="672" t="s">
        <v>2050</v>
      </c>
      <c r="D52" s="15" t="s">
        <v>23</v>
      </c>
      <c r="E52" s="15" t="s">
        <v>996</v>
      </c>
      <c r="F52" s="61">
        <v>10</v>
      </c>
      <c r="G52" s="422">
        <v>1600</v>
      </c>
      <c r="H52" s="17">
        <f t="shared" si="2"/>
        <v>16000</v>
      </c>
      <c r="I52" s="69"/>
      <c r="J52" s="61" t="s">
        <v>996</v>
      </c>
      <c r="K52" s="399">
        <f>_Mix</f>
        <v>392</v>
      </c>
      <c r="L52" s="420">
        <f t="shared" si="3"/>
        <v>3920</v>
      </c>
      <c r="M52" s="401">
        <f t="shared" si="4"/>
        <v>0.245</v>
      </c>
    </row>
    <row r="53" spans="2:13" x14ac:dyDescent="0.25">
      <c r="B53" s="58"/>
      <c r="C53" s="786"/>
      <c r="D53" s="15"/>
      <c r="E53" s="15"/>
      <c r="F53" s="61"/>
      <c r="G53" s="422"/>
      <c r="H53" s="17" t="str">
        <f t="shared" si="2"/>
        <v/>
      </c>
      <c r="I53" s="69"/>
      <c r="J53" s="61"/>
      <c r="K53" s="62"/>
      <c r="L53" s="420" t="str">
        <f t="shared" si="3"/>
        <v/>
      </c>
      <c r="M53" s="401" t="str">
        <f t="shared" si="4"/>
        <v/>
      </c>
    </row>
    <row r="54" spans="2:13" x14ac:dyDescent="0.25">
      <c r="B54" s="58"/>
      <c r="C54" s="65"/>
      <c r="D54" s="590"/>
      <c r="E54" s="590"/>
      <c r="F54" s="717"/>
      <c r="G54" s="718"/>
      <c r="H54" s="17" t="str">
        <f t="shared" si="2"/>
        <v/>
      </c>
      <c r="I54" s="69"/>
      <c r="J54" s="61"/>
      <c r="K54" s="399"/>
      <c r="L54" s="420" t="str">
        <f t="shared" si="3"/>
        <v/>
      </c>
      <c r="M54" s="401" t="str">
        <f t="shared" si="4"/>
        <v/>
      </c>
    </row>
    <row r="55" spans="2:13" ht="13" x14ac:dyDescent="0.25">
      <c r="B55" s="58"/>
      <c r="C55" s="672"/>
      <c r="D55" s="15"/>
      <c r="E55" s="15"/>
      <c r="F55" s="15"/>
      <c r="G55" s="424"/>
      <c r="H55" s="17" t="str">
        <f t="shared" si="2"/>
        <v/>
      </c>
      <c r="I55" s="69"/>
      <c r="J55" s="61"/>
      <c r="K55" s="62"/>
      <c r="L55" s="420" t="str">
        <f t="shared" si="3"/>
        <v/>
      </c>
      <c r="M55" s="401" t="str">
        <f t="shared" si="4"/>
        <v/>
      </c>
    </row>
    <row r="56" spans="2:13" x14ac:dyDescent="0.25">
      <c r="B56" s="58"/>
      <c r="C56" s="65"/>
      <c r="D56" s="15"/>
      <c r="E56" s="15"/>
      <c r="F56" s="15"/>
      <c r="G56" s="424"/>
      <c r="H56" s="17" t="str">
        <f t="shared" si="2"/>
        <v/>
      </c>
      <c r="I56" s="18"/>
      <c r="J56" s="61"/>
      <c r="K56" s="62"/>
      <c r="L56" s="420" t="str">
        <f t="shared" si="3"/>
        <v/>
      </c>
      <c r="M56" s="401" t="str">
        <f t="shared" si="4"/>
        <v/>
      </c>
    </row>
    <row r="57" spans="2:13" x14ac:dyDescent="0.25">
      <c r="B57" s="58"/>
      <c r="C57" s="65"/>
      <c r="D57" s="15"/>
      <c r="E57" s="15"/>
      <c r="F57" s="15"/>
      <c r="G57" s="424"/>
      <c r="H57" s="17" t="str">
        <f t="shared" si="2"/>
        <v/>
      </c>
      <c r="I57" s="69"/>
      <c r="J57" s="61"/>
      <c r="K57" s="62"/>
      <c r="L57" s="420" t="str">
        <f t="shared" ref="L57" si="8">IF(J57="","",F57*K57)</f>
        <v/>
      </c>
      <c r="M57" s="401" t="str">
        <f t="shared" ref="M57" si="9">IF(J57="","",IF(SUM(H57)=0,"",L57/H57))</f>
        <v/>
      </c>
    </row>
    <row r="58" spans="2:13" x14ac:dyDescent="0.25">
      <c r="B58" s="58"/>
      <c r="C58" s="65"/>
      <c r="D58" s="15"/>
      <c r="E58" s="15"/>
      <c r="F58" s="15"/>
      <c r="G58" s="424"/>
      <c r="H58" s="17" t="str">
        <f t="shared" si="2"/>
        <v/>
      </c>
      <c r="I58" s="69"/>
      <c r="J58" s="61"/>
      <c r="K58" s="62"/>
      <c r="L58" s="420" t="str">
        <f t="shared" si="3"/>
        <v/>
      </c>
      <c r="M58" s="401" t="str">
        <f t="shared" si="4"/>
        <v/>
      </c>
    </row>
    <row r="59" spans="2:13" x14ac:dyDescent="0.25">
      <c r="B59" s="58"/>
      <c r="C59" s="65"/>
      <c r="D59" s="15"/>
      <c r="E59" s="15"/>
      <c r="F59" s="15"/>
      <c r="G59" s="424"/>
      <c r="H59" s="17" t="str">
        <f t="shared" si="2"/>
        <v/>
      </c>
      <c r="I59" s="69"/>
      <c r="J59" s="61"/>
      <c r="K59" s="62"/>
      <c r="L59" s="420" t="str">
        <f t="shared" si="3"/>
        <v/>
      </c>
      <c r="M59" s="401" t="str">
        <f t="shared" si="4"/>
        <v/>
      </c>
    </row>
    <row r="60" spans="2:13" x14ac:dyDescent="0.25">
      <c r="B60" s="58"/>
      <c r="C60" s="786"/>
      <c r="D60" s="15"/>
      <c r="E60" s="15"/>
      <c r="F60" s="61"/>
      <c r="G60" s="422"/>
      <c r="H60" s="17" t="str">
        <f t="shared" si="2"/>
        <v/>
      </c>
      <c r="I60" s="69"/>
      <c r="J60" s="61"/>
      <c r="K60" s="62"/>
      <c r="L60" s="420" t="str">
        <f t="shared" si="3"/>
        <v/>
      </c>
      <c r="M60" s="401" t="str">
        <f t="shared" si="4"/>
        <v/>
      </c>
    </row>
    <row r="61" spans="2:13" x14ac:dyDescent="0.25">
      <c r="B61" s="58"/>
      <c r="C61" s="786"/>
      <c r="D61" s="15"/>
      <c r="E61" s="15"/>
      <c r="F61" s="61"/>
      <c r="G61" s="422"/>
      <c r="H61" s="17" t="str">
        <f t="shared" si="2"/>
        <v/>
      </c>
      <c r="I61" s="69"/>
      <c r="J61" s="61"/>
      <c r="K61" s="62"/>
      <c r="L61" s="420" t="str">
        <f t="shared" si="3"/>
        <v/>
      </c>
      <c r="M61" s="401" t="str">
        <f t="shared" si="4"/>
        <v/>
      </c>
    </row>
    <row r="62" spans="2:13" x14ac:dyDescent="0.25">
      <c r="B62" s="58"/>
      <c r="C62" s="786"/>
      <c r="D62" s="15"/>
      <c r="E62" s="15"/>
      <c r="F62" s="61"/>
      <c r="G62" s="422"/>
      <c r="H62" s="17" t="str">
        <f t="shared" si="2"/>
        <v/>
      </c>
      <c r="I62" s="69"/>
      <c r="J62" s="61"/>
      <c r="K62" s="62"/>
      <c r="L62" s="420"/>
      <c r="M62" s="401"/>
    </row>
    <row r="63" spans="2:13" x14ac:dyDescent="0.25">
      <c r="B63" s="58"/>
      <c r="C63" s="786"/>
      <c r="D63" s="15"/>
      <c r="E63" s="15"/>
      <c r="F63" s="61"/>
      <c r="G63" s="422"/>
      <c r="H63" s="17" t="str">
        <f t="shared" si="2"/>
        <v/>
      </c>
      <c r="I63" s="69"/>
      <c r="J63" s="61"/>
      <c r="K63" s="62"/>
      <c r="L63" s="420"/>
      <c r="M63" s="401"/>
    </row>
    <row r="64" spans="2:13" x14ac:dyDescent="0.25">
      <c r="B64" s="58"/>
      <c r="C64" s="786"/>
      <c r="D64" s="15"/>
      <c r="E64" s="15"/>
      <c r="F64" s="61"/>
      <c r="G64" s="422"/>
      <c r="H64" s="17" t="str">
        <f t="shared" si="2"/>
        <v/>
      </c>
      <c r="I64" s="69"/>
      <c r="J64" s="61"/>
      <c r="K64" s="62"/>
      <c r="L64" s="420"/>
      <c r="M64" s="401"/>
    </row>
    <row r="65" spans="2:13" x14ac:dyDescent="0.25">
      <c r="B65" s="58"/>
      <c r="C65" s="786"/>
      <c r="D65" s="15"/>
      <c r="E65" s="15"/>
      <c r="F65" s="61"/>
      <c r="G65" s="422"/>
      <c r="H65" s="17" t="str">
        <f t="shared" si="2"/>
        <v/>
      </c>
      <c r="I65" s="69"/>
      <c r="J65" s="61"/>
      <c r="K65" s="62"/>
      <c r="L65" s="420"/>
      <c r="M65" s="401"/>
    </row>
    <row r="66" spans="2:13" x14ac:dyDescent="0.25">
      <c r="B66" s="58"/>
      <c r="C66" s="786"/>
      <c r="D66" s="15"/>
      <c r="E66" s="15"/>
      <c r="F66" s="61"/>
      <c r="G66" s="422"/>
      <c r="H66" s="17" t="str">
        <f t="shared" si="2"/>
        <v/>
      </c>
      <c r="I66" s="69"/>
      <c r="J66" s="61"/>
      <c r="K66" s="62"/>
      <c r="L66" s="420" t="str">
        <f t="shared" si="3"/>
        <v/>
      </c>
      <c r="M66" s="401" t="str">
        <f t="shared" si="4"/>
        <v/>
      </c>
    </row>
    <row r="67" spans="2:13" x14ac:dyDescent="0.25">
      <c r="B67" s="58"/>
      <c r="C67" s="786"/>
      <c r="D67" s="15"/>
      <c r="E67" s="15"/>
      <c r="F67" s="61"/>
      <c r="G67" s="422"/>
      <c r="H67" s="17" t="str">
        <f t="shared" si="2"/>
        <v/>
      </c>
      <c r="I67" s="69"/>
      <c r="J67" s="61"/>
      <c r="K67" s="62"/>
      <c r="L67" s="420" t="str">
        <f t="shared" si="3"/>
        <v/>
      </c>
      <c r="M67" s="401" t="str">
        <f t="shared" si="4"/>
        <v/>
      </c>
    </row>
    <row r="68" spans="2:13" x14ac:dyDescent="0.25">
      <c r="B68" s="58"/>
      <c r="C68" s="65"/>
      <c r="D68" s="15"/>
      <c r="E68" s="15"/>
      <c r="F68" s="15"/>
      <c r="G68" s="411"/>
      <c r="H68" s="17" t="str">
        <f t="shared" si="2"/>
        <v/>
      </c>
      <c r="I68" s="18"/>
      <c r="J68" s="592"/>
      <c r="K68" s="711"/>
      <c r="L68" s="420" t="str">
        <f t="shared" si="3"/>
        <v/>
      </c>
      <c r="M68" s="401" t="str">
        <f t="shared" si="4"/>
        <v/>
      </c>
    </row>
    <row r="69" spans="2:13" s="28" customFormat="1" ht="19.5" customHeight="1" x14ac:dyDescent="0.25">
      <c r="B69" s="135" t="str">
        <f>$B$12</f>
        <v>C11.4</v>
      </c>
      <c r="C69" s="30" t="str">
        <f>"TOTAL CARRIED FORWARD"&amp;IF(H69=H$1," TO SUMMARY","")</f>
        <v>TOTAL CARRIED FORWARD TO SUMMARY</v>
      </c>
      <c r="D69" s="31"/>
      <c r="E69" s="31"/>
      <c r="F69" s="32"/>
      <c r="G69" s="31"/>
      <c r="H69" s="33">
        <f>SUM(H11:H68)</f>
        <v>1075350</v>
      </c>
      <c r="I69" s="34"/>
      <c r="J69" s="408"/>
      <c r="K69" s="406"/>
      <c r="L69" s="418">
        <f>SUM(L11:L68)</f>
        <v>121174.2</v>
      </c>
      <c r="M69" s="407" t="str">
        <f t="shared" si="4"/>
        <v/>
      </c>
    </row>
    <row r="70" spans="2:13" ht="13" x14ac:dyDescent="0.25">
      <c r="B70" s="1108" t="str">
        <f>Client1</f>
        <v>Province of KwaZulu-Natal</v>
      </c>
      <c r="C70" s="1108"/>
      <c r="D70" s="1108"/>
      <c r="E70" s="87"/>
      <c r="F70" s="1109" t="str">
        <f>"Contract No. "&amp;ContractNo</f>
        <v>Contract No. ZNB 00399/00000/HOD/INF/21/T</v>
      </c>
      <c r="G70" s="1109"/>
      <c r="H70" s="1109"/>
    </row>
    <row r="71" spans="2:13" ht="13" x14ac:dyDescent="0.25">
      <c r="B71" s="1108" t="str">
        <f>Client2</f>
        <v>Department of Transport</v>
      </c>
      <c r="C71" s="1108"/>
      <c r="D71" s="1108"/>
      <c r="E71" s="87"/>
      <c r="F71" s="1109"/>
      <c r="G71" s="1109"/>
      <c r="H71" s="1109"/>
    </row>
    <row r="72" spans="2:13" x14ac:dyDescent="0.25">
      <c r="B72" s="1111"/>
      <c r="C72" s="1111"/>
      <c r="D72" s="1111"/>
      <c r="E72" s="78"/>
      <c r="F72" s="1110"/>
      <c r="G72" s="1110"/>
      <c r="H72" s="1110"/>
    </row>
    <row r="73" spans="2:13" ht="13" x14ac:dyDescent="0.25">
      <c r="B73" s="1112" t="s">
        <v>8</v>
      </c>
      <c r="C73" s="1113"/>
      <c r="D73" s="1113"/>
      <c r="E73" s="1113"/>
      <c r="F73" s="1113"/>
      <c r="G73" s="1113"/>
      <c r="H73" s="1128" t="str">
        <f>$H$6</f>
        <v>CHAPTER C11.4</v>
      </c>
      <c r="I73" s="6"/>
    </row>
    <row r="74" spans="2:13" ht="13" x14ac:dyDescent="0.25">
      <c r="B74" s="1117" t="str">
        <f>ContractDescription</f>
        <v>THE CONSTRUCTION OF EARTHWORKS, LAYERWORKS, SURFACING, CULVERTS AND CWAKA RIVER BRIDGE FROM KM 11.600 TO KM 14.000 ON MAIN ROAD P494 IN THE KING CETSHWAYO DISTRICT UNDER EMPANGENI REGION</v>
      </c>
      <c r="C74" s="1118"/>
      <c r="D74" s="1118"/>
      <c r="E74" s="1118"/>
      <c r="F74" s="1118"/>
      <c r="G74" s="1118"/>
      <c r="H74" s="1109"/>
      <c r="I74" s="8"/>
    </row>
    <row r="75" spans="2:13" ht="13" x14ac:dyDescent="0.25">
      <c r="B75" s="1117"/>
      <c r="C75" s="1118"/>
      <c r="D75" s="1118"/>
      <c r="E75" s="1118"/>
      <c r="F75" s="1118"/>
      <c r="G75" s="1118"/>
      <c r="H75" s="1109"/>
      <c r="I75" s="8"/>
    </row>
    <row r="76" spans="2:13" ht="13" x14ac:dyDescent="0.25">
      <c r="B76" s="1119"/>
      <c r="C76" s="1120"/>
      <c r="D76" s="1120"/>
      <c r="E76" s="1120"/>
      <c r="F76" s="1120"/>
      <c r="G76" s="1120"/>
      <c r="H76" s="1110"/>
      <c r="I76" s="8"/>
    </row>
    <row r="77" spans="2:13" s="9" customFormat="1" ht="25" customHeight="1" x14ac:dyDescent="0.25">
      <c r="B77" s="74" t="s">
        <v>0</v>
      </c>
      <c r="C77" s="11" t="s">
        <v>1</v>
      </c>
      <c r="D77" s="11" t="s">
        <v>2</v>
      </c>
      <c r="E77" s="11"/>
      <c r="F77" s="11" t="s">
        <v>3</v>
      </c>
      <c r="G77" s="11" t="s">
        <v>4</v>
      </c>
      <c r="H77" s="11" t="s">
        <v>5</v>
      </c>
      <c r="I77" s="12"/>
      <c r="J77" s="408" t="s">
        <v>996</v>
      </c>
      <c r="K77" s="253" t="s">
        <v>997</v>
      </c>
      <c r="L77" s="253" t="s">
        <v>998</v>
      </c>
      <c r="M77" s="253" t="s">
        <v>999</v>
      </c>
    </row>
    <row r="78" spans="2:13" s="28" customFormat="1" ht="19.5" customHeight="1" x14ac:dyDescent="0.25">
      <c r="B78" s="80"/>
      <c r="C78" s="30" t="s">
        <v>27</v>
      </c>
      <c r="D78" s="31"/>
      <c r="E78" s="31"/>
      <c r="F78" s="32"/>
      <c r="G78" s="31"/>
      <c r="H78" s="33">
        <f>H69</f>
        <v>1075350</v>
      </c>
      <c r="I78" s="34"/>
      <c r="J78" s="416"/>
      <c r="K78" s="409"/>
      <c r="L78" s="419">
        <f>L69</f>
        <v>121174.2</v>
      </c>
      <c r="M78" s="410" t="str">
        <f t="shared" ref="M78:M79" si="10">IF(J78="","",IF(SUM(H78)=0,"",L78/H78))</f>
        <v/>
      </c>
    </row>
    <row r="79" spans="2:13" x14ac:dyDescent="0.25">
      <c r="B79" s="46"/>
      <c r="C79" s="14"/>
      <c r="D79" s="15"/>
      <c r="E79" s="15"/>
      <c r="F79" s="15"/>
      <c r="G79" s="16"/>
      <c r="H79" s="17" t="str">
        <f t="shared" ref="H79:H140" si="11">IF(D79="","",F79*G79)</f>
        <v/>
      </c>
      <c r="I79" s="18"/>
      <c r="J79" s="61"/>
      <c r="K79" s="399"/>
      <c r="L79" s="420" t="str">
        <f t="shared" ref="L79" si="12">IF(J79="","",F79*K79)</f>
        <v/>
      </c>
      <c r="M79" s="401" t="str">
        <f t="shared" si="10"/>
        <v/>
      </c>
    </row>
    <row r="80" spans="2:13" ht="13" x14ac:dyDescent="0.25">
      <c r="B80" s="46"/>
      <c r="C80" s="19"/>
      <c r="D80" s="15"/>
      <c r="E80" s="15"/>
      <c r="F80" s="15"/>
      <c r="G80" s="424"/>
      <c r="H80" s="17" t="str">
        <f t="shared" si="11"/>
        <v/>
      </c>
      <c r="I80" s="18"/>
      <c r="J80" s="61"/>
      <c r="K80" s="399"/>
      <c r="L80" s="420" t="str">
        <f t="shared" ref="L80:L140" si="13">IF(J80="","",F80*K80)</f>
        <v/>
      </c>
      <c r="M80" s="401" t="str">
        <f t="shared" ref="M80:M141" si="14">IF(J80="","",IF(SUM(H80)=0,"",L80/H80))</f>
        <v/>
      </c>
    </row>
    <row r="81" spans="2:13" x14ac:dyDescent="0.25">
      <c r="B81" s="46"/>
      <c r="C81" s="14"/>
      <c r="D81" s="15"/>
      <c r="E81" s="15"/>
      <c r="F81" s="15"/>
      <c r="G81" s="424"/>
      <c r="H81" s="17" t="str">
        <f t="shared" si="11"/>
        <v/>
      </c>
      <c r="I81" s="18"/>
      <c r="J81" s="61"/>
      <c r="K81" s="399"/>
      <c r="L81" s="420" t="str">
        <f t="shared" si="13"/>
        <v/>
      </c>
      <c r="M81" s="401" t="str">
        <f t="shared" si="14"/>
        <v/>
      </c>
    </row>
    <row r="82" spans="2:13" x14ac:dyDescent="0.25">
      <c r="B82" s="46"/>
      <c r="C82" s="14"/>
      <c r="D82" s="15"/>
      <c r="E82" s="15"/>
      <c r="F82" s="15"/>
      <c r="G82" s="424"/>
      <c r="H82" s="17" t="str">
        <f t="shared" si="11"/>
        <v/>
      </c>
      <c r="I82" s="18"/>
      <c r="J82" s="61"/>
      <c r="K82" s="399"/>
      <c r="L82" s="420" t="str">
        <f t="shared" si="13"/>
        <v/>
      </c>
      <c r="M82" s="401" t="str">
        <f t="shared" si="14"/>
        <v/>
      </c>
    </row>
    <row r="83" spans="2:13" x14ac:dyDescent="0.25">
      <c r="B83" s="46"/>
      <c r="C83" s="14"/>
      <c r="D83" s="15"/>
      <c r="E83" s="15"/>
      <c r="F83" s="15"/>
      <c r="G83" s="424"/>
      <c r="H83" s="17" t="str">
        <f t="shared" si="11"/>
        <v/>
      </c>
      <c r="I83" s="18"/>
      <c r="J83" s="61"/>
      <c r="K83" s="400"/>
      <c r="L83" s="420" t="str">
        <f t="shared" si="13"/>
        <v/>
      </c>
      <c r="M83" s="401" t="str">
        <f t="shared" si="14"/>
        <v/>
      </c>
    </row>
    <row r="84" spans="2:13" x14ac:dyDescent="0.25">
      <c r="B84" s="46"/>
      <c r="C84" s="14"/>
      <c r="D84" s="15"/>
      <c r="E84" s="15"/>
      <c r="F84" s="15"/>
      <c r="G84" s="424"/>
      <c r="H84" s="17" t="str">
        <f t="shared" si="11"/>
        <v/>
      </c>
      <c r="I84" s="57"/>
      <c r="J84" s="61"/>
      <c r="K84" s="399"/>
      <c r="L84" s="420" t="str">
        <f t="shared" si="13"/>
        <v/>
      </c>
      <c r="M84" s="401" t="str">
        <f t="shared" si="14"/>
        <v/>
      </c>
    </row>
    <row r="85" spans="2:13" x14ac:dyDescent="0.25">
      <c r="B85" s="58"/>
      <c r="C85" s="14"/>
      <c r="D85" s="15"/>
      <c r="E85" s="15"/>
      <c r="F85" s="24"/>
      <c r="G85" s="16"/>
      <c r="H85" s="17" t="str">
        <f t="shared" si="11"/>
        <v/>
      </c>
      <c r="I85" s="18"/>
      <c r="J85" s="61"/>
      <c r="K85" s="399"/>
      <c r="L85" s="420" t="str">
        <f t="shared" si="13"/>
        <v/>
      </c>
      <c r="M85" s="401" t="str">
        <f t="shared" si="14"/>
        <v/>
      </c>
    </row>
    <row r="86" spans="2:13" x14ac:dyDescent="0.25">
      <c r="B86" s="46"/>
      <c r="C86" s="14"/>
      <c r="D86" s="15"/>
      <c r="E86" s="15"/>
      <c r="F86" s="24"/>
      <c r="G86" s="59"/>
      <c r="H86" s="17" t="str">
        <f t="shared" si="11"/>
        <v/>
      </c>
      <c r="I86" s="18"/>
      <c r="J86" s="61"/>
      <c r="K86" s="399"/>
      <c r="L86" s="420" t="str">
        <f t="shared" si="13"/>
        <v/>
      </c>
      <c r="M86" s="401" t="str">
        <f t="shared" si="14"/>
        <v/>
      </c>
    </row>
    <row r="87" spans="2:13" x14ac:dyDescent="0.25">
      <c r="B87" s="58"/>
      <c r="C87" s="14"/>
      <c r="D87" s="15"/>
      <c r="E87" s="15"/>
      <c r="F87" s="24"/>
      <c r="G87" s="16"/>
      <c r="H87" s="17" t="str">
        <f t="shared" si="11"/>
        <v/>
      </c>
      <c r="I87" s="60"/>
      <c r="J87" s="61"/>
      <c r="K87" s="402"/>
      <c r="L87" s="420" t="str">
        <f t="shared" si="13"/>
        <v/>
      </c>
      <c r="M87" s="401" t="str">
        <f t="shared" si="14"/>
        <v/>
      </c>
    </row>
    <row r="88" spans="2:13" x14ac:dyDescent="0.25">
      <c r="B88" s="46"/>
      <c r="C88" s="26"/>
      <c r="D88" s="15"/>
      <c r="E88" s="15"/>
      <c r="F88" s="24"/>
      <c r="G88" s="62"/>
      <c r="H88" s="17" t="str">
        <f t="shared" si="11"/>
        <v/>
      </c>
      <c r="I88" s="63"/>
      <c r="J88" s="61"/>
      <c r="K88" s="402"/>
      <c r="L88" s="420" t="str">
        <f t="shared" si="13"/>
        <v/>
      </c>
      <c r="M88" s="401" t="str">
        <f t="shared" si="14"/>
        <v/>
      </c>
    </row>
    <row r="89" spans="2:13" x14ac:dyDescent="0.25">
      <c r="B89" s="58"/>
      <c r="C89" s="25"/>
      <c r="D89" s="61"/>
      <c r="E89" s="61"/>
      <c r="F89" s="24"/>
      <c r="G89" s="62"/>
      <c r="H89" s="17" t="str">
        <f t="shared" si="11"/>
        <v/>
      </c>
      <c r="I89" s="63"/>
      <c r="J89" s="61"/>
      <c r="K89" s="402"/>
      <c r="L89" s="420" t="str">
        <f t="shared" si="13"/>
        <v/>
      </c>
      <c r="M89" s="401" t="str">
        <f t="shared" si="14"/>
        <v/>
      </c>
    </row>
    <row r="90" spans="2:13" x14ac:dyDescent="0.25">
      <c r="B90" s="46"/>
      <c r="C90" s="14"/>
      <c r="D90" s="15"/>
      <c r="E90" s="15"/>
      <c r="F90" s="24"/>
      <c r="G90" s="64"/>
      <c r="H90" s="17" t="str">
        <f t="shared" si="11"/>
        <v/>
      </c>
      <c r="I90" s="63"/>
      <c r="J90" s="61"/>
      <c r="K90" s="402"/>
      <c r="L90" s="420" t="str">
        <f t="shared" si="13"/>
        <v/>
      </c>
      <c r="M90" s="401" t="str">
        <f t="shared" si="14"/>
        <v/>
      </c>
    </row>
    <row r="91" spans="2:13" x14ac:dyDescent="0.25">
      <c r="B91" s="46"/>
      <c r="C91" s="26"/>
      <c r="D91" s="15"/>
      <c r="E91" s="15"/>
      <c r="F91" s="24"/>
      <c r="G91" s="64"/>
      <c r="H91" s="17" t="str">
        <f t="shared" si="11"/>
        <v/>
      </c>
      <c r="I91" s="63"/>
      <c r="J91" s="61"/>
      <c r="K91" s="399"/>
      <c r="L91" s="420" t="str">
        <f t="shared" si="13"/>
        <v/>
      </c>
      <c r="M91" s="401" t="str">
        <f t="shared" si="14"/>
        <v/>
      </c>
    </row>
    <row r="92" spans="2:13" x14ac:dyDescent="0.25">
      <c r="B92" s="46"/>
      <c r="C92" s="26"/>
      <c r="D92" s="15"/>
      <c r="E92" s="15"/>
      <c r="F92" s="24"/>
      <c r="G92" s="64"/>
      <c r="H92" s="17" t="str">
        <f t="shared" si="11"/>
        <v/>
      </c>
      <c r="I92" s="63"/>
      <c r="J92" s="61"/>
      <c r="K92" s="399"/>
      <c r="L92" s="420" t="str">
        <f t="shared" si="13"/>
        <v/>
      </c>
      <c r="M92" s="401" t="str">
        <f t="shared" si="14"/>
        <v/>
      </c>
    </row>
    <row r="93" spans="2:13" x14ac:dyDescent="0.25">
      <c r="B93" s="58"/>
      <c r="C93" s="25"/>
      <c r="D93" s="61"/>
      <c r="E93" s="61"/>
      <c r="F93" s="24"/>
      <c r="G93" s="62"/>
      <c r="H93" s="17" t="str">
        <f t="shared" si="11"/>
        <v/>
      </c>
      <c r="I93" s="63"/>
      <c r="J93" s="62"/>
      <c r="K93" s="62"/>
      <c r="L93" s="420" t="str">
        <f t="shared" si="13"/>
        <v/>
      </c>
      <c r="M93" s="401" t="str">
        <f t="shared" si="14"/>
        <v/>
      </c>
    </row>
    <row r="94" spans="2:13" x14ac:dyDescent="0.25">
      <c r="B94" s="46"/>
      <c r="C94" s="14"/>
      <c r="D94" s="15"/>
      <c r="E94" s="15"/>
      <c r="F94" s="24"/>
      <c r="G94" s="59"/>
      <c r="H94" s="17" t="str">
        <f t="shared" si="11"/>
        <v/>
      </c>
      <c r="I94" s="63"/>
      <c r="J94" s="62"/>
      <c r="K94" s="62"/>
      <c r="L94" s="420" t="str">
        <f t="shared" si="13"/>
        <v/>
      </c>
      <c r="M94" s="401" t="str">
        <f t="shared" si="14"/>
        <v/>
      </c>
    </row>
    <row r="95" spans="2:13" x14ac:dyDescent="0.25">
      <c r="B95" s="58"/>
      <c r="C95" s="14"/>
      <c r="D95" s="15"/>
      <c r="E95" s="15"/>
      <c r="F95" s="24"/>
      <c r="G95" s="62"/>
      <c r="H95" s="17" t="str">
        <f t="shared" si="11"/>
        <v/>
      </c>
      <c r="I95" s="63"/>
      <c r="J95" s="62"/>
      <c r="K95" s="62"/>
      <c r="L95" s="420" t="str">
        <f t="shared" si="13"/>
        <v/>
      </c>
      <c r="M95" s="401" t="str">
        <f t="shared" si="14"/>
        <v/>
      </c>
    </row>
    <row r="96" spans="2:13" x14ac:dyDescent="0.25">
      <c r="B96" s="46"/>
      <c r="C96" s="26"/>
      <c r="D96" s="15"/>
      <c r="E96" s="15"/>
      <c r="F96" s="24"/>
      <c r="G96" s="16"/>
      <c r="H96" s="17" t="str">
        <f t="shared" si="11"/>
        <v/>
      </c>
      <c r="I96" s="18"/>
      <c r="J96" s="62"/>
      <c r="K96" s="62"/>
      <c r="L96" s="420" t="str">
        <f t="shared" si="13"/>
        <v/>
      </c>
      <c r="M96" s="401" t="str">
        <f t="shared" si="14"/>
        <v/>
      </c>
    </row>
    <row r="97" spans="2:13" x14ac:dyDescent="0.25">
      <c r="B97" s="58"/>
      <c r="C97" s="14"/>
      <c r="D97" s="15"/>
      <c r="E97" s="15"/>
      <c r="F97" s="24"/>
      <c r="G97" s="16"/>
      <c r="H97" s="17" t="str">
        <f t="shared" si="11"/>
        <v/>
      </c>
      <c r="I97" s="18"/>
      <c r="J97" s="62"/>
      <c r="K97" s="399"/>
      <c r="L97" s="420" t="str">
        <f t="shared" si="13"/>
        <v/>
      </c>
      <c r="M97" s="401" t="str">
        <f t="shared" si="14"/>
        <v/>
      </c>
    </row>
    <row r="98" spans="2:13" x14ac:dyDescent="0.25">
      <c r="B98" s="46"/>
      <c r="C98" s="14"/>
      <c r="D98" s="15"/>
      <c r="E98" s="15"/>
      <c r="F98" s="24"/>
      <c r="G98" s="64"/>
      <c r="H98" s="17" t="str">
        <f t="shared" si="11"/>
        <v/>
      </c>
      <c r="I98" s="57"/>
      <c r="J98" s="62"/>
      <c r="K98" s="577"/>
      <c r="L98" s="420" t="str">
        <f t="shared" si="13"/>
        <v/>
      </c>
      <c r="M98" s="401" t="str">
        <f t="shared" si="14"/>
        <v/>
      </c>
    </row>
    <row r="99" spans="2:13" x14ac:dyDescent="0.25">
      <c r="B99" s="58"/>
      <c r="C99" s="14"/>
      <c r="D99" s="15"/>
      <c r="E99" s="15"/>
      <c r="F99" s="24"/>
      <c r="G99" s="64"/>
      <c r="H99" s="17" t="str">
        <f t="shared" si="11"/>
        <v/>
      </c>
      <c r="I99" s="18"/>
      <c r="J99" s="62"/>
      <c r="K99" s="62"/>
      <c r="L99" s="420" t="str">
        <f t="shared" si="13"/>
        <v/>
      </c>
      <c r="M99" s="401" t="str">
        <f t="shared" si="14"/>
        <v/>
      </c>
    </row>
    <row r="100" spans="2:13" x14ac:dyDescent="0.25">
      <c r="B100" s="46"/>
      <c r="C100" s="14"/>
      <c r="D100" s="15"/>
      <c r="E100" s="15"/>
      <c r="F100" s="24"/>
      <c r="G100" s="59"/>
      <c r="H100" s="17" t="str">
        <f t="shared" si="11"/>
        <v/>
      </c>
      <c r="I100" s="18"/>
      <c r="J100" s="62"/>
      <c r="K100" s="62"/>
      <c r="L100" s="420" t="str">
        <f t="shared" si="13"/>
        <v/>
      </c>
      <c r="M100" s="401" t="str">
        <f t="shared" si="14"/>
        <v/>
      </c>
    </row>
    <row r="101" spans="2:13" x14ac:dyDescent="0.25">
      <c r="B101" s="58"/>
      <c r="C101" s="14"/>
      <c r="D101" s="15"/>
      <c r="E101" s="15"/>
      <c r="F101" s="24"/>
      <c r="G101" s="27"/>
      <c r="H101" s="17" t="str">
        <f t="shared" si="11"/>
        <v/>
      </c>
      <c r="I101" s="18"/>
      <c r="J101" s="62"/>
      <c r="K101" s="399"/>
      <c r="L101" s="420" t="str">
        <f t="shared" si="13"/>
        <v/>
      </c>
      <c r="M101" s="401" t="str">
        <f t="shared" si="14"/>
        <v/>
      </c>
    </row>
    <row r="102" spans="2:13" x14ac:dyDescent="0.25">
      <c r="B102" s="46"/>
      <c r="C102" s="14"/>
      <c r="D102" s="15"/>
      <c r="E102" s="15"/>
      <c r="F102" s="24"/>
      <c r="G102" s="27"/>
      <c r="H102" s="17" t="str">
        <f t="shared" si="11"/>
        <v/>
      </c>
      <c r="I102" s="18"/>
      <c r="J102" s="62"/>
      <c r="K102" s="62"/>
      <c r="L102" s="420" t="str">
        <f t="shared" si="13"/>
        <v/>
      </c>
      <c r="M102" s="401" t="str">
        <f t="shared" si="14"/>
        <v/>
      </c>
    </row>
    <row r="103" spans="2:13" x14ac:dyDescent="0.25">
      <c r="B103" s="58"/>
      <c r="C103" s="14"/>
      <c r="D103" s="15"/>
      <c r="E103" s="15"/>
      <c r="F103" s="24"/>
      <c r="G103" s="27"/>
      <c r="H103" s="17" t="str">
        <f t="shared" si="11"/>
        <v/>
      </c>
      <c r="I103" s="18"/>
      <c r="J103" s="62"/>
      <c r="K103" s="62"/>
      <c r="L103" s="420" t="str">
        <f t="shared" si="13"/>
        <v/>
      </c>
      <c r="M103" s="401" t="str">
        <f t="shared" si="14"/>
        <v/>
      </c>
    </row>
    <row r="104" spans="2:13" x14ac:dyDescent="0.25">
      <c r="B104" s="46"/>
      <c r="C104" s="26"/>
      <c r="D104" s="15"/>
      <c r="E104" s="15"/>
      <c r="F104" s="24"/>
      <c r="G104" s="64"/>
      <c r="H104" s="17" t="str">
        <f t="shared" si="11"/>
        <v/>
      </c>
      <c r="I104" s="57"/>
      <c r="J104" s="62"/>
      <c r="K104" s="399"/>
      <c r="L104" s="420" t="str">
        <f t="shared" si="13"/>
        <v/>
      </c>
      <c r="M104" s="401" t="str">
        <f t="shared" si="14"/>
        <v/>
      </c>
    </row>
    <row r="105" spans="2:13" x14ac:dyDescent="0.25">
      <c r="B105" s="58"/>
      <c r="C105" s="14"/>
      <c r="D105" s="15"/>
      <c r="E105" s="15"/>
      <c r="F105" s="24"/>
      <c r="G105" s="27"/>
      <c r="H105" s="17" t="str">
        <f t="shared" si="11"/>
        <v/>
      </c>
      <c r="I105" s="18"/>
      <c r="J105" s="62"/>
      <c r="K105" s="588"/>
      <c r="L105" s="420" t="str">
        <f t="shared" si="13"/>
        <v/>
      </c>
      <c r="M105" s="401" t="str">
        <f t="shared" si="14"/>
        <v/>
      </c>
    </row>
    <row r="106" spans="2:13" x14ac:dyDescent="0.25">
      <c r="B106" s="46"/>
      <c r="C106" s="14"/>
      <c r="D106" s="15"/>
      <c r="E106" s="15"/>
      <c r="F106" s="24"/>
      <c r="G106" s="59"/>
      <c r="H106" s="17" t="str">
        <f t="shared" si="11"/>
        <v/>
      </c>
      <c r="I106" s="18"/>
      <c r="J106" s="62"/>
      <c r="K106" s="62"/>
      <c r="L106" s="420" t="str">
        <f t="shared" si="13"/>
        <v/>
      </c>
      <c r="M106" s="401" t="str">
        <f t="shared" si="14"/>
        <v/>
      </c>
    </row>
    <row r="107" spans="2:13" x14ac:dyDescent="0.25">
      <c r="B107" s="58"/>
      <c r="C107" s="83"/>
      <c r="D107" s="15"/>
      <c r="E107" s="15"/>
      <c r="F107" s="15"/>
      <c r="G107" s="16"/>
      <c r="H107" s="17" t="str">
        <f t="shared" si="11"/>
        <v/>
      </c>
      <c r="I107" s="18"/>
      <c r="J107" s="62"/>
      <c r="K107" s="62"/>
      <c r="L107" s="420" t="str">
        <f t="shared" si="13"/>
        <v/>
      </c>
      <c r="M107" s="401" t="str">
        <f t="shared" si="14"/>
        <v/>
      </c>
    </row>
    <row r="108" spans="2:13" x14ac:dyDescent="0.25">
      <c r="B108" s="46"/>
      <c r="C108" s="14"/>
      <c r="D108" s="15"/>
      <c r="E108" s="15"/>
      <c r="F108" s="15"/>
      <c r="G108" s="64"/>
      <c r="H108" s="17" t="str">
        <f t="shared" si="11"/>
        <v/>
      </c>
      <c r="I108" s="18"/>
      <c r="J108" s="62"/>
      <c r="K108" s="577"/>
      <c r="L108" s="420" t="str">
        <f t="shared" si="13"/>
        <v/>
      </c>
      <c r="M108" s="401" t="str">
        <f t="shared" si="14"/>
        <v/>
      </c>
    </row>
    <row r="109" spans="2:13" x14ac:dyDescent="0.25">
      <c r="B109" s="58"/>
      <c r="C109" s="14"/>
      <c r="D109" s="15"/>
      <c r="E109" s="15"/>
      <c r="F109" s="15"/>
      <c r="G109" s="64"/>
      <c r="H109" s="17" t="str">
        <f t="shared" si="11"/>
        <v/>
      </c>
      <c r="I109" s="18"/>
      <c r="J109" s="62"/>
      <c r="K109" s="577"/>
      <c r="L109" s="420" t="str">
        <f t="shared" si="13"/>
        <v/>
      </c>
      <c r="M109" s="401" t="str">
        <f t="shared" si="14"/>
        <v/>
      </c>
    </row>
    <row r="110" spans="2:13" x14ac:dyDescent="0.25">
      <c r="B110" s="137"/>
      <c r="C110" s="26"/>
      <c r="D110" s="15"/>
      <c r="E110" s="15"/>
      <c r="F110" s="15"/>
      <c r="G110" s="64"/>
      <c r="H110" s="17" t="str">
        <f t="shared" si="11"/>
        <v/>
      </c>
      <c r="I110" s="18"/>
      <c r="J110" s="62"/>
      <c r="K110" s="62"/>
      <c r="L110" s="420" t="str">
        <f t="shared" si="13"/>
        <v/>
      </c>
      <c r="M110" s="401" t="str">
        <f t="shared" si="14"/>
        <v/>
      </c>
    </row>
    <row r="111" spans="2:13" x14ac:dyDescent="0.25">
      <c r="B111" s="58"/>
      <c r="C111" s="14"/>
      <c r="D111" s="15"/>
      <c r="E111" s="15"/>
      <c r="F111" s="15"/>
      <c r="G111" s="64"/>
      <c r="H111" s="17" t="str">
        <f t="shared" si="11"/>
        <v/>
      </c>
      <c r="I111" s="18"/>
      <c r="J111" s="62"/>
      <c r="K111" s="62"/>
      <c r="L111" s="420" t="str">
        <f t="shared" si="13"/>
        <v/>
      </c>
      <c r="M111" s="401" t="str">
        <f t="shared" si="14"/>
        <v/>
      </c>
    </row>
    <row r="112" spans="2:13" x14ac:dyDescent="0.25">
      <c r="B112" s="46"/>
      <c r="C112" s="14"/>
      <c r="D112" s="15"/>
      <c r="E112" s="15"/>
      <c r="F112" s="15"/>
      <c r="G112" s="67"/>
      <c r="H112" s="17" t="str">
        <f t="shared" si="11"/>
        <v/>
      </c>
      <c r="I112" s="18"/>
      <c r="J112" s="62"/>
      <c r="K112" s="62"/>
      <c r="L112" s="420" t="str">
        <f t="shared" si="13"/>
        <v/>
      </c>
      <c r="M112" s="401" t="str">
        <f t="shared" si="14"/>
        <v/>
      </c>
    </row>
    <row r="113" spans="2:13" x14ac:dyDescent="0.25">
      <c r="B113" s="46"/>
      <c r="C113" s="14"/>
      <c r="D113" s="15"/>
      <c r="E113" s="15"/>
      <c r="F113" s="15"/>
      <c r="G113" s="67"/>
      <c r="H113" s="17" t="str">
        <f t="shared" si="11"/>
        <v/>
      </c>
      <c r="I113" s="18"/>
      <c r="J113" s="62"/>
      <c r="K113" s="402"/>
      <c r="L113" s="420" t="str">
        <f t="shared" si="13"/>
        <v/>
      </c>
      <c r="M113" s="401" t="str">
        <f t="shared" si="14"/>
        <v/>
      </c>
    </row>
    <row r="114" spans="2:13" x14ac:dyDescent="0.25">
      <c r="B114" s="46"/>
      <c r="C114" s="14"/>
      <c r="D114" s="15"/>
      <c r="E114" s="15"/>
      <c r="F114" s="61"/>
      <c r="G114" s="64"/>
      <c r="H114" s="17" t="str">
        <f t="shared" si="11"/>
        <v/>
      </c>
      <c r="I114" s="18"/>
      <c r="J114" s="62"/>
      <c r="K114" s="62"/>
      <c r="L114" s="420" t="str">
        <f t="shared" si="13"/>
        <v/>
      </c>
      <c r="M114" s="401" t="str">
        <f t="shared" si="14"/>
        <v/>
      </c>
    </row>
    <row r="115" spans="2:13" x14ac:dyDescent="0.25">
      <c r="B115" s="58"/>
      <c r="C115" s="14"/>
      <c r="D115" s="15"/>
      <c r="E115" s="15"/>
      <c r="F115" s="15"/>
      <c r="G115" s="64"/>
      <c r="H115" s="17" t="str">
        <f t="shared" si="11"/>
        <v/>
      </c>
      <c r="I115" s="18"/>
      <c r="J115" s="62"/>
      <c r="K115" s="62"/>
      <c r="L115" s="420" t="str">
        <f t="shared" si="13"/>
        <v/>
      </c>
      <c r="M115" s="401" t="str">
        <f t="shared" si="14"/>
        <v/>
      </c>
    </row>
    <row r="116" spans="2:13" x14ac:dyDescent="0.25">
      <c r="B116" s="46"/>
      <c r="C116" s="26"/>
      <c r="D116" s="15"/>
      <c r="E116" s="15"/>
      <c r="F116" s="61"/>
      <c r="G116" s="64"/>
      <c r="H116" s="17" t="str">
        <f t="shared" si="11"/>
        <v/>
      </c>
      <c r="I116" s="18"/>
      <c r="J116" s="62"/>
      <c r="K116" s="62"/>
      <c r="L116" s="420" t="str">
        <f t="shared" si="13"/>
        <v/>
      </c>
      <c r="M116" s="401" t="str">
        <f t="shared" si="14"/>
        <v/>
      </c>
    </row>
    <row r="117" spans="2:13" x14ac:dyDescent="0.25">
      <c r="B117" s="58"/>
      <c r="C117" s="14"/>
      <c r="D117" s="15"/>
      <c r="E117" s="15"/>
      <c r="F117" s="15"/>
      <c r="G117" s="64"/>
      <c r="H117" s="17" t="str">
        <f t="shared" si="11"/>
        <v/>
      </c>
      <c r="I117" s="18"/>
      <c r="J117" s="62"/>
      <c r="K117" s="62"/>
      <c r="L117" s="420" t="str">
        <f t="shared" si="13"/>
        <v/>
      </c>
      <c r="M117" s="401" t="str">
        <f t="shared" si="14"/>
        <v/>
      </c>
    </row>
    <row r="118" spans="2:13" x14ac:dyDescent="0.25">
      <c r="B118" s="46"/>
      <c r="C118" s="14"/>
      <c r="D118" s="15"/>
      <c r="E118" s="15"/>
      <c r="F118" s="61"/>
      <c r="G118" s="64"/>
      <c r="H118" s="17" t="str">
        <f t="shared" si="11"/>
        <v/>
      </c>
      <c r="I118" s="63"/>
      <c r="J118" s="62"/>
      <c r="K118" s="62"/>
      <c r="L118" s="420" t="str">
        <f t="shared" si="13"/>
        <v/>
      </c>
      <c r="M118" s="401" t="str">
        <f t="shared" si="14"/>
        <v/>
      </c>
    </row>
    <row r="119" spans="2:13" x14ac:dyDescent="0.25">
      <c r="B119" s="58"/>
      <c r="C119" s="14"/>
      <c r="D119" s="15"/>
      <c r="E119" s="15"/>
      <c r="F119" s="15"/>
      <c r="G119" s="64"/>
      <c r="H119" s="17" t="str">
        <f t="shared" si="11"/>
        <v/>
      </c>
      <c r="I119" s="18"/>
      <c r="J119" s="62"/>
      <c r="K119" s="62"/>
      <c r="L119" s="420" t="str">
        <f t="shared" si="13"/>
        <v/>
      </c>
      <c r="M119" s="401" t="str">
        <f t="shared" si="14"/>
        <v/>
      </c>
    </row>
    <row r="120" spans="2:13" x14ac:dyDescent="0.25">
      <c r="B120" s="58"/>
      <c r="C120" s="26"/>
      <c r="D120" s="15"/>
      <c r="E120" s="15"/>
      <c r="F120" s="15"/>
      <c r="G120" s="64"/>
      <c r="H120" s="17" t="str">
        <f t="shared" si="11"/>
        <v/>
      </c>
      <c r="I120" s="18"/>
      <c r="J120" s="62"/>
      <c r="K120" s="62"/>
      <c r="L120" s="420" t="str">
        <f t="shared" si="13"/>
        <v/>
      </c>
      <c r="M120" s="401" t="str">
        <f t="shared" si="14"/>
        <v/>
      </c>
    </row>
    <row r="121" spans="2:13" x14ac:dyDescent="0.25">
      <c r="B121" s="58"/>
      <c r="C121" s="134"/>
      <c r="D121" s="15"/>
      <c r="E121" s="15"/>
      <c r="F121" s="15"/>
      <c r="G121" s="64"/>
      <c r="H121" s="17" t="str">
        <f t="shared" si="11"/>
        <v/>
      </c>
      <c r="I121" s="18"/>
      <c r="J121" s="62"/>
      <c r="K121" s="62"/>
      <c r="L121" s="420" t="str">
        <f t="shared" si="13"/>
        <v/>
      </c>
      <c r="M121" s="401" t="str">
        <f t="shared" si="14"/>
        <v/>
      </c>
    </row>
    <row r="122" spans="2:13" x14ac:dyDescent="0.25">
      <c r="B122" s="237"/>
      <c r="C122" s="238"/>
      <c r="D122" s="15"/>
      <c r="E122" s="15"/>
      <c r="F122" s="15"/>
      <c r="G122" s="424"/>
      <c r="H122" s="17" t="str">
        <f t="shared" si="11"/>
        <v/>
      </c>
      <c r="I122" s="18"/>
      <c r="J122" s="62"/>
      <c r="K122" s="62"/>
      <c r="L122" s="420" t="str">
        <f t="shared" si="13"/>
        <v/>
      </c>
      <c r="M122" s="401" t="str">
        <f t="shared" si="14"/>
        <v/>
      </c>
    </row>
    <row r="123" spans="2:13" x14ac:dyDescent="0.25">
      <c r="B123" s="46"/>
      <c r="C123" s="14"/>
      <c r="D123" s="15"/>
      <c r="E123" s="15"/>
      <c r="F123" s="15"/>
      <c r="G123" s="424"/>
      <c r="H123" s="17" t="str">
        <f t="shared" si="11"/>
        <v/>
      </c>
      <c r="I123" s="18"/>
      <c r="J123" s="62"/>
      <c r="K123" s="62"/>
      <c r="L123" s="420" t="str">
        <f t="shared" si="13"/>
        <v/>
      </c>
      <c r="M123" s="401" t="str">
        <f t="shared" si="14"/>
        <v/>
      </c>
    </row>
    <row r="124" spans="2:13" x14ac:dyDescent="0.25">
      <c r="B124" s="237"/>
      <c r="C124" s="238"/>
      <c r="D124" s="394"/>
      <c r="E124" s="394"/>
      <c r="F124" s="15"/>
      <c r="G124" s="424"/>
      <c r="H124" s="17" t="str">
        <f t="shared" si="11"/>
        <v/>
      </c>
      <c r="I124" s="18"/>
      <c r="J124" s="62"/>
      <c r="K124" s="62"/>
      <c r="L124" s="420" t="str">
        <f t="shared" si="13"/>
        <v/>
      </c>
      <c r="M124" s="401" t="str">
        <f t="shared" si="14"/>
        <v/>
      </c>
    </row>
    <row r="125" spans="2:13" x14ac:dyDescent="0.25">
      <c r="B125" s="237"/>
      <c r="C125" s="238"/>
      <c r="D125" s="394"/>
      <c r="E125" s="394"/>
      <c r="F125" s="15"/>
      <c r="G125" s="424"/>
      <c r="H125" s="17" t="str">
        <f t="shared" si="11"/>
        <v/>
      </c>
      <c r="I125" s="18"/>
      <c r="J125" s="62"/>
      <c r="K125" s="62"/>
      <c r="L125" s="420" t="str">
        <f t="shared" si="13"/>
        <v/>
      </c>
      <c r="M125" s="401" t="str">
        <f t="shared" si="14"/>
        <v/>
      </c>
    </row>
    <row r="126" spans="2:13" x14ac:dyDescent="0.25">
      <c r="B126" s="237"/>
      <c r="C126" s="238"/>
      <c r="D126" s="394"/>
      <c r="E126" s="394"/>
      <c r="F126" s="15"/>
      <c r="G126" s="424"/>
      <c r="H126" s="17" t="str">
        <f t="shared" si="11"/>
        <v/>
      </c>
      <c r="I126" s="18"/>
      <c r="J126" s="62"/>
      <c r="K126" s="62"/>
      <c r="L126" s="420" t="str">
        <f t="shared" si="13"/>
        <v/>
      </c>
      <c r="M126" s="401" t="str">
        <f t="shared" si="14"/>
        <v/>
      </c>
    </row>
    <row r="127" spans="2:13" x14ac:dyDescent="0.25">
      <c r="B127" s="237"/>
      <c r="C127" s="238"/>
      <c r="D127" s="394"/>
      <c r="E127" s="394"/>
      <c r="F127" s="15"/>
      <c r="G127" s="424"/>
      <c r="H127" s="17" t="str">
        <f t="shared" si="11"/>
        <v/>
      </c>
      <c r="I127" s="18"/>
      <c r="J127" s="62"/>
      <c r="K127" s="62"/>
      <c r="L127" s="420" t="str">
        <f t="shared" si="13"/>
        <v/>
      </c>
      <c r="M127" s="401" t="str">
        <f t="shared" si="14"/>
        <v/>
      </c>
    </row>
    <row r="128" spans="2:13" x14ac:dyDescent="0.25">
      <c r="B128" s="237"/>
      <c r="C128" s="238"/>
      <c r="D128" s="394"/>
      <c r="E128" s="394"/>
      <c r="F128" s="15"/>
      <c r="G128" s="424"/>
      <c r="H128" s="17" t="str">
        <f t="shared" si="11"/>
        <v/>
      </c>
      <c r="I128" s="18"/>
      <c r="J128" s="62"/>
      <c r="K128" s="62"/>
      <c r="L128" s="420" t="str">
        <f t="shared" si="13"/>
        <v/>
      </c>
      <c r="M128" s="401" t="str">
        <f t="shared" si="14"/>
        <v/>
      </c>
    </row>
    <row r="129" spans="2:13" x14ac:dyDescent="0.25">
      <c r="B129" s="237"/>
      <c r="C129" s="238"/>
      <c r="D129" s="394"/>
      <c r="E129" s="394"/>
      <c r="F129" s="15"/>
      <c r="G129" s="424"/>
      <c r="H129" s="17" t="str">
        <f t="shared" si="11"/>
        <v/>
      </c>
      <c r="I129" s="18"/>
      <c r="J129" s="62"/>
      <c r="K129" s="62"/>
      <c r="L129" s="420" t="str">
        <f t="shared" si="13"/>
        <v/>
      </c>
      <c r="M129" s="401" t="str">
        <f t="shared" si="14"/>
        <v/>
      </c>
    </row>
    <row r="130" spans="2:13" x14ac:dyDescent="0.25">
      <c r="B130" s="237"/>
      <c r="C130" s="238"/>
      <c r="D130" s="394"/>
      <c r="E130" s="394"/>
      <c r="F130" s="15"/>
      <c r="G130" s="424"/>
      <c r="H130" s="17" t="str">
        <f t="shared" si="11"/>
        <v/>
      </c>
      <c r="I130" s="18"/>
      <c r="J130" s="62"/>
      <c r="K130" s="62"/>
      <c r="L130" s="420" t="str">
        <f t="shared" si="13"/>
        <v/>
      </c>
      <c r="M130" s="401" t="str">
        <f t="shared" si="14"/>
        <v/>
      </c>
    </row>
    <row r="131" spans="2:13" x14ac:dyDescent="0.25">
      <c r="B131" s="237"/>
      <c r="C131" s="238"/>
      <c r="D131" s="394"/>
      <c r="E131" s="394"/>
      <c r="F131" s="15"/>
      <c r="G131" s="424"/>
      <c r="H131" s="17" t="str">
        <f t="shared" si="11"/>
        <v/>
      </c>
      <c r="I131" s="18"/>
      <c r="J131" s="62"/>
      <c r="K131" s="62"/>
      <c r="L131" s="420" t="str">
        <f t="shared" si="13"/>
        <v/>
      </c>
      <c r="M131" s="401" t="str">
        <f t="shared" si="14"/>
        <v/>
      </c>
    </row>
    <row r="132" spans="2:13" x14ac:dyDescent="0.25">
      <c r="B132" s="46"/>
      <c r="C132" s="14"/>
      <c r="D132" s="15"/>
      <c r="E132" s="15"/>
      <c r="F132" s="15"/>
      <c r="G132" s="424"/>
      <c r="H132" s="17" t="str">
        <f t="shared" si="11"/>
        <v/>
      </c>
      <c r="I132" s="18"/>
      <c r="J132" s="62"/>
      <c r="K132" s="62"/>
      <c r="L132" s="420" t="str">
        <f t="shared" si="13"/>
        <v/>
      </c>
      <c r="M132" s="401" t="str">
        <f t="shared" si="14"/>
        <v/>
      </c>
    </row>
    <row r="133" spans="2:13" x14ac:dyDescent="0.25">
      <c r="B133" s="237"/>
      <c r="C133" s="238"/>
      <c r="D133" s="394"/>
      <c r="E133" s="394"/>
      <c r="F133" s="15"/>
      <c r="G133" s="424"/>
      <c r="H133" s="17" t="str">
        <f t="shared" si="11"/>
        <v/>
      </c>
      <c r="I133" s="18"/>
      <c r="J133" s="62"/>
      <c r="K133" s="62"/>
      <c r="L133" s="420" t="str">
        <f t="shared" si="13"/>
        <v/>
      </c>
      <c r="M133" s="401" t="str">
        <f t="shared" si="14"/>
        <v/>
      </c>
    </row>
    <row r="134" spans="2:13" x14ac:dyDescent="0.25">
      <c r="B134" s="58"/>
      <c r="C134" s="134"/>
      <c r="D134" s="15"/>
      <c r="E134" s="15"/>
      <c r="F134" s="15"/>
      <c r="G134" s="64"/>
      <c r="H134" s="17" t="str">
        <f t="shared" si="11"/>
        <v/>
      </c>
      <c r="I134" s="18"/>
      <c r="J134" s="62"/>
      <c r="K134" s="62"/>
      <c r="L134" s="420" t="str">
        <f t="shared" si="13"/>
        <v/>
      </c>
      <c r="M134" s="401" t="str">
        <f t="shared" si="14"/>
        <v/>
      </c>
    </row>
    <row r="135" spans="2:13" x14ac:dyDescent="0.25">
      <c r="B135" s="58"/>
      <c r="C135" s="134"/>
      <c r="D135" s="15"/>
      <c r="E135" s="15"/>
      <c r="F135" s="15"/>
      <c r="G135" s="64"/>
      <c r="H135" s="17" t="str">
        <f t="shared" si="11"/>
        <v/>
      </c>
      <c r="I135" s="18"/>
      <c r="J135" s="62"/>
      <c r="K135" s="62"/>
      <c r="L135" s="420" t="str">
        <f t="shared" si="13"/>
        <v/>
      </c>
      <c r="M135" s="401" t="str">
        <f t="shared" si="14"/>
        <v/>
      </c>
    </row>
    <row r="136" spans="2:13" x14ac:dyDescent="0.25">
      <c r="B136" s="58"/>
      <c r="C136" s="134"/>
      <c r="D136" s="15"/>
      <c r="E136" s="15"/>
      <c r="F136" s="15"/>
      <c r="G136" s="64"/>
      <c r="H136" s="17" t="str">
        <f t="shared" si="11"/>
        <v/>
      </c>
      <c r="I136" s="18"/>
      <c r="J136" s="62"/>
      <c r="K136" s="62"/>
      <c r="L136" s="420" t="str">
        <f t="shared" si="13"/>
        <v/>
      </c>
      <c r="M136" s="401" t="str">
        <f t="shared" si="14"/>
        <v/>
      </c>
    </row>
    <row r="137" spans="2:13" x14ac:dyDescent="0.25">
      <c r="B137" s="58"/>
      <c r="C137" s="134"/>
      <c r="D137" s="15"/>
      <c r="E137" s="15"/>
      <c r="F137" s="15"/>
      <c r="G137" s="64"/>
      <c r="H137" s="17" t="str">
        <f t="shared" si="11"/>
        <v/>
      </c>
      <c r="I137" s="18"/>
      <c r="J137" s="62"/>
      <c r="K137" s="62"/>
      <c r="L137" s="420" t="str">
        <f t="shared" si="13"/>
        <v/>
      </c>
      <c r="M137" s="401" t="str">
        <f t="shared" si="14"/>
        <v/>
      </c>
    </row>
    <row r="138" spans="2:13" x14ac:dyDescent="0.25">
      <c r="B138" s="58"/>
      <c r="C138" s="134"/>
      <c r="D138" s="15"/>
      <c r="E138" s="15"/>
      <c r="F138" s="15"/>
      <c r="G138" s="64"/>
      <c r="H138" s="17" t="str">
        <f t="shared" si="11"/>
        <v/>
      </c>
      <c r="I138" s="18"/>
      <c r="J138" s="62"/>
      <c r="K138" s="62"/>
      <c r="L138" s="420" t="str">
        <f t="shared" si="13"/>
        <v/>
      </c>
      <c r="M138" s="401" t="str">
        <f t="shared" si="14"/>
        <v/>
      </c>
    </row>
    <row r="139" spans="2:13" x14ac:dyDescent="0.25">
      <c r="B139" s="58"/>
      <c r="C139" s="134"/>
      <c r="D139" s="15"/>
      <c r="E139" s="15"/>
      <c r="F139" s="15"/>
      <c r="G139" s="64"/>
      <c r="H139" s="17" t="str">
        <f t="shared" si="11"/>
        <v/>
      </c>
      <c r="I139" s="18"/>
      <c r="J139" s="62"/>
      <c r="K139" s="62"/>
      <c r="L139" s="420" t="str">
        <f t="shared" si="13"/>
        <v/>
      </c>
      <c r="M139" s="401" t="str">
        <f t="shared" si="14"/>
        <v/>
      </c>
    </row>
    <row r="140" spans="2:13" x14ac:dyDescent="0.25">
      <c r="B140" s="58"/>
      <c r="C140" s="26"/>
      <c r="D140" s="15"/>
      <c r="E140" s="15"/>
      <c r="F140" s="15"/>
      <c r="G140" s="64"/>
      <c r="H140" s="17" t="str">
        <f t="shared" si="11"/>
        <v/>
      </c>
      <c r="I140" s="18"/>
      <c r="J140" s="711"/>
      <c r="K140" s="711"/>
      <c r="L140" s="420" t="str">
        <f t="shared" si="13"/>
        <v/>
      </c>
      <c r="M140" s="401" t="str">
        <f t="shared" si="14"/>
        <v/>
      </c>
    </row>
    <row r="141" spans="2:13" s="28" customFormat="1" ht="19.5" customHeight="1" x14ac:dyDescent="0.25">
      <c r="B141" s="135" t="str">
        <f>$B$12</f>
        <v>C11.4</v>
      </c>
      <c r="C141" s="30" t="str">
        <f>"TOTAL CARRIED FORWARD"&amp;IF(H141=H$1," TO SUMMARY","")</f>
        <v>TOTAL CARRIED FORWARD TO SUMMARY</v>
      </c>
      <c r="D141" s="31"/>
      <c r="E141" s="31"/>
      <c r="F141" s="32"/>
      <c r="G141" s="31"/>
      <c r="H141" s="33">
        <f>SUM(H78:H140)</f>
        <v>1075350</v>
      </c>
      <c r="I141" s="34"/>
      <c r="J141" s="408"/>
      <c r="K141" s="406"/>
      <c r="L141" s="418">
        <f>SUM(L78:L140)</f>
        <v>121174.2</v>
      </c>
      <c r="M141" s="407" t="str">
        <f t="shared" si="14"/>
        <v/>
      </c>
    </row>
    <row r="142" spans="2:13" ht="13" x14ac:dyDescent="0.25">
      <c r="B142" s="1108" t="str">
        <f>Client1</f>
        <v>Province of KwaZulu-Natal</v>
      </c>
      <c r="C142" s="1108"/>
      <c r="D142" s="1108"/>
      <c r="E142" s="87"/>
      <c r="F142" s="1109" t="str">
        <f>"Contract No. "&amp;ContractNo</f>
        <v>Contract No. ZNB 00399/00000/HOD/INF/21/T</v>
      </c>
      <c r="G142" s="1109"/>
      <c r="H142" s="1109"/>
    </row>
    <row r="143" spans="2:13" ht="13" x14ac:dyDescent="0.25">
      <c r="B143" s="1108" t="str">
        <f>Client2</f>
        <v>Department of Transport</v>
      </c>
      <c r="C143" s="1108"/>
      <c r="D143" s="1108"/>
      <c r="E143" s="87"/>
      <c r="F143" s="1109"/>
      <c r="G143" s="1109"/>
      <c r="H143" s="1109"/>
    </row>
    <row r="144" spans="2:13" x14ac:dyDescent="0.25">
      <c r="B144" s="1111"/>
      <c r="C144" s="1111"/>
      <c r="D144" s="1111"/>
      <c r="E144" s="78"/>
      <c r="F144" s="1110"/>
      <c r="G144" s="1110"/>
      <c r="H144" s="1110"/>
    </row>
    <row r="145" spans="2:13" ht="13" x14ac:dyDescent="0.25">
      <c r="B145" s="1112" t="s">
        <v>8</v>
      </c>
      <c r="C145" s="1113"/>
      <c r="D145" s="1113"/>
      <c r="E145" s="1113"/>
      <c r="F145" s="1113"/>
      <c r="G145" s="1113"/>
      <c r="H145" s="1128" t="str">
        <f>$H$6</f>
        <v>CHAPTER C11.4</v>
      </c>
      <c r="I145" s="6"/>
    </row>
    <row r="146" spans="2:13" ht="13" x14ac:dyDescent="0.25">
      <c r="B146" s="1117" t="str">
        <f>ContractDescription</f>
        <v>THE CONSTRUCTION OF EARTHWORKS, LAYERWORKS, SURFACING, CULVERTS AND CWAKA RIVER BRIDGE FROM KM 11.600 TO KM 14.000 ON MAIN ROAD P494 IN THE KING CETSHWAYO DISTRICT UNDER EMPANGENI REGION</v>
      </c>
      <c r="C146" s="1118"/>
      <c r="D146" s="1118"/>
      <c r="E146" s="1118"/>
      <c r="F146" s="1118"/>
      <c r="G146" s="1118"/>
      <c r="H146" s="1109"/>
      <c r="I146" s="8"/>
    </row>
    <row r="147" spans="2:13" ht="13" x14ac:dyDescent="0.25">
      <c r="B147" s="1117"/>
      <c r="C147" s="1118"/>
      <c r="D147" s="1118"/>
      <c r="E147" s="1118"/>
      <c r="F147" s="1118"/>
      <c r="G147" s="1118"/>
      <c r="H147" s="1109"/>
      <c r="I147" s="8"/>
    </row>
    <row r="148" spans="2:13" ht="13" x14ac:dyDescent="0.25">
      <c r="B148" s="1119"/>
      <c r="C148" s="1120"/>
      <c r="D148" s="1120"/>
      <c r="E148" s="1120"/>
      <c r="F148" s="1120"/>
      <c r="G148" s="1120"/>
      <c r="H148" s="1110"/>
      <c r="I148" s="8"/>
    </row>
    <row r="149" spans="2:13" s="9" customFormat="1" ht="25" customHeight="1" x14ac:dyDescent="0.25">
      <c r="B149" s="74" t="s">
        <v>0</v>
      </c>
      <c r="C149" s="11" t="s">
        <v>1</v>
      </c>
      <c r="D149" s="11" t="s">
        <v>2</v>
      </c>
      <c r="E149" s="11"/>
      <c r="F149" s="11" t="s">
        <v>3</v>
      </c>
      <c r="G149" s="11" t="s">
        <v>4</v>
      </c>
      <c r="H149" s="11" t="s">
        <v>5</v>
      </c>
      <c r="I149" s="12"/>
      <c r="J149" s="408" t="s">
        <v>996</v>
      </c>
      <c r="K149" s="253" t="s">
        <v>997</v>
      </c>
      <c r="L149" s="253" t="s">
        <v>998</v>
      </c>
      <c r="M149" s="253" t="s">
        <v>999</v>
      </c>
    </row>
    <row r="150" spans="2:13" s="28" customFormat="1" ht="19.5" customHeight="1" x14ac:dyDescent="0.25">
      <c r="B150" s="80"/>
      <c r="C150" s="30" t="s">
        <v>27</v>
      </c>
      <c r="D150" s="31"/>
      <c r="E150" s="31"/>
      <c r="F150" s="32"/>
      <c r="G150" s="31"/>
      <c r="H150" s="33">
        <f>H141</f>
        <v>1075350</v>
      </c>
      <c r="I150" s="34"/>
      <c r="J150" s="416"/>
      <c r="K150" s="409"/>
      <c r="L150" s="419">
        <f>L141</f>
        <v>121174.2</v>
      </c>
      <c r="M150" s="410" t="str">
        <f t="shared" ref="M150:M151" si="15">IF(J150="","",IF(SUM(H150)=0,"",L150/H150))</f>
        <v/>
      </c>
    </row>
    <row r="151" spans="2:13" x14ac:dyDescent="0.25">
      <c r="B151" s="58"/>
      <c r="C151" s="134"/>
      <c r="D151" s="15"/>
      <c r="E151" s="15"/>
      <c r="F151" s="15"/>
      <c r="G151" s="422"/>
      <c r="H151" s="17" t="str">
        <f t="shared" ref="H151:H212" si="16">IF(D151="","",F151*G151)</f>
        <v/>
      </c>
      <c r="I151" s="18"/>
      <c r="J151" s="61"/>
      <c r="K151" s="399"/>
      <c r="L151" s="420" t="str">
        <f t="shared" ref="L151" si="17">IF(J151="","",F151*K151)</f>
        <v/>
      </c>
      <c r="M151" s="401" t="str">
        <f t="shared" si="15"/>
        <v/>
      </c>
    </row>
    <row r="152" spans="2:13" x14ac:dyDescent="0.25">
      <c r="B152" s="58"/>
      <c r="C152" s="26"/>
      <c r="D152" s="15"/>
      <c r="E152" s="15"/>
      <c r="F152" s="15"/>
      <c r="G152" s="422"/>
      <c r="H152" s="17" t="str">
        <f t="shared" si="16"/>
        <v/>
      </c>
      <c r="I152" s="18"/>
      <c r="J152" s="61"/>
      <c r="K152" s="399"/>
      <c r="L152" s="420" t="str">
        <f t="shared" ref="L152:L212" si="18">IF(J152="","",F152*K152)</f>
        <v/>
      </c>
      <c r="M152" s="401" t="str">
        <f t="shared" ref="M152:M213" si="19">IF(J152="","",IF(SUM(H152)=0,"",L152/H152))</f>
        <v/>
      </c>
    </row>
    <row r="153" spans="2:13" x14ac:dyDescent="0.25">
      <c r="B153" s="58"/>
      <c r="C153" s="26"/>
      <c r="D153" s="15"/>
      <c r="E153" s="15"/>
      <c r="F153" s="15"/>
      <c r="G153" s="422"/>
      <c r="H153" s="17" t="str">
        <f t="shared" si="16"/>
        <v/>
      </c>
      <c r="I153" s="18"/>
      <c r="J153" s="61"/>
      <c r="K153" s="399"/>
      <c r="L153" s="420" t="str">
        <f t="shared" si="18"/>
        <v/>
      </c>
      <c r="M153" s="401" t="str">
        <f t="shared" si="19"/>
        <v/>
      </c>
    </row>
    <row r="154" spans="2:13" x14ac:dyDescent="0.25">
      <c r="B154" s="46"/>
      <c r="C154" s="26"/>
      <c r="D154" s="15"/>
      <c r="E154" s="15"/>
      <c r="F154" s="61"/>
      <c r="G154" s="422"/>
      <c r="H154" s="17" t="str">
        <f t="shared" si="16"/>
        <v/>
      </c>
      <c r="I154" s="69"/>
      <c r="J154" s="61"/>
      <c r="K154" s="399"/>
      <c r="L154" s="420" t="str">
        <f t="shared" si="18"/>
        <v/>
      </c>
      <c r="M154" s="401" t="str">
        <f t="shared" si="19"/>
        <v/>
      </c>
    </row>
    <row r="155" spans="2:13" x14ac:dyDescent="0.25">
      <c r="B155" s="46"/>
      <c r="C155" s="14"/>
      <c r="D155" s="15"/>
      <c r="E155" s="15"/>
      <c r="F155" s="15"/>
      <c r="G155" s="411"/>
      <c r="H155" s="17" t="str">
        <f t="shared" ref="H155" si="20">IF(D155="","",F155*G155)</f>
        <v/>
      </c>
      <c r="I155" s="18"/>
      <c r="J155" s="61"/>
      <c r="K155" s="400"/>
      <c r="L155" s="420" t="str">
        <f t="shared" si="18"/>
        <v/>
      </c>
      <c r="M155" s="401" t="str">
        <f t="shared" si="19"/>
        <v/>
      </c>
    </row>
    <row r="156" spans="2:13" x14ac:dyDescent="0.25">
      <c r="B156" s="46"/>
      <c r="C156" s="14"/>
      <c r="D156" s="15"/>
      <c r="E156" s="15"/>
      <c r="F156" s="15"/>
      <c r="G156" s="411"/>
      <c r="H156" s="17" t="str">
        <f t="shared" si="16"/>
        <v/>
      </c>
      <c r="I156" s="18"/>
      <c r="J156" s="61"/>
      <c r="K156" s="399"/>
      <c r="L156" s="420" t="str">
        <f t="shared" si="18"/>
        <v/>
      </c>
      <c r="M156" s="401" t="str">
        <f t="shared" si="19"/>
        <v/>
      </c>
    </row>
    <row r="157" spans="2:13" x14ac:dyDescent="0.25">
      <c r="B157" s="46"/>
      <c r="C157" s="14"/>
      <c r="D157" s="15"/>
      <c r="E157" s="15"/>
      <c r="F157" s="15"/>
      <c r="G157" s="411"/>
      <c r="H157" s="17" t="str">
        <f t="shared" si="16"/>
        <v/>
      </c>
      <c r="I157" s="18"/>
      <c r="J157" s="61"/>
      <c r="K157" s="399"/>
      <c r="L157" s="420" t="str">
        <f t="shared" si="18"/>
        <v/>
      </c>
      <c r="M157" s="401" t="str">
        <f t="shared" si="19"/>
        <v/>
      </c>
    </row>
    <row r="158" spans="2:13" x14ac:dyDescent="0.25">
      <c r="B158" s="58"/>
      <c r="C158" s="48"/>
      <c r="D158" s="15"/>
      <c r="E158" s="15"/>
      <c r="F158" s="15"/>
      <c r="G158" s="411"/>
      <c r="H158" s="17" t="str">
        <f t="shared" si="16"/>
        <v/>
      </c>
      <c r="I158" s="18"/>
      <c r="J158" s="61"/>
      <c r="K158" s="399"/>
      <c r="L158" s="420" t="str">
        <f t="shared" si="18"/>
        <v/>
      </c>
      <c r="M158" s="401" t="str">
        <f t="shared" si="19"/>
        <v/>
      </c>
    </row>
    <row r="159" spans="2:13" x14ac:dyDescent="0.25">
      <c r="B159" s="58"/>
      <c r="C159" s="14"/>
      <c r="D159" s="15"/>
      <c r="E159" s="15"/>
      <c r="F159" s="15"/>
      <c r="G159" s="411"/>
      <c r="H159" s="17" t="str">
        <f t="shared" si="16"/>
        <v/>
      </c>
      <c r="I159" s="18"/>
      <c r="J159" s="61"/>
      <c r="K159" s="402"/>
      <c r="L159" s="420" t="str">
        <f t="shared" si="18"/>
        <v/>
      </c>
      <c r="M159" s="401" t="str">
        <f t="shared" si="19"/>
        <v/>
      </c>
    </row>
    <row r="160" spans="2:13" x14ac:dyDescent="0.25">
      <c r="B160" s="46"/>
      <c r="C160" s="14"/>
      <c r="D160" s="15"/>
      <c r="E160" s="15"/>
      <c r="F160" s="24"/>
      <c r="G160" s="703"/>
      <c r="H160" s="17" t="str">
        <f t="shared" si="16"/>
        <v/>
      </c>
      <c r="I160" s="57"/>
      <c r="J160" s="61"/>
      <c r="K160" s="402"/>
      <c r="L160" s="420" t="str">
        <f t="shared" si="18"/>
        <v/>
      </c>
      <c r="M160" s="401" t="str">
        <f t="shared" si="19"/>
        <v/>
      </c>
    </row>
    <row r="161" spans="2:13" x14ac:dyDescent="0.25">
      <c r="B161" s="58"/>
      <c r="C161" s="14"/>
      <c r="D161" s="15"/>
      <c r="E161" s="15"/>
      <c r="F161" s="24"/>
      <c r="G161" s="411"/>
      <c r="H161" s="17" t="str">
        <f t="shared" si="16"/>
        <v/>
      </c>
      <c r="I161" s="18"/>
      <c r="J161" s="61"/>
      <c r="K161" s="402"/>
      <c r="L161" s="420" t="str">
        <f t="shared" si="18"/>
        <v/>
      </c>
      <c r="M161" s="401" t="str">
        <f t="shared" si="19"/>
        <v/>
      </c>
    </row>
    <row r="162" spans="2:13" x14ac:dyDescent="0.25">
      <c r="B162" s="46"/>
      <c r="C162" s="14"/>
      <c r="D162" s="15"/>
      <c r="E162" s="15"/>
      <c r="F162" s="24"/>
      <c r="G162" s="423"/>
      <c r="H162" s="17" t="str">
        <f t="shared" si="16"/>
        <v/>
      </c>
      <c r="I162" s="18"/>
      <c r="J162" s="61"/>
      <c r="K162" s="402"/>
      <c r="L162" s="420" t="str">
        <f t="shared" si="18"/>
        <v/>
      </c>
      <c r="M162" s="401" t="str">
        <f t="shared" si="19"/>
        <v/>
      </c>
    </row>
    <row r="163" spans="2:13" x14ac:dyDescent="0.25">
      <c r="B163" s="58"/>
      <c r="C163" s="14"/>
      <c r="D163" s="15"/>
      <c r="E163" s="15"/>
      <c r="F163" s="24"/>
      <c r="G163" s="411"/>
      <c r="H163" s="17" t="str">
        <f t="shared" si="16"/>
        <v/>
      </c>
      <c r="I163" s="60"/>
      <c r="J163" s="61"/>
      <c r="K163" s="402"/>
      <c r="L163" s="420" t="str">
        <f t="shared" si="18"/>
        <v/>
      </c>
      <c r="M163" s="401" t="str">
        <f t="shared" si="19"/>
        <v/>
      </c>
    </row>
    <row r="164" spans="2:13" x14ac:dyDescent="0.25">
      <c r="B164" s="46"/>
      <c r="C164" s="26"/>
      <c r="D164" s="15"/>
      <c r="E164" s="15"/>
      <c r="F164" s="24"/>
      <c r="G164" s="421"/>
      <c r="H164" s="17" t="str">
        <f t="shared" si="16"/>
        <v/>
      </c>
      <c r="I164" s="63"/>
      <c r="J164" s="61"/>
      <c r="K164" s="402"/>
      <c r="L164" s="420" t="str">
        <f t="shared" si="18"/>
        <v/>
      </c>
      <c r="M164" s="401" t="str">
        <f t="shared" si="19"/>
        <v/>
      </c>
    </row>
    <row r="165" spans="2:13" x14ac:dyDescent="0.25">
      <c r="B165" s="58"/>
      <c r="C165" s="25"/>
      <c r="D165" s="61"/>
      <c r="E165" s="61"/>
      <c r="F165" s="24"/>
      <c r="G165" s="421"/>
      <c r="H165" s="17" t="str">
        <f t="shared" si="16"/>
        <v/>
      </c>
      <c r="I165" s="63"/>
      <c r="J165" s="62"/>
      <c r="K165" s="62"/>
      <c r="L165" s="420" t="str">
        <f t="shared" si="18"/>
        <v/>
      </c>
      <c r="M165" s="401" t="str">
        <f t="shared" si="19"/>
        <v/>
      </c>
    </row>
    <row r="166" spans="2:13" x14ac:dyDescent="0.25">
      <c r="B166" s="46"/>
      <c r="C166" s="14"/>
      <c r="D166" s="15"/>
      <c r="E166" s="15"/>
      <c r="F166" s="24"/>
      <c r="G166" s="422"/>
      <c r="H166" s="17" t="str">
        <f t="shared" si="16"/>
        <v/>
      </c>
      <c r="I166" s="63"/>
      <c r="J166" s="62"/>
      <c r="K166" s="62"/>
      <c r="L166" s="420" t="str">
        <f t="shared" si="18"/>
        <v/>
      </c>
      <c r="M166" s="401" t="str">
        <f t="shared" si="19"/>
        <v/>
      </c>
    </row>
    <row r="167" spans="2:13" x14ac:dyDescent="0.25">
      <c r="B167" s="46"/>
      <c r="C167" s="26"/>
      <c r="D167" s="15"/>
      <c r="E167" s="15"/>
      <c r="F167" s="24"/>
      <c r="G167" s="422"/>
      <c r="H167" s="17" t="str">
        <f t="shared" si="16"/>
        <v/>
      </c>
      <c r="I167" s="63"/>
      <c r="J167" s="62"/>
      <c r="K167" s="62"/>
      <c r="L167" s="420" t="str">
        <f t="shared" si="18"/>
        <v/>
      </c>
      <c r="M167" s="401" t="str">
        <f t="shared" si="19"/>
        <v/>
      </c>
    </row>
    <row r="168" spans="2:13" x14ac:dyDescent="0.25">
      <c r="B168" s="46"/>
      <c r="C168" s="26"/>
      <c r="D168" s="15"/>
      <c r="E168" s="15"/>
      <c r="F168" s="24"/>
      <c r="G168" s="422"/>
      <c r="H168" s="17" t="str">
        <f t="shared" si="16"/>
        <v/>
      </c>
      <c r="I168" s="63"/>
      <c r="J168" s="62"/>
      <c r="K168" s="62"/>
      <c r="L168" s="420" t="str">
        <f t="shared" si="18"/>
        <v/>
      </c>
      <c r="M168" s="401" t="str">
        <f t="shared" si="19"/>
        <v/>
      </c>
    </row>
    <row r="169" spans="2:13" x14ac:dyDescent="0.25">
      <c r="B169" s="58"/>
      <c r="C169" s="25"/>
      <c r="D169" s="61"/>
      <c r="E169" s="61"/>
      <c r="F169" s="24"/>
      <c r="G169" s="421"/>
      <c r="H169" s="17" t="str">
        <f t="shared" si="16"/>
        <v/>
      </c>
      <c r="I169" s="63"/>
      <c r="J169" s="62"/>
      <c r="K169" s="399"/>
      <c r="L169" s="420" t="str">
        <f t="shared" si="18"/>
        <v/>
      </c>
      <c r="M169" s="401" t="str">
        <f t="shared" si="19"/>
        <v/>
      </c>
    </row>
    <row r="170" spans="2:13" x14ac:dyDescent="0.25">
      <c r="B170" s="46"/>
      <c r="C170" s="14"/>
      <c r="D170" s="15"/>
      <c r="E170" s="15"/>
      <c r="F170" s="24"/>
      <c r="G170" s="423"/>
      <c r="H170" s="17" t="str">
        <f t="shared" si="16"/>
        <v/>
      </c>
      <c r="I170" s="63"/>
      <c r="J170" s="62"/>
      <c r="K170" s="62"/>
      <c r="L170" s="420" t="str">
        <f t="shared" si="18"/>
        <v/>
      </c>
      <c r="M170" s="401" t="str">
        <f t="shared" si="19"/>
        <v/>
      </c>
    </row>
    <row r="171" spans="2:13" x14ac:dyDescent="0.25">
      <c r="B171" s="58"/>
      <c r="C171" s="14"/>
      <c r="D171" s="15"/>
      <c r="E171" s="15"/>
      <c r="F171" s="24"/>
      <c r="G171" s="421"/>
      <c r="H171" s="17" t="str">
        <f t="shared" si="16"/>
        <v/>
      </c>
      <c r="I171" s="63"/>
      <c r="J171" s="62"/>
      <c r="K171" s="62"/>
      <c r="L171" s="420" t="str">
        <f t="shared" si="18"/>
        <v/>
      </c>
      <c r="M171" s="401" t="str">
        <f t="shared" si="19"/>
        <v/>
      </c>
    </row>
    <row r="172" spans="2:13" x14ac:dyDescent="0.25">
      <c r="B172" s="46"/>
      <c r="C172" s="26"/>
      <c r="D172" s="15"/>
      <c r="E172" s="15"/>
      <c r="F172" s="24"/>
      <c r="G172" s="411"/>
      <c r="H172" s="17" t="str">
        <f t="shared" si="16"/>
        <v/>
      </c>
      <c r="I172" s="18"/>
      <c r="J172" s="62"/>
      <c r="K172" s="62"/>
      <c r="L172" s="420" t="str">
        <f t="shared" si="18"/>
        <v/>
      </c>
      <c r="M172" s="401" t="str">
        <f t="shared" si="19"/>
        <v/>
      </c>
    </row>
    <row r="173" spans="2:13" x14ac:dyDescent="0.25">
      <c r="B173" s="58"/>
      <c r="C173" s="14"/>
      <c r="D173" s="15"/>
      <c r="E173" s="15"/>
      <c r="F173" s="24"/>
      <c r="G173" s="411"/>
      <c r="H173" s="17" t="str">
        <f t="shared" si="16"/>
        <v/>
      </c>
      <c r="I173" s="18"/>
      <c r="J173" s="62"/>
      <c r="K173" s="399"/>
      <c r="L173" s="420" t="str">
        <f t="shared" si="18"/>
        <v/>
      </c>
      <c r="M173" s="401" t="str">
        <f t="shared" si="19"/>
        <v/>
      </c>
    </row>
    <row r="174" spans="2:13" x14ac:dyDescent="0.25">
      <c r="B174" s="46"/>
      <c r="C174" s="14"/>
      <c r="D174" s="15"/>
      <c r="E174" s="15"/>
      <c r="F174" s="24"/>
      <c r="G174" s="422"/>
      <c r="H174" s="17" t="str">
        <f t="shared" si="16"/>
        <v/>
      </c>
      <c r="I174" s="57"/>
      <c r="J174" s="62"/>
      <c r="K174" s="62"/>
      <c r="L174" s="420" t="str">
        <f t="shared" si="18"/>
        <v/>
      </c>
      <c r="M174" s="401" t="str">
        <f t="shared" si="19"/>
        <v/>
      </c>
    </row>
    <row r="175" spans="2:13" x14ac:dyDescent="0.25">
      <c r="B175" s="58"/>
      <c r="C175" s="14"/>
      <c r="D175" s="15"/>
      <c r="E175" s="15"/>
      <c r="F175" s="24"/>
      <c r="G175" s="422"/>
      <c r="H175" s="17" t="str">
        <f t="shared" si="16"/>
        <v/>
      </c>
      <c r="I175" s="18"/>
      <c r="J175" s="62"/>
      <c r="K175" s="62"/>
      <c r="L175" s="420" t="str">
        <f t="shared" si="18"/>
        <v/>
      </c>
      <c r="M175" s="401" t="str">
        <f t="shared" si="19"/>
        <v/>
      </c>
    </row>
    <row r="176" spans="2:13" x14ac:dyDescent="0.25">
      <c r="B176" s="46"/>
      <c r="C176" s="14"/>
      <c r="D176" s="15"/>
      <c r="E176" s="15"/>
      <c r="F176" s="24"/>
      <c r="G176" s="423"/>
      <c r="H176" s="17" t="str">
        <f t="shared" si="16"/>
        <v/>
      </c>
      <c r="I176" s="18"/>
      <c r="J176" s="62"/>
      <c r="K176" s="62"/>
      <c r="L176" s="420" t="str">
        <f t="shared" si="18"/>
        <v/>
      </c>
      <c r="M176" s="401" t="str">
        <f t="shared" si="19"/>
        <v/>
      </c>
    </row>
    <row r="177" spans="2:13" x14ac:dyDescent="0.25">
      <c r="B177" s="58"/>
      <c r="C177" s="14"/>
      <c r="D177" s="15"/>
      <c r="E177" s="15"/>
      <c r="F177" s="24"/>
      <c r="G177" s="411"/>
      <c r="H177" s="17" t="str">
        <f t="shared" si="16"/>
        <v/>
      </c>
      <c r="I177" s="18"/>
      <c r="J177" s="62"/>
      <c r="K177" s="588"/>
      <c r="L177" s="420" t="str">
        <f t="shared" si="18"/>
        <v/>
      </c>
      <c r="M177" s="401" t="str">
        <f t="shared" si="19"/>
        <v/>
      </c>
    </row>
    <row r="178" spans="2:13" x14ac:dyDescent="0.25">
      <c r="B178" s="46"/>
      <c r="C178" s="14"/>
      <c r="D178" s="15"/>
      <c r="E178" s="15"/>
      <c r="F178" s="24"/>
      <c r="G178" s="411"/>
      <c r="H178" s="17" t="str">
        <f t="shared" si="16"/>
        <v/>
      </c>
      <c r="I178" s="18"/>
      <c r="J178" s="62"/>
      <c r="K178" s="399"/>
      <c r="L178" s="420" t="str">
        <f t="shared" si="18"/>
        <v/>
      </c>
      <c r="M178" s="401" t="str">
        <f t="shared" si="19"/>
        <v/>
      </c>
    </row>
    <row r="179" spans="2:13" x14ac:dyDescent="0.25">
      <c r="B179" s="58"/>
      <c r="C179" s="14"/>
      <c r="D179" s="15"/>
      <c r="E179" s="15"/>
      <c r="F179" s="24"/>
      <c r="G179" s="411"/>
      <c r="H179" s="17" t="str">
        <f t="shared" si="16"/>
        <v/>
      </c>
      <c r="I179" s="18"/>
      <c r="J179" s="62"/>
      <c r="K179" s="399"/>
      <c r="L179" s="420" t="str">
        <f t="shared" si="18"/>
        <v/>
      </c>
      <c r="M179" s="401" t="str">
        <f t="shared" si="19"/>
        <v/>
      </c>
    </row>
    <row r="180" spans="2:13" x14ac:dyDescent="0.25">
      <c r="B180" s="46"/>
      <c r="C180" s="26"/>
      <c r="D180" s="15"/>
      <c r="E180" s="15"/>
      <c r="F180" s="24"/>
      <c r="G180" s="422"/>
      <c r="H180" s="17" t="str">
        <f t="shared" si="16"/>
        <v/>
      </c>
      <c r="I180" s="57"/>
      <c r="J180" s="62"/>
      <c r="K180" s="399"/>
      <c r="L180" s="420" t="str">
        <f t="shared" si="18"/>
        <v/>
      </c>
      <c r="M180" s="401" t="str">
        <f t="shared" si="19"/>
        <v/>
      </c>
    </row>
    <row r="181" spans="2:13" x14ac:dyDescent="0.25">
      <c r="B181" s="58"/>
      <c r="C181" s="14"/>
      <c r="D181" s="15"/>
      <c r="E181" s="15"/>
      <c r="F181" s="24"/>
      <c r="G181" s="411"/>
      <c r="H181" s="17" t="str">
        <f t="shared" si="16"/>
        <v/>
      </c>
      <c r="I181" s="18"/>
      <c r="J181" s="62"/>
      <c r="K181" s="399"/>
      <c r="L181" s="420" t="str">
        <f t="shared" si="18"/>
        <v/>
      </c>
      <c r="M181" s="401" t="str">
        <f t="shared" si="19"/>
        <v/>
      </c>
    </row>
    <row r="182" spans="2:13" x14ac:dyDescent="0.25">
      <c r="B182" s="46"/>
      <c r="C182" s="14"/>
      <c r="D182" s="15"/>
      <c r="E182" s="15"/>
      <c r="F182" s="24"/>
      <c r="G182" s="423"/>
      <c r="H182" s="17" t="str">
        <f t="shared" si="16"/>
        <v/>
      </c>
      <c r="I182" s="18"/>
      <c r="J182" s="62"/>
      <c r="K182" s="399"/>
      <c r="L182" s="420" t="str">
        <f t="shared" si="18"/>
        <v/>
      </c>
      <c r="M182" s="401" t="str">
        <f t="shared" si="19"/>
        <v/>
      </c>
    </row>
    <row r="183" spans="2:13" x14ac:dyDescent="0.25">
      <c r="B183" s="58"/>
      <c r="C183" s="83"/>
      <c r="D183" s="15"/>
      <c r="E183" s="15"/>
      <c r="F183" s="15"/>
      <c r="G183" s="411"/>
      <c r="H183" s="17" t="str">
        <f t="shared" si="16"/>
        <v/>
      </c>
      <c r="I183" s="18"/>
      <c r="J183" s="62"/>
      <c r="K183" s="399"/>
      <c r="L183" s="420" t="str">
        <f t="shared" si="18"/>
        <v/>
      </c>
      <c r="M183" s="401" t="str">
        <f t="shared" si="19"/>
        <v/>
      </c>
    </row>
    <row r="184" spans="2:13" x14ac:dyDescent="0.25">
      <c r="B184" s="46"/>
      <c r="C184" s="14"/>
      <c r="D184" s="15"/>
      <c r="E184" s="15"/>
      <c r="F184" s="15"/>
      <c r="G184" s="422"/>
      <c r="H184" s="17" t="str">
        <f t="shared" si="16"/>
        <v/>
      </c>
      <c r="I184" s="18"/>
      <c r="J184" s="62"/>
      <c r="K184" s="399"/>
      <c r="L184" s="420" t="str">
        <f t="shared" si="18"/>
        <v/>
      </c>
      <c r="M184" s="401" t="str">
        <f t="shared" si="19"/>
        <v/>
      </c>
    </row>
    <row r="185" spans="2:13" x14ac:dyDescent="0.25">
      <c r="B185" s="58"/>
      <c r="C185" s="14"/>
      <c r="D185" s="15"/>
      <c r="E185" s="15"/>
      <c r="F185" s="15"/>
      <c r="G185" s="422"/>
      <c r="H185" s="17" t="str">
        <f t="shared" si="16"/>
        <v/>
      </c>
      <c r="I185" s="18"/>
      <c r="J185" s="62"/>
      <c r="K185" s="402"/>
      <c r="L185" s="420" t="str">
        <f t="shared" si="18"/>
        <v/>
      </c>
      <c r="M185" s="401" t="str">
        <f t="shared" si="19"/>
        <v/>
      </c>
    </row>
    <row r="186" spans="2:13" x14ac:dyDescent="0.25">
      <c r="B186" s="137"/>
      <c r="C186" s="26"/>
      <c r="D186" s="15"/>
      <c r="E186" s="15"/>
      <c r="F186" s="15"/>
      <c r="G186" s="422"/>
      <c r="H186" s="17" t="str">
        <f t="shared" si="16"/>
        <v/>
      </c>
      <c r="I186" s="18"/>
      <c r="J186" s="62"/>
      <c r="K186" s="62"/>
      <c r="L186" s="420" t="str">
        <f t="shared" si="18"/>
        <v/>
      </c>
      <c r="M186" s="401" t="str">
        <f t="shared" si="19"/>
        <v/>
      </c>
    </row>
    <row r="187" spans="2:13" x14ac:dyDescent="0.25">
      <c r="B187" s="58"/>
      <c r="C187" s="14"/>
      <c r="D187" s="15"/>
      <c r="E187" s="15"/>
      <c r="F187" s="15"/>
      <c r="G187" s="422"/>
      <c r="H187" s="17" t="str">
        <f t="shared" si="16"/>
        <v/>
      </c>
      <c r="I187" s="18"/>
      <c r="J187" s="62"/>
      <c r="K187" s="62"/>
      <c r="L187" s="420" t="str">
        <f t="shared" si="18"/>
        <v/>
      </c>
      <c r="M187" s="401" t="str">
        <f t="shared" si="19"/>
        <v/>
      </c>
    </row>
    <row r="188" spans="2:13" x14ac:dyDescent="0.25">
      <c r="B188" s="46"/>
      <c r="C188" s="14"/>
      <c r="D188" s="15"/>
      <c r="E188" s="15"/>
      <c r="F188" s="15"/>
      <c r="G188" s="424"/>
      <c r="H188" s="17" t="str">
        <f t="shared" si="16"/>
        <v/>
      </c>
      <c r="I188" s="18"/>
      <c r="J188" s="62"/>
      <c r="K188" s="62"/>
      <c r="L188" s="420" t="str">
        <f t="shared" si="18"/>
        <v/>
      </c>
      <c r="M188" s="401" t="str">
        <f t="shared" si="19"/>
        <v/>
      </c>
    </row>
    <row r="189" spans="2:13" x14ac:dyDescent="0.25">
      <c r="B189" s="46"/>
      <c r="C189" s="14"/>
      <c r="D189" s="15"/>
      <c r="E189" s="15"/>
      <c r="F189" s="15"/>
      <c r="G189" s="424"/>
      <c r="H189" s="17" t="str">
        <f t="shared" si="16"/>
        <v/>
      </c>
      <c r="I189" s="18"/>
      <c r="J189" s="62"/>
      <c r="K189" s="62"/>
      <c r="L189" s="420" t="str">
        <f t="shared" si="18"/>
        <v/>
      </c>
      <c r="M189" s="401" t="str">
        <f t="shared" si="19"/>
        <v/>
      </c>
    </row>
    <row r="190" spans="2:13" x14ac:dyDescent="0.25">
      <c r="B190" s="46"/>
      <c r="C190" s="14"/>
      <c r="D190" s="15"/>
      <c r="E190" s="15"/>
      <c r="F190" s="61"/>
      <c r="G190" s="422"/>
      <c r="H190" s="17" t="str">
        <f t="shared" si="16"/>
        <v/>
      </c>
      <c r="I190" s="18"/>
      <c r="J190" s="62"/>
      <c r="K190" s="399"/>
      <c r="L190" s="420" t="str">
        <f t="shared" si="18"/>
        <v/>
      </c>
      <c r="M190" s="401" t="str">
        <f t="shared" si="19"/>
        <v/>
      </c>
    </row>
    <row r="191" spans="2:13" x14ac:dyDescent="0.25">
      <c r="B191" s="58"/>
      <c r="C191" s="14"/>
      <c r="D191" s="15"/>
      <c r="E191" s="15"/>
      <c r="F191" s="15"/>
      <c r="G191" s="422"/>
      <c r="H191" s="17" t="str">
        <f t="shared" si="16"/>
        <v/>
      </c>
      <c r="I191" s="18"/>
      <c r="J191" s="62"/>
      <c r="K191" s="62"/>
      <c r="L191" s="420" t="str">
        <f t="shared" si="18"/>
        <v/>
      </c>
      <c r="M191" s="401" t="str">
        <f t="shared" si="19"/>
        <v/>
      </c>
    </row>
    <row r="192" spans="2:13" x14ac:dyDescent="0.25">
      <c r="B192" s="46"/>
      <c r="C192" s="26"/>
      <c r="D192" s="15"/>
      <c r="E192" s="15"/>
      <c r="F192" s="61"/>
      <c r="G192" s="422"/>
      <c r="H192" s="17" t="str">
        <f t="shared" si="16"/>
        <v/>
      </c>
      <c r="I192" s="18"/>
      <c r="J192" s="62"/>
      <c r="K192" s="62"/>
      <c r="L192" s="420" t="str">
        <f t="shared" si="18"/>
        <v/>
      </c>
      <c r="M192" s="401" t="str">
        <f t="shared" si="19"/>
        <v/>
      </c>
    </row>
    <row r="193" spans="2:13" x14ac:dyDescent="0.25">
      <c r="B193" s="58"/>
      <c r="C193" s="14"/>
      <c r="D193" s="15"/>
      <c r="E193" s="15"/>
      <c r="F193" s="15"/>
      <c r="G193" s="422"/>
      <c r="H193" s="17" t="str">
        <f t="shared" si="16"/>
        <v/>
      </c>
      <c r="I193" s="18"/>
      <c r="J193" s="62"/>
      <c r="K193" s="62"/>
      <c r="L193" s="420" t="str">
        <f t="shared" si="18"/>
        <v/>
      </c>
      <c r="M193" s="401" t="str">
        <f t="shared" si="19"/>
        <v/>
      </c>
    </row>
    <row r="194" spans="2:13" x14ac:dyDescent="0.25">
      <c r="B194" s="46"/>
      <c r="C194" s="14"/>
      <c r="D194" s="15"/>
      <c r="E194" s="15"/>
      <c r="F194" s="61"/>
      <c r="G194" s="422"/>
      <c r="H194" s="17" t="str">
        <f t="shared" si="16"/>
        <v/>
      </c>
      <c r="I194" s="63"/>
      <c r="J194" s="62"/>
      <c r="K194" s="62"/>
      <c r="L194" s="420" t="str">
        <f t="shared" si="18"/>
        <v/>
      </c>
      <c r="M194" s="401" t="str">
        <f t="shared" si="19"/>
        <v/>
      </c>
    </row>
    <row r="195" spans="2:13" x14ac:dyDescent="0.25">
      <c r="B195" s="58"/>
      <c r="C195" s="14"/>
      <c r="D195" s="15"/>
      <c r="E195" s="15"/>
      <c r="F195" s="15"/>
      <c r="G195" s="422"/>
      <c r="H195" s="17" t="str">
        <f t="shared" si="16"/>
        <v/>
      </c>
      <c r="I195" s="18"/>
      <c r="J195" s="62"/>
      <c r="K195" s="62"/>
      <c r="L195" s="420" t="str">
        <f t="shared" si="18"/>
        <v/>
      </c>
      <c r="M195" s="401" t="str">
        <f t="shared" si="19"/>
        <v/>
      </c>
    </row>
    <row r="196" spans="2:13" x14ac:dyDescent="0.25">
      <c r="B196" s="58"/>
      <c r="C196" s="25"/>
      <c r="D196" s="15"/>
      <c r="E196" s="15"/>
      <c r="F196" s="15"/>
      <c r="G196" s="422"/>
      <c r="H196" s="17" t="str">
        <f t="shared" si="16"/>
        <v/>
      </c>
      <c r="I196" s="18"/>
      <c r="J196" s="62"/>
      <c r="K196" s="62"/>
      <c r="L196" s="420" t="str">
        <f t="shared" si="18"/>
        <v/>
      </c>
      <c r="M196" s="401" t="str">
        <f t="shared" si="19"/>
        <v/>
      </c>
    </row>
    <row r="197" spans="2:13" x14ac:dyDescent="0.25">
      <c r="B197" s="58"/>
      <c r="C197" s="26"/>
      <c r="D197" s="15"/>
      <c r="E197" s="15"/>
      <c r="F197" s="15"/>
      <c r="G197" s="422"/>
      <c r="H197" s="17" t="str">
        <f t="shared" si="16"/>
        <v/>
      </c>
      <c r="I197" s="18"/>
      <c r="J197" s="62"/>
      <c r="K197" s="62"/>
      <c r="L197" s="420" t="str">
        <f t="shared" si="18"/>
        <v/>
      </c>
      <c r="M197" s="401" t="str">
        <f t="shared" si="19"/>
        <v/>
      </c>
    </row>
    <row r="198" spans="2:13" x14ac:dyDescent="0.25">
      <c r="B198" s="58"/>
      <c r="C198" s="26"/>
      <c r="D198" s="15"/>
      <c r="E198" s="15"/>
      <c r="F198" s="15"/>
      <c r="G198" s="422"/>
      <c r="H198" s="17" t="str">
        <f t="shared" si="16"/>
        <v/>
      </c>
      <c r="I198" s="18"/>
      <c r="J198" s="62"/>
      <c r="K198" s="62"/>
      <c r="L198" s="420" t="str">
        <f t="shared" si="18"/>
        <v/>
      </c>
      <c r="M198" s="401" t="str">
        <f t="shared" si="19"/>
        <v/>
      </c>
    </row>
    <row r="199" spans="2:13" x14ac:dyDescent="0.25">
      <c r="B199" s="46"/>
      <c r="C199" s="26"/>
      <c r="D199" s="15"/>
      <c r="E199" s="15"/>
      <c r="F199" s="61"/>
      <c r="G199" s="422"/>
      <c r="H199" s="17" t="str">
        <f t="shared" si="16"/>
        <v/>
      </c>
      <c r="I199" s="69"/>
      <c r="J199" s="62"/>
      <c r="K199" s="62"/>
      <c r="L199" s="420" t="str">
        <f t="shared" si="18"/>
        <v/>
      </c>
      <c r="M199" s="401" t="str">
        <f t="shared" si="19"/>
        <v/>
      </c>
    </row>
    <row r="200" spans="2:13" x14ac:dyDescent="0.25">
      <c r="B200" s="46"/>
      <c r="C200" s="14"/>
      <c r="D200" s="15"/>
      <c r="E200" s="15"/>
      <c r="F200" s="61"/>
      <c r="G200" s="422"/>
      <c r="H200" s="17" t="str">
        <f t="shared" si="16"/>
        <v/>
      </c>
      <c r="I200" s="69"/>
      <c r="J200" s="62"/>
      <c r="K200" s="399"/>
      <c r="L200" s="420" t="str">
        <f t="shared" si="18"/>
        <v/>
      </c>
      <c r="M200" s="401" t="str">
        <f t="shared" si="19"/>
        <v/>
      </c>
    </row>
    <row r="201" spans="2:13" x14ac:dyDescent="0.25">
      <c r="B201" s="46"/>
      <c r="C201" s="134"/>
      <c r="D201" s="15"/>
      <c r="E201" s="15"/>
      <c r="F201" s="61"/>
      <c r="G201" s="422"/>
      <c r="H201" s="17" t="str">
        <f t="shared" si="16"/>
        <v/>
      </c>
      <c r="I201" s="69"/>
      <c r="J201" s="62"/>
      <c r="K201" s="62"/>
      <c r="L201" s="420" t="str">
        <f t="shared" si="18"/>
        <v/>
      </c>
      <c r="M201" s="401" t="str">
        <f t="shared" si="19"/>
        <v/>
      </c>
    </row>
    <row r="202" spans="2:13" x14ac:dyDescent="0.25">
      <c r="B202" s="46"/>
      <c r="C202" s="589"/>
      <c r="D202" s="590"/>
      <c r="E202" s="590"/>
      <c r="F202" s="590"/>
      <c r="G202" s="591"/>
      <c r="H202" s="17" t="str">
        <f t="shared" si="16"/>
        <v/>
      </c>
      <c r="I202" s="69"/>
      <c r="J202" s="62"/>
      <c r="K202" s="399"/>
      <c r="L202" s="420" t="str">
        <f t="shared" si="18"/>
        <v/>
      </c>
      <c r="M202" s="401" t="str">
        <f t="shared" si="19"/>
        <v/>
      </c>
    </row>
    <row r="203" spans="2:13" x14ac:dyDescent="0.25">
      <c r="B203" s="46"/>
      <c r="C203" s="589"/>
      <c r="D203" s="590"/>
      <c r="E203" s="590"/>
      <c r="F203" s="590"/>
      <c r="G203" s="591"/>
      <c r="H203" s="17" t="str">
        <f t="shared" si="16"/>
        <v/>
      </c>
      <c r="I203" s="69"/>
      <c r="J203" s="62"/>
      <c r="K203" s="62"/>
      <c r="L203" s="420" t="str">
        <f t="shared" si="18"/>
        <v/>
      </c>
      <c r="M203" s="401" t="str">
        <f t="shared" si="19"/>
        <v/>
      </c>
    </row>
    <row r="204" spans="2:13" x14ac:dyDescent="0.25">
      <c r="B204" s="46"/>
      <c r="C204" s="589"/>
      <c r="D204" s="590"/>
      <c r="E204" s="590"/>
      <c r="F204" s="590"/>
      <c r="G204" s="591"/>
      <c r="H204" s="17" t="str">
        <f t="shared" si="16"/>
        <v/>
      </c>
      <c r="I204" s="69"/>
      <c r="J204" s="62"/>
      <c r="K204" s="62"/>
      <c r="L204" s="420" t="str">
        <f t="shared" si="18"/>
        <v/>
      </c>
      <c r="M204" s="401" t="str">
        <f t="shared" si="19"/>
        <v/>
      </c>
    </row>
    <row r="205" spans="2:13" x14ac:dyDescent="0.25">
      <c r="B205" s="46"/>
      <c r="C205" s="134"/>
      <c r="D205" s="15"/>
      <c r="E205" s="15"/>
      <c r="F205" s="61"/>
      <c r="G205" s="422"/>
      <c r="H205" s="17" t="str">
        <f t="shared" si="16"/>
        <v/>
      </c>
      <c r="I205" s="69"/>
      <c r="J205" s="62"/>
      <c r="K205" s="62"/>
      <c r="L205" s="420" t="str">
        <f t="shared" si="18"/>
        <v/>
      </c>
      <c r="M205" s="401" t="str">
        <f t="shared" si="19"/>
        <v/>
      </c>
    </row>
    <row r="206" spans="2:13" ht="10.5" customHeight="1" x14ac:dyDescent="0.25">
      <c r="B206" s="46"/>
      <c r="C206" s="134"/>
      <c r="D206" s="15"/>
      <c r="E206" s="15"/>
      <c r="F206" s="61"/>
      <c r="G206" s="422"/>
      <c r="H206" s="17" t="str">
        <f t="shared" si="16"/>
        <v/>
      </c>
      <c r="I206" s="69"/>
      <c r="J206" s="62"/>
      <c r="K206" s="62"/>
      <c r="L206" s="420" t="str">
        <f t="shared" si="18"/>
        <v/>
      </c>
      <c r="M206" s="401" t="str">
        <f t="shared" si="19"/>
        <v/>
      </c>
    </row>
    <row r="207" spans="2:13" x14ac:dyDescent="0.25">
      <c r="B207" s="46"/>
      <c r="C207" s="134"/>
      <c r="D207" s="15"/>
      <c r="E207" s="15"/>
      <c r="F207" s="61"/>
      <c r="G207" s="422"/>
      <c r="H207" s="17" t="str">
        <f t="shared" si="16"/>
        <v/>
      </c>
      <c r="I207" s="69"/>
      <c r="J207" s="62"/>
      <c r="K207" s="62"/>
      <c r="L207" s="420" t="str">
        <f t="shared" si="18"/>
        <v/>
      </c>
      <c r="M207" s="401" t="str">
        <f t="shared" si="19"/>
        <v/>
      </c>
    </row>
    <row r="208" spans="2:13" x14ac:dyDescent="0.25">
      <c r="B208" s="237"/>
      <c r="C208" s="238"/>
      <c r="D208" s="394"/>
      <c r="E208" s="394"/>
      <c r="F208" s="15"/>
      <c r="G208" s="424"/>
      <c r="H208" s="17" t="str">
        <f t="shared" si="16"/>
        <v/>
      </c>
      <c r="I208" s="69"/>
      <c r="J208" s="62"/>
      <c r="K208" s="62"/>
      <c r="L208" s="420" t="str">
        <f t="shared" si="18"/>
        <v/>
      </c>
      <c r="M208" s="401" t="str">
        <f t="shared" si="19"/>
        <v/>
      </c>
    </row>
    <row r="209" spans="2:13" x14ac:dyDescent="0.25">
      <c r="B209" s="58"/>
      <c r="C209" s="14"/>
      <c r="D209" s="15"/>
      <c r="E209" s="15"/>
      <c r="F209" s="15"/>
      <c r="G209" s="411"/>
      <c r="H209" s="17" t="str">
        <f t="shared" si="16"/>
        <v/>
      </c>
      <c r="I209" s="18"/>
      <c r="J209" s="62"/>
      <c r="K209" s="62"/>
      <c r="L209" s="420" t="str">
        <f t="shared" si="18"/>
        <v/>
      </c>
      <c r="M209" s="401" t="str">
        <f t="shared" si="19"/>
        <v/>
      </c>
    </row>
    <row r="210" spans="2:13" x14ac:dyDescent="0.25">
      <c r="B210" s="46"/>
      <c r="C210" s="14"/>
      <c r="D210" s="15"/>
      <c r="E210" s="15"/>
      <c r="F210" s="24"/>
      <c r="G210" s="703"/>
      <c r="H210" s="17" t="str">
        <f t="shared" si="16"/>
        <v/>
      </c>
      <c r="I210" s="57"/>
      <c r="J210" s="62"/>
      <c r="K210" s="62"/>
      <c r="L210" s="420" t="str">
        <f t="shared" si="18"/>
        <v/>
      </c>
      <c r="M210" s="401" t="str">
        <f t="shared" si="19"/>
        <v/>
      </c>
    </row>
    <row r="211" spans="2:13" x14ac:dyDescent="0.25">
      <c r="B211" s="58"/>
      <c r="C211" s="14"/>
      <c r="D211" s="15"/>
      <c r="E211" s="15"/>
      <c r="F211" s="24"/>
      <c r="G211" s="411"/>
      <c r="H211" s="17" t="str">
        <f t="shared" si="16"/>
        <v/>
      </c>
      <c r="I211" s="18"/>
      <c r="J211" s="62"/>
      <c r="K211" s="62"/>
      <c r="L211" s="420" t="str">
        <f t="shared" si="18"/>
        <v/>
      </c>
      <c r="M211" s="401" t="str">
        <f t="shared" si="19"/>
        <v/>
      </c>
    </row>
    <row r="212" spans="2:13" ht="13" x14ac:dyDescent="0.3">
      <c r="B212" s="73"/>
      <c r="C212" s="19"/>
      <c r="D212" s="72"/>
      <c r="E212" s="72"/>
      <c r="F212" s="24"/>
      <c r="G212" s="423"/>
      <c r="H212" s="17" t="str">
        <f t="shared" si="16"/>
        <v/>
      </c>
      <c r="I212" s="18"/>
      <c r="J212" s="711"/>
      <c r="K212" s="711"/>
      <c r="L212" s="420" t="str">
        <f t="shared" si="18"/>
        <v/>
      </c>
      <c r="M212" s="401" t="str">
        <f t="shared" si="19"/>
        <v/>
      </c>
    </row>
    <row r="213" spans="2:13" s="28" customFormat="1" ht="24.75" customHeight="1" x14ac:dyDescent="0.25">
      <c r="B213" s="84" t="str">
        <f>$B$12</f>
        <v>C11.4</v>
      </c>
      <c r="C213" s="30" t="str">
        <f>"TOTAL CARRIED FORWARD"&amp;IF(H213=H$1," TO SUMMARY","")</f>
        <v>TOTAL CARRIED FORWARD TO SUMMARY</v>
      </c>
      <c r="D213" s="31"/>
      <c r="E213" s="31"/>
      <c r="F213" s="32"/>
      <c r="G213" s="31"/>
      <c r="H213" s="33">
        <f>SUM(H150:H212)</f>
        <v>1075350</v>
      </c>
      <c r="I213" s="34"/>
      <c r="J213" s="408"/>
      <c r="K213" s="406"/>
      <c r="L213" s="418">
        <f>SUM(L150:L212)</f>
        <v>121174.2</v>
      </c>
      <c r="M213" s="407" t="str">
        <f t="shared" si="19"/>
        <v/>
      </c>
    </row>
    <row r="214" spans="2:13" ht="13" x14ac:dyDescent="0.25">
      <c r="B214" s="43"/>
      <c r="C214" s="19"/>
      <c r="D214" s="21"/>
      <c r="E214" s="21"/>
      <c r="F214" s="24"/>
      <c r="G214" s="64"/>
      <c r="H214" s="23"/>
      <c r="I214" s="63"/>
    </row>
    <row r="215" spans="2:13" x14ac:dyDescent="0.25">
      <c r="B215" s="20"/>
      <c r="C215" s="26"/>
      <c r="D215" s="21"/>
      <c r="E215" s="21"/>
      <c r="F215" s="24"/>
      <c r="G215" s="64"/>
      <c r="H215" s="23"/>
      <c r="I215" s="63"/>
    </row>
    <row r="216" spans="2:13" x14ac:dyDescent="0.25">
      <c r="B216" s="20"/>
      <c r="C216" s="26"/>
      <c r="D216" s="21"/>
      <c r="E216" s="21"/>
      <c r="F216" s="24"/>
      <c r="G216" s="64"/>
      <c r="H216" s="23"/>
      <c r="I216" s="63"/>
    </row>
    <row r="217" spans="2:13" x14ac:dyDescent="0.25">
      <c r="B217" s="56"/>
      <c r="C217" s="25"/>
      <c r="D217" s="61"/>
      <c r="E217" s="61"/>
      <c r="F217" s="24"/>
      <c r="G217" s="62"/>
      <c r="H217" s="23"/>
      <c r="I217" s="63"/>
    </row>
    <row r="218" spans="2:13" x14ac:dyDescent="0.25">
      <c r="B218" s="46"/>
      <c r="C218" s="14"/>
      <c r="D218" s="21"/>
      <c r="E218" s="21"/>
      <c r="F218" s="24"/>
      <c r="G218" s="59"/>
      <c r="H218" s="23"/>
      <c r="I218" s="63"/>
    </row>
    <row r="219" spans="2:13" x14ac:dyDescent="0.25">
      <c r="B219" s="56"/>
      <c r="C219" s="14"/>
      <c r="D219" s="15"/>
      <c r="E219" s="15"/>
      <c r="F219" s="24"/>
      <c r="G219" s="62"/>
      <c r="H219" s="23"/>
      <c r="I219" s="63"/>
    </row>
    <row r="220" spans="2:13" ht="13" x14ac:dyDescent="0.25">
      <c r="B220" s="73"/>
      <c r="C220" s="7"/>
      <c r="D220" s="21"/>
      <c r="E220" s="21"/>
      <c r="F220" s="24"/>
      <c r="G220" s="16"/>
      <c r="H220" s="23"/>
      <c r="I220" s="18"/>
    </row>
    <row r="221" spans="2:13" x14ac:dyDescent="0.25">
      <c r="B221" s="56"/>
      <c r="C221" s="14"/>
      <c r="D221" s="15"/>
      <c r="E221" s="15"/>
      <c r="F221" s="24"/>
      <c r="G221" s="16"/>
      <c r="H221" s="23"/>
      <c r="I221" s="18"/>
    </row>
    <row r="222" spans="2:13" x14ac:dyDescent="0.25">
      <c r="B222" s="46"/>
      <c r="C222" s="14"/>
      <c r="D222" s="21"/>
      <c r="E222" s="21"/>
      <c r="F222" s="24"/>
      <c r="G222" s="64"/>
      <c r="H222" s="23"/>
      <c r="I222" s="57"/>
    </row>
    <row r="223" spans="2:13" x14ac:dyDescent="0.25">
      <c r="B223" s="56"/>
      <c r="C223" s="14"/>
      <c r="D223" s="15"/>
      <c r="E223" s="15"/>
      <c r="F223" s="24"/>
      <c r="G223" s="64"/>
      <c r="H223" s="23"/>
      <c r="I223" s="18"/>
    </row>
    <row r="224" spans="2:13" x14ac:dyDescent="0.25">
      <c r="B224" s="46"/>
      <c r="C224" s="14"/>
      <c r="D224" s="21"/>
      <c r="E224" s="21"/>
      <c r="F224" s="24"/>
      <c r="G224" s="59"/>
      <c r="H224" s="23"/>
      <c r="I224" s="18"/>
    </row>
    <row r="225" spans="2:9" x14ac:dyDescent="0.25">
      <c r="B225" s="56"/>
      <c r="C225" s="14"/>
      <c r="D225" s="15"/>
      <c r="E225" s="15"/>
      <c r="F225" s="24"/>
      <c r="G225" s="27"/>
      <c r="H225" s="23"/>
      <c r="I225" s="18"/>
    </row>
    <row r="226" spans="2:9" ht="13" x14ac:dyDescent="0.25">
      <c r="B226" s="73"/>
      <c r="C226" s="19"/>
      <c r="D226" s="21"/>
      <c r="E226" s="21"/>
      <c r="F226" s="24"/>
      <c r="G226" s="27"/>
      <c r="H226" s="23"/>
      <c r="I226" s="18"/>
    </row>
    <row r="227" spans="2:9" x14ac:dyDescent="0.25">
      <c r="B227" s="56"/>
      <c r="C227" s="14"/>
      <c r="D227" s="15"/>
      <c r="E227" s="15"/>
      <c r="F227" s="24"/>
      <c r="G227" s="27"/>
      <c r="H227" s="23"/>
      <c r="I227" s="18"/>
    </row>
    <row r="228" spans="2:9" x14ac:dyDescent="0.25">
      <c r="B228" s="46"/>
      <c r="C228" s="26"/>
      <c r="D228" s="21"/>
      <c r="E228" s="21"/>
      <c r="F228" s="24"/>
      <c r="G228" s="64"/>
      <c r="H228" s="23"/>
      <c r="I228" s="57"/>
    </row>
    <row r="229" spans="2:9" x14ac:dyDescent="0.25">
      <c r="B229" s="56"/>
      <c r="C229" s="14"/>
      <c r="D229" s="15"/>
      <c r="E229" s="15"/>
      <c r="F229" s="24"/>
      <c r="G229" s="27"/>
      <c r="H229" s="23"/>
      <c r="I229" s="18"/>
    </row>
    <row r="230" spans="2:9" x14ac:dyDescent="0.25">
      <c r="B230" s="46"/>
      <c r="C230" s="14"/>
      <c r="D230" s="21"/>
      <c r="E230" s="21"/>
      <c r="F230" s="24"/>
      <c r="G230" s="59"/>
      <c r="H230" s="23"/>
      <c r="I230" s="18"/>
    </row>
    <row r="231" spans="2:9" x14ac:dyDescent="0.25">
      <c r="B231" s="56"/>
      <c r="C231" s="83"/>
      <c r="D231" s="15"/>
      <c r="E231" s="15"/>
      <c r="F231" s="15"/>
      <c r="G231" s="16"/>
      <c r="H231" s="23"/>
      <c r="I231" s="18"/>
    </row>
    <row r="232" spans="2:9" ht="13" x14ac:dyDescent="0.25">
      <c r="B232" s="43"/>
      <c r="C232" s="19"/>
      <c r="D232" s="47"/>
      <c r="E232" s="47"/>
      <c r="F232" s="15"/>
      <c r="G232" s="64"/>
      <c r="H232" s="23"/>
      <c r="I232" s="18"/>
    </row>
    <row r="233" spans="2:9" x14ac:dyDescent="0.25">
      <c r="B233" s="56"/>
      <c r="C233" s="14"/>
      <c r="D233" s="15"/>
      <c r="E233" s="15"/>
      <c r="F233" s="15"/>
      <c r="G233" s="64"/>
      <c r="H233" s="23"/>
      <c r="I233" s="18"/>
    </row>
    <row r="234" spans="2:9" ht="13" x14ac:dyDescent="0.25">
      <c r="B234" s="139"/>
      <c r="C234" s="7"/>
      <c r="D234" s="21"/>
      <c r="E234" s="21"/>
      <c r="F234" s="15"/>
      <c r="G234" s="64"/>
      <c r="H234" s="23"/>
      <c r="I234" s="18"/>
    </row>
    <row r="235" spans="2:9" x14ac:dyDescent="0.25">
      <c r="B235" s="56"/>
      <c r="C235" s="14"/>
      <c r="D235" s="15"/>
      <c r="E235" s="15"/>
      <c r="F235" s="15"/>
      <c r="G235" s="64"/>
      <c r="H235" s="23"/>
      <c r="I235" s="18"/>
    </row>
    <row r="236" spans="2:9" x14ac:dyDescent="0.25">
      <c r="B236" s="46"/>
      <c r="C236" s="14"/>
      <c r="D236" s="21"/>
      <c r="E236" s="21"/>
      <c r="F236" s="15"/>
      <c r="G236" s="67"/>
      <c r="H236" s="23"/>
      <c r="I236" s="18"/>
    </row>
    <row r="237" spans="2:9" x14ac:dyDescent="0.25">
      <c r="B237" s="13"/>
      <c r="C237" s="14"/>
      <c r="D237" s="21"/>
      <c r="E237" s="21"/>
      <c r="F237" s="15"/>
      <c r="G237" s="67"/>
      <c r="H237" s="23"/>
      <c r="I237" s="18"/>
    </row>
    <row r="238" spans="2:9" ht="13" x14ac:dyDescent="0.25">
      <c r="B238" s="73"/>
      <c r="C238" s="19"/>
      <c r="D238" s="21"/>
      <c r="E238" s="21"/>
      <c r="F238" s="61"/>
      <c r="G238" s="64"/>
      <c r="H238" s="23"/>
      <c r="I238" s="18"/>
    </row>
    <row r="239" spans="2:9" x14ac:dyDescent="0.25">
      <c r="B239" s="56"/>
      <c r="C239" s="14"/>
      <c r="D239" s="15"/>
      <c r="E239" s="15"/>
      <c r="F239" s="15"/>
      <c r="G239" s="64"/>
      <c r="H239" s="23"/>
      <c r="I239" s="18"/>
    </row>
    <row r="240" spans="2:9" x14ac:dyDescent="0.25">
      <c r="B240" s="46"/>
      <c r="C240" s="26"/>
      <c r="D240" s="21"/>
      <c r="E240" s="21"/>
      <c r="F240" s="61"/>
      <c r="G240" s="64"/>
      <c r="H240" s="23"/>
      <c r="I240" s="18"/>
    </row>
    <row r="241" spans="1:9" x14ac:dyDescent="0.25">
      <c r="B241" s="56"/>
      <c r="C241" s="14"/>
      <c r="D241" s="15"/>
      <c r="E241" s="15"/>
      <c r="F241" s="15"/>
      <c r="G241" s="64"/>
      <c r="H241" s="23"/>
      <c r="I241" s="18"/>
    </row>
    <row r="242" spans="1:9" x14ac:dyDescent="0.25">
      <c r="B242" s="46"/>
      <c r="C242" s="14"/>
      <c r="D242" s="21"/>
      <c r="E242" s="21"/>
      <c r="F242" s="61"/>
      <c r="G242" s="64"/>
      <c r="H242" s="23"/>
      <c r="I242" s="63"/>
    </row>
    <row r="243" spans="1:9" x14ac:dyDescent="0.25">
      <c r="B243" s="56"/>
      <c r="C243" s="14"/>
      <c r="D243" s="15"/>
      <c r="E243" s="15"/>
      <c r="F243" s="15"/>
      <c r="G243" s="64"/>
      <c r="H243" s="23"/>
      <c r="I243" s="18"/>
    </row>
    <row r="244" spans="1:9" x14ac:dyDescent="0.25">
      <c r="B244" s="56"/>
      <c r="C244" s="26"/>
      <c r="D244" s="15"/>
      <c r="E244" s="15"/>
      <c r="F244" s="15"/>
      <c r="G244" s="64"/>
      <c r="H244" s="23"/>
      <c r="I244" s="18"/>
    </row>
    <row r="245" spans="1:9" x14ac:dyDescent="0.25">
      <c r="B245" s="56"/>
      <c r="C245" s="26"/>
      <c r="D245" s="15"/>
      <c r="E245" s="15"/>
      <c r="F245" s="15"/>
      <c r="G245" s="64"/>
      <c r="H245" s="23"/>
      <c r="I245" s="18"/>
    </row>
    <row r="246" spans="1:9" ht="13" x14ac:dyDescent="0.25">
      <c r="B246" s="146"/>
      <c r="C246" s="7"/>
      <c r="D246" s="15"/>
      <c r="E246" s="15"/>
      <c r="F246" s="15"/>
      <c r="G246" s="64"/>
      <c r="H246" s="23"/>
      <c r="I246" s="18"/>
    </row>
    <row r="247" spans="1:9" ht="13" x14ac:dyDescent="0.25">
      <c r="B247" s="146"/>
      <c r="C247" s="7"/>
      <c r="D247" s="15"/>
      <c r="E247" s="15"/>
      <c r="F247" s="15"/>
      <c r="G247" s="64"/>
      <c r="H247" s="23"/>
      <c r="I247" s="18"/>
    </row>
    <row r="248" spans="1:9" x14ac:dyDescent="0.25">
      <c r="B248" s="46"/>
      <c r="C248" s="26"/>
      <c r="D248" s="21"/>
      <c r="E248" s="21"/>
      <c r="F248" s="61"/>
      <c r="G248" s="64"/>
      <c r="H248" s="23"/>
      <c r="I248" s="69"/>
    </row>
    <row r="249" spans="1:9" ht="13" x14ac:dyDescent="0.25">
      <c r="A249" s="5"/>
      <c r="B249" s="29"/>
      <c r="C249" s="30"/>
      <c r="D249" s="31"/>
      <c r="E249" s="31"/>
      <c r="F249" s="32"/>
      <c r="G249" s="31"/>
      <c r="H249" s="33"/>
    </row>
  </sheetData>
  <mergeCells count="18">
    <mergeCell ref="B145:G145"/>
    <mergeCell ref="H145:H148"/>
    <mergeCell ref="B146:G148"/>
    <mergeCell ref="B73:G73"/>
    <mergeCell ref="H73:H76"/>
    <mergeCell ref="B74:G76"/>
    <mergeCell ref="B142:D142"/>
    <mergeCell ref="F142:H144"/>
    <mergeCell ref="B143:D143"/>
    <mergeCell ref="B144:D144"/>
    <mergeCell ref="F3:H3"/>
    <mergeCell ref="B6:G6"/>
    <mergeCell ref="H6:H9"/>
    <mergeCell ref="B7:G9"/>
    <mergeCell ref="B70:D70"/>
    <mergeCell ref="F70:H72"/>
    <mergeCell ref="B71:D71"/>
    <mergeCell ref="B72:D72"/>
  </mergeCells>
  <conditionalFormatting sqref="G11:H69 G78:H141 G150:H213">
    <cfRule type="expression" dxfId="18"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8">
    <tabColor rgb="FFFF0000"/>
    <pageSetUpPr fitToPage="1"/>
  </sheetPr>
  <dimension ref="B1:V113"/>
  <sheetViews>
    <sheetView showGridLines="0" view="pageBreakPreview" zoomScaleNormal="100" zoomScaleSheetLayoutView="100" workbookViewId="0">
      <pane ySplit="6" topLeftCell="A76" activePane="bottomLeft" state="frozen"/>
      <selection activeCell="F808" sqref="F808"/>
      <selection pane="bottomLeft" activeCell="B4" sqref="B4:I4"/>
    </sheetView>
  </sheetViews>
  <sheetFormatPr defaultColWidth="8.81640625" defaultRowHeight="12.5" x14ac:dyDescent="0.25"/>
  <cols>
    <col min="1" max="1" width="2" style="308" customWidth="1"/>
    <col min="2" max="2" width="13.81640625" style="363" customWidth="1"/>
    <col min="3" max="3" width="48.81640625" style="364" customWidth="1"/>
    <col min="4" max="4" width="17.81640625" style="130" customWidth="1"/>
    <col min="5" max="5" width="1.453125" style="308" customWidth="1"/>
    <col min="6" max="6" width="9.54296875" style="308" customWidth="1"/>
    <col min="7" max="7" width="21" style="130" customWidth="1"/>
    <col min="8" max="8" width="9.7265625" style="308" customWidth="1"/>
    <col min="9" max="9" width="18.7265625" style="308" bestFit="1" customWidth="1"/>
    <col min="10" max="10" width="9.453125" style="313" customWidth="1"/>
    <col min="11" max="11" width="17.26953125" style="308" customWidth="1"/>
    <col min="12" max="13" width="8.81640625" style="308"/>
    <col min="14" max="14" width="23.54296875" style="308" customWidth="1"/>
    <col min="15" max="20" width="9.7265625" style="308" customWidth="1"/>
    <col min="21" max="21" width="8.7265625" style="308" customWidth="1"/>
    <col min="22" max="16384" width="8.81640625" style="308"/>
  </cols>
  <sheetData>
    <row r="1" spans="2:21" ht="13" x14ac:dyDescent="0.25">
      <c r="B1" s="309" t="str">
        <f>Client1</f>
        <v>Province of KwaZulu-Natal</v>
      </c>
      <c r="C1" s="310"/>
      <c r="D1" s="315" t="str">
        <f>Client2</f>
        <v>Department of Transport</v>
      </c>
      <c r="E1" s="312"/>
      <c r="L1" s="314"/>
      <c r="M1" s="314" t="str">
        <f>"Contract No. "&amp;ContractNo</f>
        <v>Contract No. ZNB 00399/00000/HOD/INF/21/T</v>
      </c>
    </row>
    <row r="2" spans="2:21" s="311" customFormat="1" ht="13.5" customHeight="1" x14ac:dyDescent="0.25">
      <c r="B2" s="316"/>
      <c r="C2" s="310"/>
      <c r="D2" s="312"/>
      <c r="E2" s="312"/>
      <c r="F2" s="312"/>
      <c r="G2" s="312"/>
      <c r="H2" s="312"/>
      <c r="I2" s="312"/>
      <c r="J2" s="317"/>
      <c r="L2" s="318"/>
      <c r="M2" s="318"/>
      <c r="N2" s="318" t="s">
        <v>1054</v>
      </c>
      <c r="O2" s="319">
        <v>0.5</v>
      </c>
      <c r="P2" s="319">
        <v>1</v>
      </c>
      <c r="Q2" s="319">
        <v>3</v>
      </c>
      <c r="R2" s="319">
        <v>6</v>
      </c>
      <c r="S2" s="319">
        <v>10</v>
      </c>
      <c r="T2" s="319">
        <v>20</v>
      </c>
    </row>
    <row r="3" spans="2:21" ht="12.75" customHeight="1" x14ac:dyDescent="0.25">
      <c r="B3" s="320" t="s">
        <v>1055</v>
      </c>
      <c r="C3" s="308"/>
      <c r="D3" s="308"/>
      <c r="G3" s="308"/>
      <c r="N3" s="318" t="s">
        <v>1056</v>
      </c>
      <c r="O3" s="319">
        <f>O2*0.9</f>
        <v>0.45</v>
      </c>
      <c r="P3" s="319">
        <f t="shared" ref="P3:T3" si="0">P2*0.9</f>
        <v>0.9</v>
      </c>
      <c r="Q3" s="319">
        <f t="shared" si="0"/>
        <v>2.7</v>
      </c>
      <c r="R3" s="319">
        <f t="shared" si="0"/>
        <v>5.4</v>
      </c>
      <c r="S3" s="319">
        <f t="shared" si="0"/>
        <v>9</v>
      </c>
      <c r="T3" s="319">
        <f t="shared" si="0"/>
        <v>18</v>
      </c>
    </row>
    <row r="4" spans="2:21" ht="25.5" customHeight="1" x14ac:dyDescent="0.25">
      <c r="B4" s="1095" t="str">
        <f>ContractDescription</f>
        <v>THE CONSTRUCTION OF EARTHWORKS, LAYERWORKS, SURFACING, CULVERTS AND CWAKA RIVER BRIDGE FROM KM 11.600 TO KM 14.000 ON MAIN ROAD P494 IN THE KING CETSHWAYO DISTRICT UNDER EMPANGENI REGION</v>
      </c>
      <c r="C4" s="1095"/>
      <c r="D4" s="1095"/>
      <c r="E4" s="1095"/>
      <c r="F4" s="1095"/>
      <c r="G4" s="1095"/>
      <c r="H4" s="1095"/>
      <c r="I4" s="1095"/>
      <c r="J4" s="371"/>
      <c r="K4" s="371"/>
      <c r="L4" s="371"/>
      <c r="M4" s="371"/>
    </row>
    <row r="5" spans="2:21" ht="5.25" customHeight="1" thickBot="1" x14ac:dyDescent="0.3">
      <c r="B5" s="1094"/>
      <c r="C5" s="1094"/>
      <c r="D5" s="1094"/>
      <c r="G5" s="308"/>
    </row>
    <row r="6" spans="2:21" s="321" customFormat="1" ht="27" customHeight="1" thickBot="1" x14ac:dyDescent="0.3">
      <c r="B6" s="322" t="s">
        <v>1057</v>
      </c>
      <c r="C6" s="323" t="s">
        <v>1</v>
      </c>
      <c r="D6" s="324" t="s">
        <v>5</v>
      </c>
      <c r="F6" s="325" t="s">
        <v>1058</v>
      </c>
      <c r="G6" s="326" t="s">
        <v>1059</v>
      </c>
      <c r="H6" s="327" t="s">
        <v>26</v>
      </c>
      <c r="I6" s="808" t="s">
        <v>2213</v>
      </c>
      <c r="J6" s="328"/>
      <c r="K6" s="329" t="s">
        <v>1060</v>
      </c>
      <c r="L6" s="330" t="s">
        <v>1061</v>
      </c>
      <c r="M6" s="327" t="s">
        <v>1062</v>
      </c>
      <c r="N6" s="314" t="s">
        <v>1063</v>
      </c>
      <c r="O6" s="331">
        <v>1</v>
      </c>
      <c r="P6" s="331">
        <v>2</v>
      </c>
      <c r="Q6" s="331">
        <v>3</v>
      </c>
      <c r="R6" s="331">
        <v>4</v>
      </c>
      <c r="S6" s="331">
        <v>5</v>
      </c>
      <c r="T6" s="331">
        <v>6</v>
      </c>
      <c r="U6" s="332"/>
    </row>
    <row r="7" spans="2:21" s="321" customFormat="1" ht="13.5" thickBot="1" x14ac:dyDescent="0.3">
      <c r="B7" s="957" t="s">
        <v>864</v>
      </c>
      <c r="C7" s="958" t="s">
        <v>2057</v>
      </c>
      <c r="D7" s="959"/>
      <c r="F7" s="960"/>
      <c r="G7" s="961"/>
      <c r="H7" s="962"/>
      <c r="I7" s="963"/>
      <c r="J7" s="328"/>
      <c r="K7" s="964"/>
      <c r="L7" s="965"/>
      <c r="M7" s="962"/>
      <c r="N7" s="314"/>
      <c r="O7" s="832"/>
      <c r="P7" s="832"/>
      <c r="Q7" s="832"/>
      <c r="R7" s="832"/>
      <c r="S7" s="832"/>
      <c r="T7" s="832"/>
      <c r="U7" s="332"/>
    </row>
    <row r="8" spans="2:21" ht="21" customHeight="1" x14ac:dyDescent="0.25">
      <c r="B8" s="341" t="s">
        <v>14</v>
      </c>
      <c r="C8" s="342" t="str">
        <f t="shared" ref="C8:C21" ca="1" si="1">INDIRECT(B8&amp;"!c12")</f>
        <v>GENERAL REQUIREMENTS AND PAYMENT</v>
      </c>
      <c r="D8" s="347">
        <f ca="1">INDIRECT(B8&amp;"!H1")</f>
        <v>3325915</v>
      </c>
      <c r="F8" s="344">
        <v>0</v>
      </c>
      <c r="G8" s="345">
        <f t="shared" ref="G8:G52" ca="1" si="2">D8*F8</f>
        <v>0</v>
      </c>
      <c r="H8" s="346">
        <f t="shared" ref="H8:H21" ca="1" si="3">G8/$D$98</f>
        <v>0</v>
      </c>
      <c r="I8" s="809"/>
      <c r="J8" s="336"/>
      <c r="K8" s="337">
        <f ca="1">INDIRECT("'"&amp;B8&amp;"'!L$1")</f>
        <v>302522.07500000001</v>
      </c>
      <c r="L8" s="338">
        <f ca="1">IF(SUM(D8)=0,"",K8/D8)</f>
        <v>9.0959051869936552E-2</v>
      </c>
      <c r="M8" s="335">
        <f ca="1">K8/Summary!$G$16</f>
        <v>9.16991846642865E-3</v>
      </c>
      <c r="N8" s="339"/>
      <c r="O8" s="340"/>
      <c r="P8" s="340"/>
      <c r="Q8" s="340"/>
      <c r="R8" s="340"/>
      <c r="S8" s="340"/>
      <c r="T8" s="340"/>
    </row>
    <row r="9" spans="2:21" ht="23" x14ac:dyDescent="0.25">
      <c r="B9" s="673" t="s">
        <v>53</v>
      </c>
      <c r="C9" s="670" t="str">
        <f t="shared" ca="1" si="1"/>
        <v>CONTRACTOR'S SITE ESTABLISHMENT AND GENERAL OBLIGATIONS</v>
      </c>
      <c r="D9" s="671">
        <f ca="1">INDIRECT(B9&amp;"!H1")</f>
        <v>0</v>
      </c>
      <c r="F9" s="333">
        <v>0</v>
      </c>
      <c r="G9" s="334">
        <f t="shared" ca="1" si="2"/>
        <v>0</v>
      </c>
      <c r="H9" s="335">
        <f t="shared" ca="1" si="3"/>
        <v>0</v>
      </c>
      <c r="I9" s="810"/>
      <c r="J9" s="336"/>
      <c r="K9" s="337">
        <f t="shared" ref="K9:K21" ca="1" si="4">INDIRECT("'"&amp;B9&amp;"'!L$1")</f>
        <v>0</v>
      </c>
      <c r="L9" s="338" t="str">
        <f t="shared" ref="L9:L93" ca="1" si="5">IF(SUM(D9)=0,"",K9/D9)</f>
        <v/>
      </c>
      <c r="M9" s="335">
        <f ca="1">K9/Summary!$G$16</f>
        <v>0</v>
      </c>
      <c r="N9" s="339"/>
      <c r="O9" s="340"/>
      <c r="P9" s="340"/>
      <c r="Q9" s="340"/>
      <c r="R9" s="340"/>
      <c r="S9" s="340"/>
      <c r="T9" s="340"/>
    </row>
    <row r="10" spans="2:21" ht="21" customHeight="1" x14ac:dyDescent="0.25">
      <c r="B10" s="341" t="s">
        <v>62</v>
      </c>
      <c r="C10" s="670" t="str">
        <f t="shared" ca="1" si="1"/>
        <v>FACILITIES FOR THE ENGINEER</v>
      </c>
      <c r="D10" s="671">
        <f ca="1">INDIRECT(B10&amp;"!H1")</f>
        <v>210000</v>
      </c>
      <c r="F10" s="344">
        <v>0</v>
      </c>
      <c r="G10" s="334">
        <f t="shared" ca="1" si="2"/>
        <v>0</v>
      </c>
      <c r="H10" s="335">
        <f t="shared" ca="1" si="3"/>
        <v>0</v>
      </c>
      <c r="I10" s="810"/>
      <c r="J10" s="336"/>
      <c r="K10" s="337">
        <f t="shared" ca="1" si="4"/>
        <v>40000</v>
      </c>
      <c r="L10" s="338">
        <f t="shared" ca="1" si="5"/>
        <v>0.19047619047619047</v>
      </c>
      <c r="M10" s="335">
        <f ca="1">K10/Summary!$G$16</f>
        <v>1.2124627224547036E-3</v>
      </c>
      <c r="N10" s="339"/>
      <c r="O10" s="340"/>
      <c r="P10" s="340"/>
      <c r="Q10" s="340"/>
      <c r="R10" s="340"/>
      <c r="S10" s="340"/>
      <c r="T10" s="340"/>
    </row>
    <row r="11" spans="2:21" ht="21" customHeight="1" x14ac:dyDescent="0.25">
      <c r="B11" s="341" t="s">
        <v>1064</v>
      </c>
      <c r="C11" s="670" t="str">
        <f t="shared" ca="1" si="1"/>
        <v>ACCOMMODATION OF TRAFFIC</v>
      </c>
      <c r="D11" s="671">
        <f t="shared" ref="D11:D21" ca="1" si="6">INDIRECT(B11&amp;"!H1")</f>
        <v>0</v>
      </c>
      <c r="F11" s="344">
        <v>0</v>
      </c>
      <c r="G11" s="334">
        <f t="shared" ca="1" si="2"/>
        <v>0</v>
      </c>
      <c r="H11" s="335">
        <f t="shared" ca="1" si="3"/>
        <v>0</v>
      </c>
      <c r="I11" s="810"/>
      <c r="J11" s="336"/>
      <c r="K11" s="337">
        <f t="shared" ca="1" si="4"/>
        <v>0</v>
      </c>
      <c r="L11" s="338" t="str">
        <f t="shared" ca="1" si="5"/>
        <v/>
      </c>
      <c r="M11" s="335">
        <f ca="1">K11/Summary!$G$16</f>
        <v>0</v>
      </c>
      <c r="N11" s="339"/>
      <c r="O11" s="340"/>
      <c r="P11" s="340"/>
      <c r="Q11" s="340"/>
      <c r="R11" s="340"/>
      <c r="S11" s="340"/>
      <c r="T11" s="340"/>
    </row>
    <row r="12" spans="2:21" ht="21" customHeight="1" x14ac:dyDescent="0.25">
      <c r="B12" s="341" t="s">
        <v>795</v>
      </c>
      <c r="C12" s="670" t="str">
        <f t="shared" ca="1" si="1"/>
        <v>BORROW MATERIALS</v>
      </c>
      <c r="D12" s="671">
        <f t="shared" ca="1" si="6"/>
        <v>100000</v>
      </c>
      <c r="F12" s="344">
        <v>0</v>
      </c>
      <c r="G12" s="334">
        <f t="shared" ca="1" si="2"/>
        <v>0</v>
      </c>
      <c r="H12" s="335">
        <f t="shared" ca="1" si="3"/>
        <v>0</v>
      </c>
      <c r="I12" s="810"/>
      <c r="J12" s="336"/>
      <c r="K12" s="337">
        <f t="shared" ca="1" si="4"/>
        <v>0</v>
      </c>
      <c r="L12" s="338">
        <f t="shared" ca="1" si="5"/>
        <v>0</v>
      </c>
      <c r="M12" s="335">
        <f ca="1">K12/Summary!$G$16</f>
        <v>0</v>
      </c>
      <c r="N12" s="339"/>
      <c r="O12" s="340"/>
      <c r="P12" s="340"/>
      <c r="Q12" s="340"/>
      <c r="R12" s="340"/>
      <c r="S12" s="340"/>
      <c r="T12" s="340"/>
    </row>
    <row r="13" spans="2:21" ht="21" customHeight="1" x14ac:dyDescent="0.25">
      <c r="B13" s="341" t="s">
        <v>797</v>
      </c>
      <c r="C13" s="670" t="str">
        <f t="shared" ca="1" si="1"/>
        <v>CUT MATERIALS</v>
      </c>
      <c r="D13" s="671">
        <f t="shared" ca="1" si="6"/>
        <v>0</v>
      </c>
      <c r="F13" s="344">
        <v>0</v>
      </c>
      <c r="G13" s="334">
        <f t="shared" ca="1" si="2"/>
        <v>0</v>
      </c>
      <c r="H13" s="335">
        <f t="shared" ca="1" si="3"/>
        <v>0</v>
      </c>
      <c r="I13" s="810"/>
      <c r="J13" s="336"/>
      <c r="K13" s="337">
        <f t="shared" ca="1" si="4"/>
        <v>0</v>
      </c>
      <c r="L13" s="338" t="str">
        <f t="shared" ca="1" si="5"/>
        <v/>
      </c>
      <c r="M13" s="335">
        <f ca="1">K13/Summary!$G$16</f>
        <v>0</v>
      </c>
      <c r="N13" s="339"/>
      <c r="O13" s="340"/>
      <c r="P13" s="340"/>
      <c r="Q13" s="340"/>
      <c r="R13" s="340"/>
      <c r="S13" s="340"/>
      <c r="T13" s="340"/>
    </row>
    <row r="14" spans="2:21" ht="21" customHeight="1" x14ac:dyDescent="0.25">
      <c r="B14" s="341" t="s">
        <v>575</v>
      </c>
      <c r="C14" s="670" t="str">
        <f t="shared" ca="1" si="1"/>
        <v>COMMERCIAL MATERIALS</v>
      </c>
      <c r="D14" s="671">
        <f t="shared" ca="1" si="6"/>
        <v>0</v>
      </c>
      <c r="F14" s="344">
        <v>0</v>
      </c>
      <c r="G14" s="334">
        <f t="shared" ca="1" si="2"/>
        <v>0</v>
      </c>
      <c r="H14" s="335">
        <f t="shared" ca="1" si="3"/>
        <v>0</v>
      </c>
      <c r="I14" s="810"/>
      <c r="J14" s="336"/>
      <c r="K14" s="337">
        <f t="shared" ca="1" si="4"/>
        <v>0</v>
      </c>
      <c r="L14" s="338" t="str">
        <f t="shared" ca="1" si="5"/>
        <v/>
      </c>
      <c r="M14" s="335">
        <f ca="1">K14/Summary!$G$16</f>
        <v>0</v>
      </c>
      <c r="N14" s="339"/>
      <c r="O14" s="340"/>
      <c r="P14" s="340"/>
      <c r="Q14" s="340"/>
      <c r="R14" s="340"/>
      <c r="S14" s="340"/>
      <c r="T14" s="340"/>
    </row>
    <row r="15" spans="2:21" x14ac:dyDescent="0.25">
      <c r="B15" s="341" t="s">
        <v>195</v>
      </c>
      <c r="C15" s="670" t="str">
        <f t="shared" ca="1" si="1"/>
        <v>ROADBED</v>
      </c>
      <c r="D15" s="671">
        <f t="shared" ca="1" si="6"/>
        <v>0</v>
      </c>
      <c r="F15" s="344">
        <v>0</v>
      </c>
      <c r="G15" s="334">
        <f t="shared" ca="1" si="2"/>
        <v>0</v>
      </c>
      <c r="H15" s="335">
        <f t="shared" ca="1" si="3"/>
        <v>0</v>
      </c>
      <c r="I15" s="810"/>
      <c r="J15" s="336"/>
      <c r="K15" s="337">
        <f t="shared" ca="1" si="4"/>
        <v>0</v>
      </c>
      <c r="L15" s="338" t="str">
        <f t="shared" ca="1" si="5"/>
        <v/>
      </c>
      <c r="M15" s="335">
        <f ca="1">K15/Summary!$G$16</f>
        <v>0</v>
      </c>
      <c r="N15" s="339"/>
      <c r="O15" s="340"/>
      <c r="P15" s="340"/>
      <c r="Q15" s="340"/>
      <c r="R15" s="340"/>
      <c r="S15" s="340"/>
      <c r="T15" s="340"/>
    </row>
    <row r="16" spans="2:21" x14ac:dyDescent="0.25">
      <c r="B16" s="341" t="s">
        <v>219</v>
      </c>
      <c r="C16" s="670" t="str">
        <f t="shared" ca="1" si="1"/>
        <v>FILL</v>
      </c>
      <c r="D16" s="671">
        <f t="shared" ca="1" si="6"/>
        <v>0</v>
      </c>
      <c r="F16" s="344">
        <v>0</v>
      </c>
      <c r="G16" s="334">
        <f t="shared" ca="1" si="2"/>
        <v>0</v>
      </c>
      <c r="H16" s="335">
        <f t="shared" ca="1" si="3"/>
        <v>0</v>
      </c>
      <c r="I16" s="810"/>
      <c r="J16" s="336"/>
      <c r="K16" s="337">
        <f t="shared" ca="1" si="4"/>
        <v>7835</v>
      </c>
      <c r="L16" s="338" t="str">
        <f t="shared" ca="1" si="5"/>
        <v/>
      </c>
      <c r="M16" s="335">
        <f ca="1">K16/Summary!$G$16</f>
        <v>2.3749113576081505E-4</v>
      </c>
      <c r="N16" s="339"/>
      <c r="O16" s="340"/>
      <c r="P16" s="340"/>
      <c r="Q16" s="340"/>
      <c r="R16" s="340"/>
      <c r="S16" s="340"/>
      <c r="T16" s="340"/>
    </row>
    <row r="17" spans="2:20" x14ac:dyDescent="0.25">
      <c r="B17" s="341" t="s">
        <v>255</v>
      </c>
      <c r="C17" s="670" t="str">
        <f t="shared" ca="1" si="1"/>
        <v>PRIME COAT</v>
      </c>
      <c r="D17" s="671">
        <f t="shared" ca="1" si="6"/>
        <v>0</v>
      </c>
      <c r="F17" s="344">
        <v>0</v>
      </c>
      <c r="G17" s="334">
        <f t="shared" ca="1" si="2"/>
        <v>0</v>
      </c>
      <c r="H17" s="335">
        <f t="shared" ca="1" si="3"/>
        <v>0</v>
      </c>
      <c r="I17" s="810"/>
      <c r="J17" s="348"/>
      <c r="K17" s="337">
        <f t="shared" ca="1" si="4"/>
        <v>0</v>
      </c>
      <c r="L17" s="338" t="str">
        <f t="shared" ca="1" si="5"/>
        <v/>
      </c>
      <c r="M17" s="335">
        <f ca="1">K17/Summary!$G$16</f>
        <v>0</v>
      </c>
      <c r="N17" s="339"/>
      <c r="O17" s="340"/>
      <c r="P17" s="340"/>
      <c r="Q17" s="340"/>
      <c r="R17" s="340"/>
      <c r="S17" s="340"/>
      <c r="T17" s="340"/>
    </row>
    <row r="18" spans="2:20" x14ac:dyDescent="0.25">
      <c r="B18" s="341" t="s">
        <v>780</v>
      </c>
      <c r="C18" s="670" t="str">
        <f t="shared" ca="1" si="1"/>
        <v>GENERAL REQUIREMENTS FOR SURFACE TREATMENTS</v>
      </c>
      <c r="D18" s="671">
        <f t="shared" ca="1" si="6"/>
        <v>0</v>
      </c>
      <c r="F18" s="344">
        <v>0</v>
      </c>
      <c r="G18" s="334">
        <f t="shared" ca="1" si="2"/>
        <v>0</v>
      </c>
      <c r="H18" s="335">
        <f t="shared" ca="1" si="3"/>
        <v>0</v>
      </c>
      <c r="I18" s="810"/>
      <c r="J18" s="348"/>
      <c r="K18" s="337">
        <f t="shared" ca="1" si="4"/>
        <v>0</v>
      </c>
      <c r="L18" s="338" t="str">
        <f t="shared" ca="1" si="5"/>
        <v/>
      </c>
      <c r="M18" s="335">
        <f ca="1">K18/Summary!$G$16</f>
        <v>0</v>
      </c>
      <c r="N18" s="339"/>
      <c r="O18" s="340"/>
      <c r="P18" s="340"/>
      <c r="Q18" s="340"/>
      <c r="R18" s="340"/>
      <c r="S18" s="340"/>
      <c r="T18" s="340"/>
    </row>
    <row r="19" spans="2:20" x14ac:dyDescent="0.25">
      <c r="B19" s="341" t="s">
        <v>765</v>
      </c>
      <c r="C19" s="670" t="str">
        <f t="shared" ca="1" si="1"/>
        <v>LANDSCAPING AND PLANTING PLANTS</v>
      </c>
      <c r="D19" s="671">
        <f t="shared" ca="1" si="6"/>
        <v>10000</v>
      </c>
      <c r="F19" s="344">
        <v>0</v>
      </c>
      <c r="G19" s="334">
        <f t="shared" ca="1" si="2"/>
        <v>0</v>
      </c>
      <c r="H19" s="335">
        <f t="shared" ca="1" si="3"/>
        <v>0</v>
      </c>
      <c r="I19" s="810"/>
      <c r="J19" s="348"/>
      <c r="K19" s="337">
        <f t="shared" ca="1" si="4"/>
        <v>0</v>
      </c>
      <c r="L19" s="338">
        <f t="shared" ca="1" si="5"/>
        <v>0</v>
      </c>
      <c r="M19" s="335">
        <f ca="1">K19/Summary!$G$16</f>
        <v>0</v>
      </c>
      <c r="N19" s="339"/>
      <c r="O19" s="340"/>
      <c r="P19" s="340"/>
      <c r="Q19" s="340"/>
      <c r="R19" s="340"/>
      <c r="S19" s="340"/>
      <c r="T19" s="340"/>
    </row>
    <row r="20" spans="2:20" ht="23" x14ac:dyDescent="0.25">
      <c r="B20" s="341" t="s">
        <v>771</v>
      </c>
      <c r="C20" s="670" t="str">
        <f t="shared" ca="1" si="1"/>
        <v>FINISHING THE ROAD AND ROAD RESERVE AND TREATING OLD ROADS</v>
      </c>
      <c r="D20" s="671">
        <f t="shared" ca="1" si="6"/>
        <v>0</v>
      </c>
      <c r="F20" s="344">
        <v>0</v>
      </c>
      <c r="G20" s="334">
        <f ca="1">D20*F20</f>
        <v>0</v>
      </c>
      <c r="H20" s="346">
        <f t="shared" ca="1" si="3"/>
        <v>0</v>
      </c>
      <c r="I20" s="810"/>
      <c r="J20" s="336"/>
      <c r="K20" s="337">
        <f t="shared" ca="1" si="4"/>
        <v>0</v>
      </c>
      <c r="L20" s="338" t="str">
        <f ca="1">IF(SUM(D20)=0,"",K20/D20)</f>
        <v/>
      </c>
      <c r="M20" s="335">
        <f ca="1">K20/Summary!$G$16</f>
        <v>0</v>
      </c>
      <c r="N20" s="339"/>
      <c r="O20" s="340"/>
      <c r="P20" s="340"/>
      <c r="Q20" s="340"/>
      <c r="R20" s="340"/>
      <c r="S20" s="340"/>
      <c r="T20" s="340"/>
    </row>
    <row r="21" spans="2:20" x14ac:dyDescent="0.25">
      <c r="B21" s="341" t="s">
        <v>268</v>
      </c>
      <c r="C21" s="670" t="str">
        <f t="shared" ca="1" si="1"/>
        <v>TESTING MATERIALS AND JUDGEMENT OF WORKMANSHIP</v>
      </c>
      <c r="D21" s="671">
        <f t="shared" ca="1" si="6"/>
        <v>6000000</v>
      </c>
      <c r="F21" s="344">
        <v>0</v>
      </c>
      <c r="G21" s="334">
        <f t="shared" ca="1" si="2"/>
        <v>0</v>
      </c>
      <c r="H21" s="335">
        <f t="shared" ca="1" si="3"/>
        <v>0</v>
      </c>
      <c r="I21" s="810"/>
      <c r="J21" s="348"/>
      <c r="K21" s="337">
        <f t="shared" ca="1" si="4"/>
        <v>0</v>
      </c>
      <c r="L21" s="338">
        <f t="shared" ca="1" si="5"/>
        <v>0</v>
      </c>
      <c r="M21" s="335">
        <f ca="1">K21/Summary!$G$16</f>
        <v>0</v>
      </c>
      <c r="N21" s="339"/>
      <c r="O21" s="340"/>
      <c r="P21" s="340"/>
      <c r="Q21" s="340"/>
      <c r="R21" s="340"/>
      <c r="S21" s="340"/>
      <c r="T21" s="340"/>
    </row>
    <row r="22" spans="2:20" x14ac:dyDescent="0.25">
      <c r="B22" s="946" t="s">
        <v>1849</v>
      </c>
      <c r="C22" s="966" t="s">
        <v>2058</v>
      </c>
      <c r="D22" s="967"/>
      <c r="F22" s="950"/>
      <c r="G22" s="968"/>
      <c r="H22" s="956"/>
      <c r="I22" s="969"/>
      <c r="J22" s="348"/>
      <c r="K22" s="954"/>
      <c r="L22" s="955" t="str">
        <f t="shared" si="5"/>
        <v/>
      </c>
      <c r="M22" s="956"/>
      <c r="N22" s="339"/>
      <c r="O22" s="340"/>
      <c r="P22" s="340"/>
      <c r="Q22" s="340"/>
      <c r="R22" s="340"/>
      <c r="S22" s="340"/>
      <c r="T22" s="340"/>
    </row>
    <row r="23" spans="2:20" x14ac:dyDescent="0.25">
      <c r="B23" s="341" t="s">
        <v>277</v>
      </c>
      <c r="C23" s="670" t="str">
        <f t="shared" ref="C23:C26" ca="1" si="7">INDIRECT(B23&amp;"!c14")</f>
        <v>FOUNDATIONS</v>
      </c>
      <c r="D23" s="671">
        <f t="shared" ref="D23:D26" ca="1" si="8">INDIRECT(B23&amp;"!H1")</f>
        <v>0</v>
      </c>
      <c r="F23" s="344">
        <v>0</v>
      </c>
      <c r="G23" s="334">
        <f t="shared" ca="1" si="2"/>
        <v>0</v>
      </c>
      <c r="H23" s="335">
        <f ca="1">G23/$D$98</f>
        <v>0</v>
      </c>
      <c r="I23" s="810"/>
      <c r="J23" s="348"/>
      <c r="K23" s="337">
        <f t="shared" ref="K23:K29" ca="1" si="9">INDIRECT("'"&amp;B23&amp;"'!L$1")</f>
        <v>13872.25</v>
      </c>
      <c r="L23" s="338" t="str">
        <f t="shared" ca="1" si="5"/>
        <v/>
      </c>
      <c r="M23" s="335">
        <f ca="1">K23/Summary!$G$16</f>
        <v>4.2048965003930653E-4</v>
      </c>
      <c r="N23" s="339"/>
      <c r="O23" s="340"/>
      <c r="P23" s="340"/>
      <c r="Q23" s="340"/>
      <c r="R23" s="340"/>
      <c r="S23" s="340"/>
      <c r="T23" s="340"/>
    </row>
    <row r="24" spans="2:20" x14ac:dyDescent="0.25">
      <c r="B24" s="341" t="s">
        <v>335</v>
      </c>
      <c r="C24" s="670" t="str">
        <f t="shared" ca="1" si="7"/>
        <v>BEARINGS</v>
      </c>
      <c r="D24" s="671">
        <f t="shared" ca="1" si="8"/>
        <v>180000</v>
      </c>
      <c r="F24" s="344">
        <v>0</v>
      </c>
      <c r="G24" s="334">
        <f t="shared" ca="1" si="2"/>
        <v>0</v>
      </c>
      <c r="H24" s="335">
        <f ca="1">G24/$D$98</f>
        <v>0</v>
      </c>
      <c r="I24" s="810"/>
      <c r="J24" s="348"/>
      <c r="K24" s="337">
        <f t="shared" ca="1" si="9"/>
        <v>0</v>
      </c>
      <c r="L24" s="338">
        <f t="shared" ca="1" si="5"/>
        <v>0</v>
      </c>
      <c r="M24" s="335">
        <f ca="1">K24/Summary!$G$16</f>
        <v>0</v>
      </c>
      <c r="N24" s="339"/>
      <c r="O24" s="340"/>
      <c r="P24" s="340"/>
      <c r="Q24" s="340"/>
      <c r="R24" s="340"/>
      <c r="S24" s="340"/>
      <c r="T24" s="340"/>
    </row>
    <row r="25" spans="2:20" x14ac:dyDescent="0.25">
      <c r="B25" s="341" t="s">
        <v>345</v>
      </c>
      <c r="C25" s="670" t="str">
        <f t="shared" ca="1" si="7"/>
        <v>JOINTS</v>
      </c>
      <c r="D25" s="671">
        <f t="shared" ca="1" si="8"/>
        <v>0</v>
      </c>
      <c r="F25" s="344">
        <v>0</v>
      </c>
      <c r="G25" s="334">
        <f t="shared" ca="1" si="2"/>
        <v>0</v>
      </c>
      <c r="H25" s="335">
        <f ca="1">G25/$D$98</f>
        <v>0</v>
      </c>
      <c r="I25" s="811"/>
      <c r="J25" s="348"/>
      <c r="K25" s="337">
        <f t="shared" ca="1" si="9"/>
        <v>0</v>
      </c>
      <c r="L25" s="338" t="str">
        <f t="shared" ca="1" si="5"/>
        <v/>
      </c>
      <c r="M25" s="335">
        <f ca="1">K25/Summary!$G$16</f>
        <v>0</v>
      </c>
      <c r="N25" s="339"/>
      <c r="O25" s="340"/>
      <c r="P25" s="340"/>
      <c r="Q25" s="340"/>
      <c r="R25" s="340"/>
      <c r="S25" s="340"/>
      <c r="T25" s="340"/>
    </row>
    <row r="26" spans="2:20" x14ac:dyDescent="0.25">
      <c r="B26" s="341" t="s">
        <v>359</v>
      </c>
      <c r="C26" s="670" t="str">
        <f t="shared" ca="1" si="7"/>
        <v>ANCILLARY STRUCTURAL ELEMENTS</v>
      </c>
      <c r="D26" s="671">
        <f t="shared" ca="1" si="8"/>
        <v>0</v>
      </c>
      <c r="F26" s="344">
        <v>0</v>
      </c>
      <c r="G26" s="334">
        <f t="shared" ca="1" si="2"/>
        <v>0</v>
      </c>
      <c r="H26" s="335">
        <f ca="1">G26/$D$98</f>
        <v>0</v>
      </c>
      <c r="I26" s="810"/>
      <c r="J26" s="348"/>
      <c r="K26" s="337">
        <f t="shared" ca="1" si="9"/>
        <v>0</v>
      </c>
      <c r="L26" s="338" t="str">
        <f t="shared" ca="1" si="5"/>
        <v/>
      </c>
      <c r="M26" s="335">
        <f ca="1">K26/Summary!$G$16</f>
        <v>0</v>
      </c>
      <c r="N26" s="339"/>
      <c r="O26" s="340"/>
      <c r="P26" s="340"/>
      <c r="Q26" s="340"/>
      <c r="R26" s="340"/>
      <c r="S26" s="340"/>
      <c r="T26" s="340"/>
    </row>
    <row r="27" spans="2:20" x14ac:dyDescent="0.25">
      <c r="B27" s="821"/>
      <c r="C27" s="822"/>
      <c r="D27" s="823"/>
      <c r="F27" s="814"/>
      <c r="G27" s="825"/>
      <c r="H27" s="816"/>
      <c r="I27" s="824"/>
      <c r="J27" s="336"/>
      <c r="K27" s="818"/>
      <c r="L27" s="819"/>
      <c r="M27" s="816"/>
      <c r="N27" s="864"/>
      <c r="O27" s="830"/>
      <c r="P27" s="830"/>
      <c r="Q27" s="830"/>
      <c r="R27" s="830"/>
      <c r="S27" s="830"/>
      <c r="T27" s="830"/>
    </row>
    <row r="28" spans="2:20" x14ac:dyDescent="0.25">
      <c r="B28" s="669" t="s">
        <v>1822</v>
      </c>
      <c r="C28" s="670" t="str">
        <f t="shared" ref="C28:C38" ca="1" si="10">INDIRECT("'"&amp;B28&amp;"'"&amp;"!c12")</f>
        <v>GENERAL REQUIREMENTS AND PAYMENT</v>
      </c>
      <c r="D28" s="671">
        <f t="shared" ref="D28:D29" ca="1" si="11">INDIRECT("'"&amp;B28&amp;"'"&amp;"!G1")</f>
        <v>0</v>
      </c>
      <c r="F28" s="344">
        <v>0</v>
      </c>
      <c r="G28" s="334">
        <f ca="1">D28*F28</f>
        <v>0</v>
      </c>
      <c r="H28" s="346">
        <f ca="1">G28/$D$98</f>
        <v>0</v>
      </c>
      <c r="I28" s="810"/>
      <c r="J28" s="336"/>
      <c r="K28" s="337">
        <f t="shared" ca="1" si="9"/>
        <v>0</v>
      </c>
      <c r="L28" s="338" t="str">
        <f ca="1">IF(SUM(D28)=0,"",K28/D28)</f>
        <v/>
      </c>
      <c r="M28" s="335">
        <f ca="1">K28/Summary!$G$16</f>
        <v>0</v>
      </c>
      <c r="N28" s="864"/>
      <c r="O28" s="1096" t="s">
        <v>2054</v>
      </c>
      <c r="P28" s="1097"/>
      <c r="Q28" s="1097"/>
      <c r="R28" s="1097"/>
      <c r="S28" s="1097"/>
      <c r="T28" s="1098"/>
    </row>
    <row r="29" spans="2:20" ht="23" x14ac:dyDescent="0.25">
      <c r="B29" s="669" t="s">
        <v>1823</v>
      </c>
      <c r="C29" s="670" t="str">
        <f t="shared" ca="1" si="10"/>
        <v>CONTRACTOR'S SITE ESTABLISHMENT AND GENERAL OBLIGATIONS</v>
      </c>
      <c r="D29" s="671">
        <f t="shared" ca="1" si="11"/>
        <v>0</v>
      </c>
      <c r="F29" s="344">
        <v>0</v>
      </c>
      <c r="G29" s="334">
        <f ca="1">D29*F29</f>
        <v>0</v>
      </c>
      <c r="H29" s="346">
        <f ca="1">G29/$D$98</f>
        <v>0</v>
      </c>
      <c r="I29" s="810">
        <f ca="1">G29+G28</f>
        <v>0</v>
      </c>
      <c r="J29" s="336"/>
      <c r="K29" s="337">
        <f t="shared" ca="1" si="9"/>
        <v>0</v>
      </c>
      <c r="L29" s="338" t="str">
        <f ca="1">IF(SUM(D29)=0,"",K29/D29)</f>
        <v/>
      </c>
      <c r="M29" s="335">
        <f ca="1">K29/Summary!$G$16</f>
        <v>0</v>
      </c>
      <c r="N29" s="864"/>
      <c r="O29" s="1099"/>
      <c r="P29" s="1100"/>
      <c r="Q29" s="1100"/>
      <c r="R29" s="1100"/>
      <c r="S29" s="1100"/>
      <c r="T29" s="1101"/>
    </row>
    <row r="30" spans="2:20" x14ac:dyDescent="0.25">
      <c r="B30" s="821"/>
      <c r="C30" s="822"/>
      <c r="D30" s="823"/>
      <c r="F30" s="814"/>
      <c r="G30" s="825"/>
      <c r="H30" s="816"/>
      <c r="I30" s="824"/>
      <c r="J30" s="336"/>
      <c r="K30" s="818"/>
      <c r="L30" s="819"/>
      <c r="M30" s="816"/>
      <c r="N30" s="864"/>
      <c r="O30" s="830"/>
      <c r="P30" s="830"/>
      <c r="Q30" s="830"/>
      <c r="R30" s="830"/>
      <c r="S30" s="830"/>
      <c r="T30" s="830"/>
    </row>
    <row r="31" spans="2:20" x14ac:dyDescent="0.25">
      <c r="B31" s="669" t="s">
        <v>1807</v>
      </c>
      <c r="C31" s="670"/>
      <c r="D31" s="671"/>
      <c r="F31" s="344">
        <v>0</v>
      </c>
      <c r="G31" s="334">
        <f>D31*F31</f>
        <v>0</v>
      </c>
      <c r="H31" s="346">
        <f ca="1">G31/$D$98</f>
        <v>0</v>
      </c>
      <c r="I31" s="811"/>
      <c r="J31" s="336"/>
      <c r="K31" s="337"/>
      <c r="L31" s="338" t="str">
        <f>IF(SUM(D31)=0,"",K31/D31)</f>
        <v/>
      </c>
      <c r="M31" s="335">
        <f ca="1">K31/Summary!$G$16</f>
        <v>0</v>
      </c>
      <c r="N31" s="864"/>
      <c r="O31" s="340">
        <f t="shared" ref="O31:T31" si="12">IF(SUM($I31)&gt;0.1,ROUNDUP($I31/(O$3*1000000),2),0)</f>
        <v>0</v>
      </c>
      <c r="P31" s="340">
        <f t="shared" si="12"/>
        <v>0</v>
      </c>
      <c r="Q31" s="340">
        <f t="shared" si="12"/>
        <v>0</v>
      </c>
      <c r="R31" s="863">
        <f t="shared" si="12"/>
        <v>0</v>
      </c>
      <c r="S31" s="340">
        <f t="shared" si="12"/>
        <v>0</v>
      </c>
      <c r="T31" s="340">
        <f t="shared" si="12"/>
        <v>0</v>
      </c>
    </row>
    <row r="32" spans="2:20" x14ac:dyDescent="0.25">
      <c r="B32" s="821"/>
      <c r="C32" s="822"/>
      <c r="D32" s="823"/>
      <c r="F32" s="814"/>
      <c r="G32" s="825"/>
      <c r="H32" s="816"/>
      <c r="I32" s="817"/>
      <c r="J32" s="336"/>
      <c r="K32" s="818"/>
      <c r="L32" s="819"/>
      <c r="M32" s="816"/>
      <c r="N32" s="864"/>
      <c r="O32" s="340"/>
      <c r="P32" s="340"/>
      <c r="Q32" s="340"/>
      <c r="R32" s="863"/>
      <c r="S32" s="340"/>
      <c r="T32" s="340"/>
    </row>
    <row r="33" spans="2:20" ht="23" x14ac:dyDescent="0.25">
      <c r="B33" s="669" t="s">
        <v>2214</v>
      </c>
      <c r="C33" s="670" t="str">
        <f t="shared" ca="1" si="10"/>
        <v>FOUNDATIONS</v>
      </c>
      <c r="D33" s="671">
        <f t="shared" ref="D33:D38" ca="1" si="13">INDIRECT(B33&amp;"!H1")</f>
        <v>0</v>
      </c>
      <c r="F33" s="826"/>
      <c r="G33" s="827"/>
      <c r="H33" s="828"/>
      <c r="I33" s="829">
        <f>G31-I31</f>
        <v>0</v>
      </c>
      <c r="J33" s="336"/>
      <c r="K33" s="770"/>
      <c r="L33" s="771"/>
      <c r="M33" s="828"/>
      <c r="N33" s="864"/>
      <c r="O33" s="340">
        <f t="shared" ref="O33:T38" si="14">IF(SUM($I33)&gt;0.1,ROUNDUP($I33/(O$3*1000000),2),0)</f>
        <v>0</v>
      </c>
      <c r="P33" s="340">
        <f t="shared" si="14"/>
        <v>0</v>
      </c>
      <c r="Q33" s="340">
        <f t="shared" si="14"/>
        <v>0</v>
      </c>
      <c r="R33" s="863">
        <f t="shared" si="14"/>
        <v>0</v>
      </c>
      <c r="S33" s="340">
        <f t="shared" si="14"/>
        <v>0</v>
      </c>
      <c r="T33" s="340">
        <f t="shared" si="14"/>
        <v>0</v>
      </c>
    </row>
    <row r="34" spans="2:20" x14ac:dyDescent="0.25">
      <c r="B34" s="669" t="s">
        <v>2215</v>
      </c>
      <c r="C34" s="670" t="str">
        <f t="shared" ca="1" si="10"/>
        <v>FALSEWORK, FORMWORK AND CONCRETE FINISH</v>
      </c>
      <c r="D34" s="671">
        <f t="shared" ca="1" si="13"/>
        <v>0</v>
      </c>
      <c r="F34" s="344">
        <v>0</v>
      </c>
      <c r="G34" s="334">
        <f ca="1">D34*F34</f>
        <v>0</v>
      </c>
      <c r="H34" s="346">
        <f ca="1">G34/$D$98</f>
        <v>0</v>
      </c>
      <c r="I34" s="810"/>
      <c r="J34" s="336"/>
      <c r="K34" s="337">
        <f t="shared" ref="K34:K38" ca="1" si="15">INDIRECT("'"&amp;B34&amp;"'!L$1")</f>
        <v>134134</v>
      </c>
      <c r="L34" s="338" t="str">
        <f t="shared" ref="L34:L39" ca="1" si="16">IF(SUM(D34)=0,"",K34/D34)</f>
        <v/>
      </c>
      <c r="M34" s="335">
        <f ca="1">K34/Summary!$G$16</f>
        <v>4.0658118703434803E-3</v>
      </c>
      <c r="N34" s="864"/>
      <c r="O34" s="340">
        <f t="shared" si="14"/>
        <v>0</v>
      </c>
      <c r="P34" s="340">
        <f t="shared" si="14"/>
        <v>0</v>
      </c>
      <c r="Q34" s="340">
        <f t="shared" si="14"/>
        <v>0</v>
      </c>
      <c r="R34" s="863">
        <f t="shared" si="14"/>
        <v>0</v>
      </c>
      <c r="S34" s="340">
        <f t="shared" si="14"/>
        <v>0</v>
      </c>
      <c r="T34" s="340">
        <f t="shared" si="14"/>
        <v>0</v>
      </c>
    </row>
    <row r="35" spans="2:20" x14ac:dyDescent="0.25">
      <c r="B35" s="669" t="s">
        <v>2216</v>
      </c>
      <c r="C35" s="670" t="str">
        <f t="shared" ca="1" si="10"/>
        <v>STEEL REINFORCEMENT</v>
      </c>
      <c r="D35" s="671">
        <f t="shared" ca="1" si="13"/>
        <v>0</v>
      </c>
      <c r="F35" s="344">
        <v>0</v>
      </c>
      <c r="G35" s="334">
        <f ca="1">D35*F35</f>
        <v>0</v>
      </c>
      <c r="H35" s="346">
        <f ca="1">G35/$D$98</f>
        <v>0</v>
      </c>
      <c r="I35" s="810"/>
      <c r="J35" s="336"/>
      <c r="K35" s="337">
        <f t="shared" ca="1" si="15"/>
        <v>2250</v>
      </c>
      <c r="L35" s="338" t="str">
        <f t="shared" ca="1" si="16"/>
        <v/>
      </c>
      <c r="M35" s="335">
        <f ca="1">K35/Summary!$G$16</f>
        <v>6.820102813807708E-5</v>
      </c>
      <c r="N35" s="864"/>
      <c r="O35" s="340">
        <f t="shared" si="14"/>
        <v>0</v>
      </c>
      <c r="P35" s="340">
        <f t="shared" si="14"/>
        <v>0</v>
      </c>
      <c r="Q35" s="340">
        <f t="shared" si="14"/>
        <v>0</v>
      </c>
      <c r="R35" s="863">
        <f t="shared" si="14"/>
        <v>0</v>
      </c>
      <c r="S35" s="340">
        <f t="shared" si="14"/>
        <v>0</v>
      </c>
      <c r="T35" s="340">
        <f t="shared" si="14"/>
        <v>0</v>
      </c>
    </row>
    <row r="36" spans="2:20" x14ac:dyDescent="0.25">
      <c r="B36" s="669" t="s">
        <v>2217</v>
      </c>
      <c r="C36" s="670" t="str">
        <f t="shared" ca="1" si="10"/>
        <v>CONCRETE</v>
      </c>
      <c r="D36" s="671">
        <f t="shared" ca="1" si="13"/>
        <v>0</v>
      </c>
      <c r="F36" s="344">
        <v>0</v>
      </c>
      <c r="G36" s="334">
        <f ca="1">D36*F36</f>
        <v>0</v>
      </c>
      <c r="H36" s="346">
        <f ca="1">G36/$D$98</f>
        <v>0</v>
      </c>
      <c r="I36" s="810"/>
      <c r="J36" s="336"/>
      <c r="K36" s="337">
        <f t="shared" ca="1" si="15"/>
        <v>0</v>
      </c>
      <c r="L36" s="338" t="str">
        <f t="shared" ca="1" si="16"/>
        <v/>
      </c>
      <c r="M36" s="335">
        <f ca="1">K36/Summary!$G$16</f>
        <v>0</v>
      </c>
      <c r="N36" s="864"/>
      <c r="O36" s="340">
        <f t="shared" si="14"/>
        <v>0</v>
      </c>
      <c r="P36" s="340">
        <f t="shared" si="14"/>
        <v>0</v>
      </c>
      <c r="Q36" s="340">
        <f t="shared" si="14"/>
        <v>0</v>
      </c>
      <c r="R36" s="863">
        <f t="shared" si="14"/>
        <v>0</v>
      </c>
      <c r="S36" s="340">
        <f t="shared" si="14"/>
        <v>0</v>
      </c>
      <c r="T36" s="340">
        <f t="shared" si="14"/>
        <v>0</v>
      </c>
    </row>
    <row r="37" spans="2:20" x14ac:dyDescent="0.25">
      <c r="B37" s="669" t="s">
        <v>2218</v>
      </c>
      <c r="C37" s="670" t="str">
        <f t="shared" ca="1" si="10"/>
        <v>JOINTS</v>
      </c>
      <c r="D37" s="671">
        <f t="shared" ca="1" si="13"/>
        <v>0</v>
      </c>
      <c r="F37" s="344">
        <v>0</v>
      </c>
      <c r="G37" s="334">
        <f ca="1">D37*F37</f>
        <v>0</v>
      </c>
      <c r="H37" s="346">
        <f ca="1">G37/$D$98</f>
        <v>0</v>
      </c>
      <c r="I37" s="811"/>
      <c r="J37" s="336"/>
      <c r="K37" s="337">
        <f t="shared" ca="1" si="15"/>
        <v>0</v>
      </c>
      <c r="L37" s="338" t="str">
        <f t="shared" ca="1" si="16"/>
        <v/>
      </c>
      <c r="M37" s="335">
        <f ca="1">K37/Summary!$G$16</f>
        <v>0</v>
      </c>
      <c r="N37" s="864"/>
      <c r="O37" s="340">
        <f t="shared" si="14"/>
        <v>0</v>
      </c>
      <c r="P37" s="340">
        <f t="shared" si="14"/>
        <v>0</v>
      </c>
      <c r="Q37" s="340">
        <f t="shared" si="14"/>
        <v>0</v>
      </c>
      <c r="R37" s="863">
        <f t="shared" si="14"/>
        <v>0</v>
      </c>
      <c r="S37" s="340">
        <f t="shared" si="14"/>
        <v>0</v>
      </c>
      <c r="T37" s="340">
        <f t="shared" si="14"/>
        <v>0</v>
      </c>
    </row>
    <row r="38" spans="2:20" x14ac:dyDescent="0.25">
      <c r="B38" s="669" t="s">
        <v>2219</v>
      </c>
      <c r="C38" s="670" t="str">
        <f t="shared" ca="1" si="10"/>
        <v>ANCILLARY STRUCTURAL ELEMENTS</v>
      </c>
      <c r="D38" s="671">
        <f t="shared" ca="1" si="13"/>
        <v>0</v>
      </c>
      <c r="F38" s="344">
        <v>0</v>
      </c>
      <c r="G38" s="334">
        <f ca="1">D38*F38</f>
        <v>0</v>
      </c>
      <c r="H38" s="346">
        <f ca="1">G38/$D$98</f>
        <v>0</v>
      </c>
      <c r="I38" s="811">
        <f ca="1">SUM(G34:G38)+I33</f>
        <v>0</v>
      </c>
      <c r="J38" s="336"/>
      <c r="K38" s="337">
        <f t="shared" ca="1" si="15"/>
        <v>0</v>
      </c>
      <c r="L38" s="338" t="str">
        <f t="shared" ca="1" si="16"/>
        <v/>
      </c>
      <c r="M38" s="335">
        <f ca="1">K38/Summary!$G$16</f>
        <v>0</v>
      </c>
      <c r="N38" s="864"/>
      <c r="O38" s="340">
        <f t="shared" ca="1" si="14"/>
        <v>0</v>
      </c>
      <c r="P38" s="340">
        <f t="shared" ca="1" si="14"/>
        <v>0</v>
      </c>
      <c r="Q38" s="340">
        <f t="shared" ca="1" si="14"/>
        <v>0</v>
      </c>
      <c r="R38" s="863">
        <f t="shared" ca="1" si="14"/>
        <v>0</v>
      </c>
      <c r="S38" s="340">
        <f t="shared" ca="1" si="14"/>
        <v>0</v>
      </c>
      <c r="T38" s="340">
        <f t="shared" ca="1" si="14"/>
        <v>0</v>
      </c>
    </row>
    <row r="39" spans="2:20" x14ac:dyDescent="0.25">
      <c r="B39" s="821"/>
      <c r="C39" s="822"/>
      <c r="D39" s="813"/>
      <c r="F39" s="814"/>
      <c r="G39" s="825"/>
      <c r="H39" s="816"/>
      <c r="I39" s="824"/>
      <c r="J39" s="336"/>
      <c r="K39" s="818"/>
      <c r="L39" s="819" t="str">
        <f t="shared" si="16"/>
        <v/>
      </c>
      <c r="M39" s="816"/>
      <c r="N39" s="339"/>
      <c r="O39" s="830"/>
      <c r="P39" s="830"/>
      <c r="Q39" s="830"/>
      <c r="R39" s="830"/>
      <c r="S39" s="830"/>
      <c r="T39" s="830"/>
    </row>
    <row r="40" spans="2:20" x14ac:dyDescent="0.25">
      <c r="B40" s="669" t="s">
        <v>2220</v>
      </c>
      <c r="C40" s="670"/>
      <c r="D40" s="671"/>
      <c r="F40" s="344"/>
      <c r="G40" s="334">
        <f>D40*F40</f>
        <v>0</v>
      </c>
      <c r="H40" s="346">
        <f ca="1">G40/$D$98</f>
        <v>0</v>
      </c>
      <c r="I40" s="810"/>
      <c r="J40" s="336"/>
      <c r="K40" s="337"/>
      <c r="L40" s="338"/>
      <c r="M40" s="335"/>
      <c r="N40" s="339"/>
      <c r="O40" s="1096" t="s">
        <v>2053</v>
      </c>
      <c r="P40" s="1097"/>
      <c r="Q40" s="1097"/>
      <c r="R40" s="1097"/>
      <c r="S40" s="1097"/>
      <c r="T40" s="1098"/>
    </row>
    <row r="41" spans="2:20" x14ac:dyDescent="0.25">
      <c r="B41" s="669" t="s">
        <v>2221</v>
      </c>
      <c r="C41" s="670"/>
      <c r="D41" s="671"/>
      <c r="F41" s="344"/>
      <c r="G41" s="334">
        <f>D41*F41</f>
        <v>0</v>
      </c>
      <c r="H41" s="346">
        <f ca="1">G41/$D$98</f>
        <v>0</v>
      </c>
      <c r="I41" s="810">
        <f>G41+G40</f>
        <v>0</v>
      </c>
      <c r="J41" s="336"/>
      <c r="K41" s="337"/>
      <c r="L41" s="338"/>
      <c r="M41" s="335"/>
      <c r="N41" s="339"/>
      <c r="O41" s="1099"/>
      <c r="P41" s="1100"/>
      <c r="Q41" s="1100"/>
      <c r="R41" s="1100"/>
      <c r="S41" s="1100"/>
      <c r="T41" s="1101"/>
    </row>
    <row r="42" spans="2:20" x14ac:dyDescent="0.25">
      <c r="B42" s="821"/>
      <c r="C42" s="822"/>
      <c r="D42" s="823"/>
      <c r="F42" s="814"/>
      <c r="G42" s="825"/>
      <c r="H42" s="816"/>
      <c r="I42" s="824"/>
      <c r="J42" s="336"/>
      <c r="K42" s="818"/>
      <c r="L42" s="819"/>
      <c r="M42" s="816"/>
      <c r="N42" s="339"/>
      <c r="O42" s="830"/>
      <c r="P42" s="830"/>
      <c r="Q42" s="830"/>
      <c r="R42" s="830"/>
      <c r="S42" s="830"/>
      <c r="T42" s="830"/>
    </row>
    <row r="43" spans="2:20" ht="23" x14ac:dyDescent="0.25">
      <c r="B43" s="669" t="s">
        <v>2222</v>
      </c>
      <c r="C43" s="670" t="str">
        <f ca="1">INDIRECT("'"&amp;B43&amp;"'"&amp;"!c14")</f>
        <v>Excavation:</v>
      </c>
      <c r="D43" s="671">
        <f ca="1">INDIRECT(B43&amp;"!H1")</f>
        <v>0</v>
      </c>
      <c r="F43" s="344"/>
      <c r="G43" s="334">
        <f ca="1">D43*F43</f>
        <v>0</v>
      </c>
      <c r="H43" s="346">
        <f ca="1">G43/$D$98</f>
        <v>0</v>
      </c>
      <c r="I43" s="811">
        <f ca="1">G43</f>
        <v>0</v>
      </c>
      <c r="J43" s="336"/>
      <c r="K43" s="337">
        <f t="shared" ref="K43" ca="1" si="17">INDIRECT("'"&amp;B43&amp;"'!L$1")</f>
        <v>19817.5</v>
      </c>
      <c r="L43" s="338" t="str">
        <f ca="1">IF(SUM(D43)=0,"",K43/D43)</f>
        <v/>
      </c>
      <c r="M43" s="335">
        <f ca="1">K43/Summary!$G$16</f>
        <v>6.006995000561522E-4</v>
      </c>
      <c r="N43" s="339"/>
      <c r="O43" s="340">
        <f t="shared" ref="O43:T43" ca="1" si="18">IF(SUM($I43)&gt;0.1,ROUNDUP($I43/(O$3*1000000),2),0)</f>
        <v>0</v>
      </c>
      <c r="P43" s="340">
        <f t="shared" ca="1" si="18"/>
        <v>0</v>
      </c>
      <c r="Q43" s="863">
        <f t="shared" ca="1" si="18"/>
        <v>0</v>
      </c>
      <c r="R43" s="340">
        <f t="shared" ca="1" si="18"/>
        <v>0</v>
      </c>
      <c r="S43" s="340">
        <f t="shared" ca="1" si="18"/>
        <v>0</v>
      </c>
      <c r="T43" s="340">
        <f t="shared" ca="1" si="18"/>
        <v>0</v>
      </c>
    </row>
    <row r="44" spans="2:20" x14ac:dyDescent="0.25">
      <c r="B44" s="821"/>
      <c r="C44" s="822"/>
      <c r="D44" s="823"/>
      <c r="F44" s="814"/>
      <c r="G44" s="825"/>
      <c r="H44" s="816"/>
      <c r="I44" s="824"/>
      <c r="J44" s="336"/>
      <c r="K44" s="818"/>
      <c r="L44" s="819"/>
      <c r="M44" s="816"/>
      <c r="N44" s="339"/>
      <c r="O44" s="340"/>
      <c r="P44" s="340"/>
      <c r="Q44" s="863"/>
      <c r="R44" s="340"/>
      <c r="S44" s="340"/>
      <c r="T44" s="340"/>
    </row>
    <row r="45" spans="2:20" x14ac:dyDescent="0.25">
      <c r="B45" s="669" t="s">
        <v>2223</v>
      </c>
      <c r="C45" s="670" t="str">
        <f t="shared" ref="C45:C49" ca="1" si="19">INDIRECT("'"&amp;B45&amp;"'"&amp;"!c12")</f>
        <v>FALSEWORK, FORMWORK AND CONCRETE FINISH</v>
      </c>
      <c r="D45" s="671">
        <f t="shared" ref="D45:D49" ca="1" si="20">INDIRECT(B45&amp;"!H1")</f>
        <v>0</v>
      </c>
      <c r="F45" s="344"/>
      <c r="G45" s="334">
        <f ca="1">D45*F45</f>
        <v>0</v>
      </c>
      <c r="H45" s="346">
        <f ca="1">G45/$D$98</f>
        <v>0</v>
      </c>
      <c r="I45" s="810"/>
      <c r="J45" s="336"/>
      <c r="K45" s="337">
        <f t="shared" ref="K45:K49" ca="1" si="21">INDIRECT("'"&amp;B45&amp;"'!L$1")</f>
        <v>83750</v>
      </c>
      <c r="L45" s="338" t="str">
        <f ca="1">IF(SUM(D45)=0,"",K45/D45)</f>
        <v/>
      </c>
      <c r="M45" s="335">
        <f ca="1">K45/Summary!$G$16</f>
        <v>2.5385938251395357E-3</v>
      </c>
      <c r="N45" s="339"/>
      <c r="O45" s="340">
        <f t="shared" ref="O45:T49" si="22">IF(SUM($I45)&gt;0.1,ROUNDUP($I45/(O$3*1000000),2),0)</f>
        <v>0</v>
      </c>
      <c r="P45" s="340">
        <f t="shared" si="22"/>
        <v>0</v>
      </c>
      <c r="Q45" s="863">
        <f t="shared" si="22"/>
        <v>0</v>
      </c>
      <c r="R45" s="340">
        <f t="shared" si="22"/>
        <v>0</v>
      </c>
      <c r="S45" s="340">
        <f t="shared" si="22"/>
        <v>0</v>
      </c>
      <c r="T45" s="340">
        <f t="shared" si="22"/>
        <v>0</v>
      </c>
    </row>
    <row r="46" spans="2:20" x14ac:dyDescent="0.25">
      <c r="B46" s="669" t="s">
        <v>2224</v>
      </c>
      <c r="C46" s="670" t="str">
        <f t="shared" ca="1" si="19"/>
        <v>STEEL REINFORCEMENT</v>
      </c>
      <c r="D46" s="671">
        <f t="shared" ca="1" si="20"/>
        <v>1190</v>
      </c>
      <c r="F46" s="344"/>
      <c r="G46" s="334">
        <f ca="1">D46*F46</f>
        <v>0</v>
      </c>
      <c r="H46" s="346">
        <f ca="1">G46/$D$98</f>
        <v>0</v>
      </c>
      <c r="I46" s="810"/>
      <c r="J46" s="336"/>
      <c r="K46" s="337">
        <f t="shared" ca="1" si="21"/>
        <v>2250</v>
      </c>
      <c r="L46" s="338">
        <f ca="1">IF(SUM(D46)=0,"",K46/D46)</f>
        <v>1.8907563025210083</v>
      </c>
      <c r="M46" s="335">
        <f ca="1">K46/Summary!$G$16</f>
        <v>6.820102813807708E-5</v>
      </c>
      <c r="N46" s="339"/>
      <c r="O46" s="340">
        <f t="shared" si="22"/>
        <v>0</v>
      </c>
      <c r="P46" s="340">
        <f t="shared" si="22"/>
        <v>0</v>
      </c>
      <c r="Q46" s="863">
        <f t="shared" si="22"/>
        <v>0</v>
      </c>
      <c r="R46" s="340">
        <f t="shared" si="22"/>
        <v>0</v>
      </c>
      <c r="S46" s="340">
        <f t="shared" si="22"/>
        <v>0</v>
      </c>
      <c r="T46" s="340">
        <f t="shared" si="22"/>
        <v>0</v>
      </c>
    </row>
    <row r="47" spans="2:20" x14ac:dyDescent="0.25">
      <c r="B47" s="669" t="s">
        <v>2225</v>
      </c>
      <c r="C47" s="670" t="str">
        <f t="shared" ca="1" si="19"/>
        <v>CONCRETE</v>
      </c>
      <c r="D47" s="671">
        <f t="shared" ca="1" si="20"/>
        <v>0</v>
      </c>
      <c r="F47" s="344"/>
      <c r="G47" s="334">
        <f ca="1">D47*F47</f>
        <v>0</v>
      </c>
      <c r="H47" s="346">
        <f ca="1">G47/$D$98</f>
        <v>0</v>
      </c>
      <c r="I47" s="810"/>
      <c r="J47" s="336"/>
      <c r="K47" s="337">
        <f t="shared" ca="1" si="21"/>
        <v>0</v>
      </c>
      <c r="L47" s="338" t="str">
        <f ca="1">IF(SUM(D47)=0,"",K47/D47)</f>
        <v/>
      </c>
      <c r="M47" s="335">
        <f ca="1">K47/Summary!$G$16</f>
        <v>0</v>
      </c>
      <c r="N47" s="339"/>
      <c r="O47" s="340">
        <f t="shared" si="22"/>
        <v>0</v>
      </c>
      <c r="P47" s="340">
        <f t="shared" si="22"/>
        <v>0</v>
      </c>
      <c r="Q47" s="863">
        <f t="shared" si="22"/>
        <v>0</v>
      </c>
      <c r="R47" s="340">
        <f t="shared" si="22"/>
        <v>0</v>
      </c>
      <c r="S47" s="340">
        <f t="shared" si="22"/>
        <v>0</v>
      </c>
      <c r="T47" s="340">
        <f t="shared" si="22"/>
        <v>0</v>
      </c>
    </row>
    <row r="48" spans="2:20" x14ac:dyDescent="0.25">
      <c r="B48" s="669" t="s">
        <v>2226</v>
      </c>
      <c r="C48" s="670" t="str">
        <f t="shared" ca="1" si="19"/>
        <v>JOINTS</v>
      </c>
      <c r="D48" s="671">
        <f t="shared" ca="1" si="20"/>
        <v>0</v>
      </c>
      <c r="F48" s="344"/>
      <c r="G48" s="334">
        <f ca="1">D48*F48</f>
        <v>0</v>
      </c>
      <c r="H48" s="346">
        <f ca="1">G48/$D$98</f>
        <v>0</v>
      </c>
      <c r="I48" s="810"/>
      <c r="J48" s="336"/>
      <c r="K48" s="337">
        <f t="shared" ca="1" si="21"/>
        <v>0</v>
      </c>
      <c r="L48" s="338" t="str">
        <f ca="1">IF(SUM(D48)=0,"",K48/D48)</f>
        <v/>
      </c>
      <c r="M48" s="335">
        <f ca="1">K48/Summary!$G$16</f>
        <v>0</v>
      </c>
      <c r="N48" s="339"/>
      <c r="O48" s="340">
        <f t="shared" si="22"/>
        <v>0</v>
      </c>
      <c r="P48" s="340">
        <f t="shared" si="22"/>
        <v>0</v>
      </c>
      <c r="Q48" s="863">
        <f t="shared" si="22"/>
        <v>0</v>
      </c>
      <c r="R48" s="340">
        <f t="shared" si="22"/>
        <v>0</v>
      </c>
      <c r="S48" s="340">
        <f t="shared" si="22"/>
        <v>0</v>
      </c>
      <c r="T48" s="340">
        <f t="shared" si="22"/>
        <v>0</v>
      </c>
    </row>
    <row r="49" spans="2:22" x14ac:dyDescent="0.25">
      <c r="B49" s="669" t="s">
        <v>2227</v>
      </c>
      <c r="C49" s="670" t="str">
        <f t="shared" ca="1" si="19"/>
        <v>ANCILLARY STRUCTURAL ELEMENTS</v>
      </c>
      <c r="D49" s="671">
        <f t="shared" ca="1" si="20"/>
        <v>0</v>
      </c>
      <c r="F49" s="344"/>
      <c r="G49" s="334">
        <f ca="1">D49*F49</f>
        <v>0</v>
      </c>
      <c r="H49" s="346">
        <f ca="1">G49/$D$98</f>
        <v>0</v>
      </c>
      <c r="I49" s="811">
        <f ca="1">SUM(G45:G49)</f>
        <v>0</v>
      </c>
      <c r="J49" s="336"/>
      <c r="K49" s="337">
        <f t="shared" ca="1" si="21"/>
        <v>0</v>
      </c>
      <c r="L49" s="338" t="str">
        <f ca="1">IF(SUM(D49)=0,"",K49/D49)</f>
        <v/>
      </c>
      <c r="M49" s="335">
        <f ca="1">K49/Summary!$G$16</f>
        <v>0</v>
      </c>
      <c r="N49" s="339"/>
      <c r="O49" s="340">
        <f t="shared" ca="1" si="22"/>
        <v>0</v>
      </c>
      <c r="P49" s="340">
        <f t="shared" ca="1" si="22"/>
        <v>0</v>
      </c>
      <c r="Q49" s="863">
        <f t="shared" ca="1" si="22"/>
        <v>0</v>
      </c>
      <c r="R49" s="340">
        <f t="shared" ca="1" si="22"/>
        <v>0</v>
      </c>
      <c r="S49" s="340">
        <f t="shared" ca="1" si="22"/>
        <v>0</v>
      </c>
      <c r="T49" s="340">
        <f t="shared" ca="1" si="22"/>
        <v>0</v>
      </c>
    </row>
    <row r="50" spans="2:22" x14ac:dyDescent="0.25">
      <c r="B50" s="946" t="s">
        <v>1072</v>
      </c>
      <c r="C50" s="947"/>
      <c r="D50" s="948"/>
      <c r="E50" s="949"/>
      <c r="F50" s="950"/>
      <c r="G50" s="951"/>
      <c r="H50" s="952"/>
      <c r="I50" s="953"/>
      <c r="J50" s="348"/>
      <c r="K50" s="954"/>
      <c r="L50" s="955" t="str">
        <f t="shared" si="5"/>
        <v/>
      </c>
      <c r="M50" s="956"/>
      <c r="N50" s="339"/>
      <c r="O50" s="830"/>
      <c r="P50" s="830"/>
      <c r="Q50" s="830"/>
      <c r="R50" s="830"/>
      <c r="S50" s="830"/>
      <c r="T50" s="830"/>
    </row>
    <row r="51" spans="2:22" x14ac:dyDescent="0.25">
      <c r="B51" s="669" t="s">
        <v>1083</v>
      </c>
      <c r="C51" s="670" t="str">
        <f ca="1">INDIRECT("'"&amp;B51&amp;"'"&amp;"!c12")</f>
        <v>GENERAL REQUIREMENTS AND PAYMENT</v>
      </c>
      <c r="D51" s="671">
        <f ca="1">INDIRECT("'"&amp;B51&amp;"'"&amp;"!H1")</f>
        <v>329220</v>
      </c>
      <c r="F51" s="344">
        <v>1</v>
      </c>
      <c r="G51" s="345">
        <f t="shared" ca="1" si="2"/>
        <v>329220</v>
      </c>
      <c r="H51" s="346">
        <f ca="1">G51/$D$98</f>
        <v>1.0179987761874867E-2</v>
      </c>
      <c r="I51" s="810"/>
      <c r="J51" s="348"/>
      <c r="K51" s="337">
        <f t="shared" ref="K51:K52" ca="1" si="23">INDIRECT("'"&amp;B51&amp;"'!L$1")</f>
        <v>8730</v>
      </c>
      <c r="L51" s="338">
        <f t="shared" ca="1" si="5"/>
        <v>2.6517222525970476E-2</v>
      </c>
      <c r="M51" s="335">
        <f ca="1">K51/Summary!$G$16</f>
        <v>2.6461998917573905E-4</v>
      </c>
      <c r="N51" s="339"/>
      <c r="O51" s="1096" t="s">
        <v>2056</v>
      </c>
      <c r="P51" s="1097"/>
      <c r="Q51" s="1097"/>
      <c r="R51" s="1097"/>
      <c r="S51" s="1097"/>
      <c r="T51" s="1098"/>
    </row>
    <row r="52" spans="2:22" ht="23" x14ac:dyDescent="0.25">
      <c r="B52" s="669" t="s">
        <v>1084</v>
      </c>
      <c r="C52" s="670" t="str">
        <f t="shared" ref="C52:C80" ca="1" si="24">INDIRECT("'"&amp;B52&amp;"'"&amp;"!c12")</f>
        <v>CONTRACTOR'S SITE ESTABLISHMENT AND GENERAL OBLIGATIONS</v>
      </c>
      <c r="D52" s="671">
        <f ca="1">INDIRECT("'"&amp;B52&amp;"'"&amp;"!H1")</f>
        <v>839375</v>
      </c>
      <c r="F52" s="344">
        <v>1</v>
      </c>
      <c r="G52" s="345">
        <f t="shared" ca="1" si="2"/>
        <v>839375</v>
      </c>
      <c r="H52" s="346">
        <f ca="1">G52/$D$98</f>
        <v>2.5954763464017119E-2</v>
      </c>
      <c r="I52" s="810">
        <f ca="1">G52+G51</f>
        <v>1168595</v>
      </c>
      <c r="J52" s="348"/>
      <c r="K52" s="337">
        <f t="shared" ca="1" si="23"/>
        <v>0</v>
      </c>
      <c r="L52" s="338">
        <f t="shared" ca="1" si="5"/>
        <v>0</v>
      </c>
      <c r="M52" s="335">
        <f ca="1">K52/Summary!$G$16</f>
        <v>0</v>
      </c>
      <c r="N52" s="339"/>
      <c r="O52" s="1099"/>
      <c r="P52" s="1100"/>
      <c r="Q52" s="1100"/>
      <c r="R52" s="1100"/>
      <c r="S52" s="1100"/>
      <c r="T52" s="1101"/>
    </row>
    <row r="53" spans="2:22" x14ac:dyDescent="0.25">
      <c r="B53" s="821"/>
      <c r="C53" s="822"/>
      <c r="D53" s="823"/>
      <c r="F53" s="814"/>
      <c r="G53" s="815"/>
      <c r="H53" s="816"/>
      <c r="I53" s="824"/>
      <c r="J53" s="348"/>
      <c r="K53" s="818"/>
      <c r="L53" s="819"/>
      <c r="M53" s="816"/>
      <c r="N53" s="864"/>
      <c r="O53" s="830"/>
      <c r="P53" s="830"/>
      <c r="Q53" s="830"/>
      <c r="R53" s="830"/>
      <c r="S53" s="830"/>
      <c r="T53" s="830"/>
    </row>
    <row r="54" spans="2:22" x14ac:dyDescent="0.25">
      <c r="B54" s="669" t="s">
        <v>2009</v>
      </c>
      <c r="C54" s="670" t="str">
        <f t="shared" ca="1" si="24"/>
        <v>ACCOMMODATION OF TRAFFIC</v>
      </c>
      <c r="D54" s="671">
        <f ca="1">INDIRECT("'"&amp;B54&amp;"'"&amp;"!H1")</f>
        <v>1337260</v>
      </c>
      <c r="F54" s="344">
        <v>1</v>
      </c>
      <c r="G54" s="345">
        <f t="shared" ref="G54" ca="1" si="25">D54*F54</f>
        <v>1337260</v>
      </c>
      <c r="H54" s="346">
        <f ca="1">G54/$D$98</f>
        <v>4.1350131931367426E-2</v>
      </c>
      <c r="I54" s="811">
        <f ca="1">G54</f>
        <v>1337260</v>
      </c>
      <c r="J54" s="348"/>
      <c r="K54" s="337">
        <f t="shared" ref="K54" ca="1" si="26">INDIRECT("'"&amp;B54&amp;"'!L$1")</f>
        <v>661523.83999999985</v>
      </c>
      <c r="L54" s="338">
        <f t="shared" ca="1" si="5"/>
        <v>0.49468602964270214</v>
      </c>
      <c r="M54" s="335">
        <f ca="1">K54/Summary!$G$16</f>
        <v>2.0051824900377237E-2</v>
      </c>
      <c r="N54" s="864" t="s">
        <v>2153</v>
      </c>
      <c r="O54" s="340">
        <f ca="1">IF(SUM($I54)&gt;0.1,ROUNDUP($I54/(O$3*1000000),2),0)</f>
        <v>2.98</v>
      </c>
      <c r="P54" s="340">
        <f t="shared" ref="P54:T80" ca="1" si="27">IF(SUM($I54)&gt;0.1,ROUNDUP($I54/(P$3*1000000),2),0)</f>
        <v>1.49</v>
      </c>
      <c r="Q54" s="863">
        <f t="shared" ca="1" si="27"/>
        <v>0.5</v>
      </c>
      <c r="R54" s="340">
        <f t="shared" ca="1" si="27"/>
        <v>0.25</v>
      </c>
      <c r="S54" s="340">
        <f t="shared" ca="1" si="27"/>
        <v>0.15000000000000002</v>
      </c>
      <c r="T54" s="340">
        <f t="shared" ca="1" si="27"/>
        <v>0.08</v>
      </c>
    </row>
    <row r="55" spans="2:22" x14ac:dyDescent="0.25">
      <c r="B55" s="821"/>
      <c r="C55" s="822"/>
      <c r="D55" s="823"/>
      <c r="F55" s="814"/>
      <c r="G55" s="815"/>
      <c r="H55" s="816"/>
      <c r="I55" s="817"/>
      <c r="J55" s="348"/>
      <c r="K55" s="818"/>
      <c r="L55" s="819"/>
      <c r="M55" s="816"/>
      <c r="N55" s="864"/>
      <c r="O55" s="340"/>
      <c r="P55" s="340"/>
      <c r="Q55" s="340"/>
      <c r="R55" s="340"/>
      <c r="S55" s="340"/>
      <c r="T55" s="340"/>
    </row>
    <row r="56" spans="2:22" x14ac:dyDescent="0.25">
      <c r="B56" s="669" t="s">
        <v>1088</v>
      </c>
      <c r="C56" s="670" t="str">
        <f t="shared" ca="1" si="24"/>
        <v>CLEARING AND GRUBBING</v>
      </c>
      <c r="D56" s="671">
        <f ca="1">INDIRECT("'"&amp;B56&amp;"'"&amp;"!H1")</f>
        <v>285000</v>
      </c>
      <c r="F56" s="344">
        <v>1</v>
      </c>
      <c r="G56" s="345">
        <f t="shared" ref="G56:G97" ca="1" si="28">D56*F56</f>
        <v>285000</v>
      </c>
      <c r="H56" s="346">
        <f ca="1">G56/$D$98</f>
        <v>8.8126374829425209E-3</v>
      </c>
      <c r="I56" s="811">
        <f ca="1">G56</f>
        <v>285000</v>
      </c>
      <c r="J56" s="336"/>
      <c r="K56" s="337">
        <f t="shared" ref="K56" ca="1" si="29">INDIRECT("'"&amp;B56&amp;"'!L$1")</f>
        <v>214819.20000000001</v>
      </c>
      <c r="L56" s="338">
        <f t="shared" ca="1" si="5"/>
        <v>0.75375157894736844</v>
      </c>
      <c r="M56" s="335">
        <f ca="1">K56/Summary!$G$16</f>
        <v>6.511506801688537E-3</v>
      </c>
      <c r="N56" s="864">
        <v>0.6</v>
      </c>
      <c r="O56" s="863">
        <f t="shared" ref="O56:T85" ca="1" si="30">IF(SUM($I56)&gt;0.1,ROUNDUP($I56/(O$3*1000000),2),0)</f>
        <v>0.64</v>
      </c>
      <c r="P56" s="340">
        <f t="shared" ca="1" si="27"/>
        <v>0.32</v>
      </c>
      <c r="Q56" s="340">
        <f t="shared" ca="1" si="27"/>
        <v>0.11</v>
      </c>
      <c r="R56" s="340">
        <f t="shared" ca="1" si="27"/>
        <v>6.0000000000000005E-2</v>
      </c>
      <c r="S56" s="340">
        <f t="shared" ca="1" si="27"/>
        <v>0.04</v>
      </c>
      <c r="T56" s="340">
        <f t="shared" ca="1" si="27"/>
        <v>0.02</v>
      </c>
    </row>
    <row r="57" spans="2:22" x14ac:dyDescent="0.25">
      <c r="B57" s="821"/>
      <c r="C57" s="822"/>
      <c r="D57" s="823"/>
      <c r="F57" s="814"/>
      <c r="G57" s="815"/>
      <c r="H57" s="816"/>
      <c r="I57" s="817"/>
      <c r="J57" s="336"/>
      <c r="K57" s="818"/>
      <c r="L57" s="819"/>
      <c r="M57" s="816"/>
      <c r="N57" s="864"/>
      <c r="O57" s="340"/>
      <c r="P57" s="340"/>
      <c r="Q57" s="340"/>
      <c r="R57" s="340"/>
      <c r="S57" s="340"/>
      <c r="T57" s="340"/>
    </row>
    <row r="58" spans="2:22" ht="23" x14ac:dyDescent="0.25">
      <c r="B58" s="669" t="s">
        <v>1808</v>
      </c>
      <c r="C58" s="670" t="str">
        <f t="shared" ca="1" si="24"/>
        <v>GENERAL REQUIREMENTS AND TRENCHING FOR SERVICES</v>
      </c>
      <c r="D58" s="671">
        <f ca="1">INDIRECT("'"&amp;B58&amp;"'"&amp;"!H1")</f>
        <v>289800.00000000006</v>
      </c>
      <c r="F58" s="344">
        <v>1</v>
      </c>
      <c r="G58" s="345">
        <f t="shared" ca="1" si="28"/>
        <v>289800.00000000006</v>
      </c>
      <c r="H58" s="346">
        <f ca="1">G58/$D$98</f>
        <v>8.9610608510762926E-3</v>
      </c>
      <c r="I58" s="811">
        <f ca="1">G58</f>
        <v>289800.00000000006</v>
      </c>
      <c r="J58" s="336"/>
      <c r="K58" s="337">
        <f t="shared" ref="K58" ca="1" si="31">INDIRECT("'"&amp;B58&amp;"'!L$1")</f>
        <v>117855.00000000003</v>
      </c>
      <c r="L58" s="338">
        <f t="shared" ca="1" si="5"/>
        <v>0.40667701863354039</v>
      </c>
      <c r="M58" s="335">
        <f ca="1">K58/Summary!$G$16</f>
        <v>3.5723698538724781E-3</v>
      </c>
      <c r="N58" s="864">
        <v>0.6</v>
      </c>
      <c r="O58" s="863">
        <f t="shared" ca="1" si="30"/>
        <v>0.65</v>
      </c>
      <c r="P58" s="340">
        <f t="shared" ca="1" si="27"/>
        <v>0.33</v>
      </c>
      <c r="Q58" s="340">
        <f t="shared" ca="1" si="27"/>
        <v>0.11</v>
      </c>
      <c r="R58" s="340">
        <f t="shared" ca="1" si="27"/>
        <v>6.0000000000000005E-2</v>
      </c>
      <c r="S58" s="340">
        <f t="shared" ca="1" si="27"/>
        <v>0.04</v>
      </c>
      <c r="T58" s="340">
        <f t="shared" ca="1" si="27"/>
        <v>0.02</v>
      </c>
    </row>
    <row r="59" spans="2:22" x14ac:dyDescent="0.25">
      <c r="B59" s="821"/>
      <c r="C59" s="822"/>
      <c r="D59" s="823"/>
      <c r="F59" s="814"/>
      <c r="G59" s="825"/>
      <c r="H59" s="816"/>
      <c r="I59" s="817"/>
      <c r="J59" s="336"/>
      <c r="K59" s="818"/>
      <c r="L59" s="819"/>
      <c r="M59" s="816"/>
      <c r="N59" s="864"/>
      <c r="O59" s="340"/>
      <c r="P59" s="340"/>
      <c r="Q59" s="340"/>
      <c r="R59" s="340"/>
      <c r="S59" s="340"/>
      <c r="T59" s="340"/>
    </row>
    <row r="60" spans="2:22" x14ac:dyDescent="0.25">
      <c r="B60" s="669" t="s">
        <v>1089</v>
      </c>
      <c r="C60" s="670" t="str">
        <f t="shared" ca="1" si="24"/>
        <v>DRAINS</v>
      </c>
      <c r="D60" s="671">
        <f ca="1">INDIRECT("'"&amp;B60&amp;"'"&amp;"!H1")</f>
        <v>524300</v>
      </c>
      <c r="F60" s="344">
        <v>1</v>
      </c>
      <c r="G60" s="334">
        <f t="shared" ca="1" si="28"/>
        <v>524300</v>
      </c>
      <c r="H60" s="346">
        <f ca="1">G60/$D$98</f>
        <v>1.6212160815111454E-2</v>
      </c>
      <c r="I60" s="811">
        <f ca="1">G60</f>
        <v>524300</v>
      </c>
      <c r="J60" s="336"/>
      <c r="K60" s="337">
        <f t="shared" ref="K60" ca="1" si="32">INDIRECT("'"&amp;B60&amp;"'!L$1")</f>
        <v>128388.9</v>
      </c>
      <c r="L60" s="338">
        <f t="shared" ca="1" si="5"/>
        <v>0.24487678809841693</v>
      </c>
      <c r="M60" s="335">
        <f ca="1">K60/Summary!$G$16</f>
        <v>3.891668880674117E-3</v>
      </c>
      <c r="N60" s="864">
        <v>1.1000000000000001</v>
      </c>
      <c r="O60" s="863">
        <f t="shared" ca="1" si="30"/>
        <v>1.17</v>
      </c>
      <c r="P60" s="340">
        <f t="shared" ca="1" si="27"/>
        <v>0.59</v>
      </c>
      <c r="Q60" s="340">
        <f t="shared" ca="1" si="27"/>
        <v>0.2</v>
      </c>
      <c r="R60" s="340">
        <f t="shared" ca="1" si="27"/>
        <v>9.9999999999999992E-2</v>
      </c>
      <c r="S60" s="340">
        <f t="shared" ca="1" si="27"/>
        <v>6.0000000000000005E-2</v>
      </c>
      <c r="T60" s="340">
        <f t="shared" ca="1" si="27"/>
        <v>0.03</v>
      </c>
    </row>
    <row r="61" spans="2:22" x14ac:dyDescent="0.25">
      <c r="B61" s="821"/>
      <c r="C61" s="822"/>
      <c r="D61" s="823"/>
      <c r="F61" s="814"/>
      <c r="G61" s="825"/>
      <c r="H61" s="816"/>
      <c r="I61" s="817"/>
      <c r="J61" s="336"/>
      <c r="K61" s="818"/>
      <c r="L61" s="819"/>
      <c r="M61" s="816"/>
      <c r="N61" s="864"/>
      <c r="O61" s="340"/>
      <c r="P61" s="340"/>
      <c r="Q61" s="340"/>
      <c r="R61" s="340"/>
      <c r="S61" s="340"/>
      <c r="T61" s="340"/>
    </row>
    <row r="62" spans="2:22" x14ac:dyDescent="0.25">
      <c r="B62" s="669" t="s">
        <v>1809</v>
      </c>
      <c r="C62" s="670" t="str">
        <f t="shared" ca="1" si="24"/>
        <v>CULVERTS</v>
      </c>
      <c r="D62" s="671">
        <f ca="1">INDIRECT("'"&amp;B62&amp;"'"&amp;"!H1")</f>
        <v>676751</v>
      </c>
      <c r="F62" s="344">
        <v>1</v>
      </c>
      <c r="G62" s="334">
        <f t="shared" ca="1" si="28"/>
        <v>676751</v>
      </c>
      <c r="H62" s="346">
        <f ca="1">G62/$D$98</f>
        <v>2.0926179751645034E-2</v>
      </c>
      <c r="I62" s="811">
        <f ca="1">G62</f>
        <v>676751</v>
      </c>
      <c r="J62" s="336"/>
      <c r="K62" s="337">
        <f t="shared" ref="K62" ca="1" si="33">INDIRECT("'"&amp;B62&amp;"'!L$1")</f>
        <v>114615.2</v>
      </c>
      <c r="L62" s="338">
        <f t="shared" ca="1" si="5"/>
        <v>0.16936096141712387</v>
      </c>
      <c r="M62" s="335">
        <f ca="1">K62/Summary!$G$16</f>
        <v>3.4741664356672582E-3</v>
      </c>
      <c r="N62" s="864">
        <v>1.5</v>
      </c>
      <c r="O62" s="863">
        <f t="shared" ca="1" si="30"/>
        <v>1.51</v>
      </c>
      <c r="P62" s="340">
        <f t="shared" ca="1" si="27"/>
        <v>0.76</v>
      </c>
      <c r="Q62" s="340">
        <f t="shared" ca="1" si="27"/>
        <v>0.26</v>
      </c>
      <c r="R62" s="340">
        <f t="shared" ca="1" si="27"/>
        <v>0.13</v>
      </c>
      <c r="S62" s="340">
        <f t="shared" ca="1" si="27"/>
        <v>0.08</v>
      </c>
      <c r="T62" s="340">
        <f t="shared" ca="1" si="27"/>
        <v>0.04</v>
      </c>
      <c r="V62" s="308">
        <v>4</v>
      </c>
    </row>
    <row r="63" spans="2:22" x14ac:dyDescent="0.25">
      <c r="B63" s="821"/>
      <c r="C63" s="822"/>
      <c r="D63" s="823"/>
      <c r="F63" s="814"/>
      <c r="G63" s="825"/>
      <c r="H63" s="816"/>
      <c r="I63" s="817"/>
      <c r="J63" s="336"/>
      <c r="K63" s="818"/>
      <c r="L63" s="819"/>
      <c r="M63" s="816"/>
      <c r="N63" s="864"/>
      <c r="O63" s="340"/>
      <c r="P63" s="340"/>
      <c r="Q63" s="340"/>
      <c r="R63" s="340"/>
      <c r="S63" s="340"/>
      <c r="T63" s="340"/>
    </row>
    <row r="64" spans="2:22" ht="34.5" x14ac:dyDescent="0.25">
      <c r="B64" s="669" t="s">
        <v>1090</v>
      </c>
      <c r="C64" s="670" t="str">
        <f t="shared" ca="1" si="24"/>
        <v>CONCRETE KERBING AND CHANNELING, ASPHALT BERMS, CHUTES, DOWNPIPES, AS WELL AS CONCRETE, STONE PITCHED AND GABION LININGS FOR OPEN DRAINS</v>
      </c>
      <c r="D64" s="671">
        <f ca="1">INDIRECT("'"&amp;B64&amp;"'"&amp;"!H1")</f>
        <v>2800575</v>
      </c>
      <c r="F64" s="344">
        <v>1</v>
      </c>
      <c r="G64" s="334">
        <f t="shared" ca="1" si="28"/>
        <v>2800575</v>
      </c>
      <c r="H64" s="346">
        <f ca="1">G64/$D$98</f>
        <v>8.6598077960672815E-2</v>
      </c>
      <c r="I64" s="811">
        <f>SUM('CPG C3.3'!H12:H28)</f>
        <v>613875</v>
      </c>
      <c r="J64" s="336"/>
      <c r="K64" s="337">
        <f t="shared" ref="K64" ca="1" si="34">INDIRECT("'"&amp;B64&amp;"'!L$1")</f>
        <v>532478.88571428577</v>
      </c>
      <c r="L64" s="338">
        <f t="shared" ca="1" si="5"/>
        <v>0.19013198565090589</v>
      </c>
      <c r="M64" s="335">
        <f ca="1">K64/Summary!$G$16</f>
        <v>1.6140269985569746E-2</v>
      </c>
      <c r="N64" s="864" t="s">
        <v>2154</v>
      </c>
      <c r="O64" s="863">
        <f t="shared" si="30"/>
        <v>1.37</v>
      </c>
      <c r="P64" s="340">
        <f t="shared" si="27"/>
        <v>0.69000000000000006</v>
      </c>
      <c r="Q64" s="340">
        <f t="shared" si="27"/>
        <v>0.23</v>
      </c>
      <c r="R64" s="340">
        <f t="shared" si="27"/>
        <v>0.12</v>
      </c>
      <c r="S64" s="340">
        <f t="shared" si="27"/>
        <v>6.9999999999999993E-2</v>
      </c>
      <c r="T64" s="340">
        <f t="shared" si="27"/>
        <v>0.04</v>
      </c>
      <c r="V64" s="308">
        <v>4</v>
      </c>
    </row>
    <row r="65" spans="2:20" x14ac:dyDescent="0.25">
      <c r="B65" s="669"/>
      <c r="C65" s="670"/>
      <c r="D65" s="671"/>
      <c r="F65" s="344"/>
      <c r="G65" s="334"/>
      <c r="H65" s="346"/>
      <c r="I65" s="811">
        <f>SUM('CPG C3.3'!H34:H56)+SUM('CPG C3.3'!H69:H73)+SUM('CPG C3.3'!H91:H97)</f>
        <v>1952700</v>
      </c>
      <c r="J65" s="336"/>
      <c r="K65" s="337"/>
      <c r="L65" s="338"/>
      <c r="M65" s="346"/>
      <c r="N65" s="864"/>
      <c r="O65" s="863">
        <f t="shared" si="30"/>
        <v>4.34</v>
      </c>
      <c r="P65" s="863">
        <f t="shared" si="27"/>
        <v>2.17</v>
      </c>
      <c r="Q65" s="340">
        <f t="shared" si="27"/>
        <v>0.73</v>
      </c>
      <c r="R65" s="340">
        <f t="shared" si="27"/>
        <v>0.37</v>
      </c>
      <c r="S65" s="340">
        <f t="shared" si="27"/>
        <v>0.22</v>
      </c>
      <c r="T65" s="340">
        <f t="shared" si="27"/>
        <v>0.11</v>
      </c>
    </row>
    <row r="66" spans="2:20" x14ac:dyDescent="0.25">
      <c r="B66" s="669"/>
      <c r="C66" s="670"/>
      <c r="D66" s="671"/>
      <c r="F66" s="344"/>
      <c r="G66" s="334"/>
      <c r="H66" s="346"/>
      <c r="I66" s="811">
        <f>SUM('CPG C3.3'!H75:H89)</f>
        <v>234000</v>
      </c>
      <c r="J66" s="336"/>
      <c r="K66" s="337"/>
      <c r="L66" s="338"/>
      <c r="M66" s="346"/>
      <c r="N66" s="864"/>
      <c r="O66" s="863">
        <f t="shared" si="30"/>
        <v>0.52</v>
      </c>
      <c r="P66" s="340">
        <f t="shared" si="27"/>
        <v>0.26</v>
      </c>
      <c r="Q66" s="340">
        <f t="shared" si="27"/>
        <v>0.09</v>
      </c>
      <c r="R66" s="340">
        <f t="shared" si="27"/>
        <v>0.05</v>
      </c>
      <c r="S66" s="340">
        <f t="shared" si="27"/>
        <v>0.03</v>
      </c>
      <c r="T66" s="340">
        <f t="shared" si="27"/>
        <v>0.02</v>
      </c>
    </row>
    <row r="67" spans="2:20" x14ac:dyDescent="0.25">
      <c r="B67" s="821"/>
      <c r="C67" s="822"/>
      <c r="D67" s="823"/>
      <c r="F67" s="814"/>
      <c r="G67" s="825"/>
      <c r="H67" s="816"/>
      <c r="I67" s="817"/>
      <c r="J67" s="336"/>
      <c r="K67" s="818"/>
      <c r="L67" s="819"/>
      <c r="M67" s="816"/>
      <c r="N67" s="864"/>
      <c r="O67" s="830"/>
      <c r="P67" s="830"/>
      <c r="Q67" s="830"/>
      <c r="R67" s="830"/>
      <c r="S67" s="830"/>
      <c r="T67" s="830"/>
    </row>
    <row r="68" spans="2:20" ht="21" customHeight="1" x14ac:dyDescent="0.25">
      <c r="B68" s="673" t="s">
        <v>2199</v>
      </c>
      <c r="C68" s="670" t="str">
        <f t="shared" ref="C68:C69" ca="1" si="35">INDIRECT("'"&amp;B68&amp;"'"&amp;"!c12")</f>
        <v>ROAD PAVEMENT LAYERS</v>
      </c>
      <c r="D68" s="671">
        <f ca="1">INDIRECT("'"&amp;B68&amp;"'"&amp;"!H1")</f>
        <v>1631000</v>
      </c>
      <c r="F68" s="344">
        <v>1</v>
      </c>
      <c r="G68" s="334">
        <f ca="1">D68*F68</f>
        <v>1631000</v>
      </c>
      <c r="H68" s="335">
        <f ca="1">G68/$D$98</f>
        <v>5.0433023630453516E-2</v>
      </c>
      <c r="I68" s="810"/>
      <c r="J68" s="348"/>
      <c r="K68" s="337">
        <f t="shared" ref="K68:K69" ca="1" si="36">INDIRECT("'"&amp;B68&amp;"'!L$1")</f>
        <v>39880</v>
      </c>
      <c r="L68" s="338">
        <f ca="1">IF(SUM(D68)=0,"",K68/D68)</f>
        <v>2.4451256897608829E-2</v>
      </c>
      <c r="M68" s="335">
        <f ca="1">K68/Summary!$G$16</f>
        <v>1.2088253342873395E-3</v>
      </c>
      <c r="N68" s="339"/>
      <c r="O68" s="340"/>
      <c r="P68" s="340"/>
      <c r="Q68" s="340"/>
      <c r="R68" s="340"/>
      <c r="S68" s="340"/>
      <c r="T68" s="340"/>
    </row>
    <row r="69" spans="2:20" ht="21" customHeight="1" x14ac:dyDescent="0.25">
      <c r="B69" s="341" t="s">
        <v>2200</v>
      </c>
      <c r="C69" s="670" t="str">
        <f t="shared" ca="1" si="35"/>
        <v>STABILISATION</v>
      </c>
      <c r="D69" s="671">
        <f ca="1">INDIRECT("'"&amp;B69&amp;"'"&amp;"!H1")</f>
        <v>2064500</v>
      </c>
      <c r="F69" s="344">
        <v>1</v>
      </c>
      <c r="G69" s="334">
        <f ca="1">D69*F69</f>
        <v>2064500</v>
      </c>
      <c r="H69" s="335">
        <f ca="1">G69/$D$98</f>
        <v>6.3837509065034506E-2</v>
      </c>
      <c r="I69" s="810">
        <f ca="1">G68+G69</f>
        <v>3695500</v>
      </c>
      <c r="J69" s="348"/>
      <c r="K69" s="337">
        <f t="shared" ca="1" si="36"/>
        <v>141460</v>
      </c>
      <c r="L69" s="338">
        <f ca="1">IF(SUM(D69)=0,"",K69/D69)</f>
        <v>6.8520222814240736E-2</v>
      </c>
      <c r="M69" s="335">
        <f ca="1">K69/Summary!$G$16</f>
        <v>4.2878744179610587E-3</v>
      </c>
      <c r="N69" s="339"/>
      <c r="O69" s="340">
        <f t="shared" ca="1" si="30"/>
        <v>8.2200000000000006</v>
      </c>
      <c r="P69" s="340">
        <f t="shared" ca="1" si="27"/>
        <v>4.1099999999999994</v>
      </c>
      <c r="Q69" s="340">
        <f t="shared" ca="1" si="27"/>
        <v>1.37</v>
      </c>
      <c r="R69" s="863">
        <f t="shared" ca="1" si="27"/>
        <v>0.69000000000000006</v>
      </c>
      <c r="S69" s="340">
        <f t="shared" ca="1" si="27"/>
        <v>0.42</v>
      </c>
      <c r="T69" s="340">
        <f t="shared" ca="1" si="27"/>
        <v>0.21000000000000002</v>
      </c>
    </row>
    <row r="70" spans="2:20" x14ac:dyDescent="0.25">
      <c r="B70" s="821"/>
      <c r="C70" s="822"/>
      <c r="D70" s="823"/>
      <c r="F70" s="814"/>
      <c r="G70" s="825"/>
      <c r="H70" s="816"/>
      <c r="I70" s="817"/>
      <c r="J70" s="336"/>
      <c r="K70" s="818"/>
      <c r="L70" s="819"/>
      <c r="M70" s="816"/>
      <c r="N70" s="864"/>
      <c r="O70" s="830"/>
      <c r="P70" s="830"/>
      <c r="Q70" s="830"/>
      <c r="R70" s="830"/>
      <c r="S70" s="830"/>
      <c r="T70" s="830"/>
    </row>
    <row r="71" spans="2:20" ht="23" x14ac:dyDescent="0.25">
      <c r="B71" s="669" t="s">
        <v>1810</v>
      </c>
      <c r="C71" s="670" t="str">
        <f t="shared" ca="1" si="24"/>
        <v>PITCHING, STONEWORK, CAST IN SITU CONCRETE FOR PROTECTION AGAINST EROSION</v>
      </c>
      <c r="D71" s="671">
        <f t="shared" ref="D71:D72" ca="1" si="37">INDIRECT("'"&amp;B71&amp;"'"&amp;"!H1")</f>
        <v>185120</v>
      </c>
      <c r="F71" s="344">
        <v>1</v>
      </c>
      <c r="G71" s="334">
        <f t="shared" ca="1" si="28"/>
        <v>185120</v>
      </c>
      <c r="H71" s="346">
        <f ca="1">G71/$D$98</f>
        <v>5.7241945643590163E-3</v>
      </c>
      <c r="I71" s="810"/>
      <c r="J71" s="336"/>
      <c r="K71" s="337">
        <f t="shared" ref="K71:K72" ca="1" si="38">INDIRECT("'"&amp;B71&amp;"'!L$1")</f>
        <v>5316</v>
      </c>
      <c r="L71" s="338">
        <f t="shared" ca="1" si="5"/>
        <v>2.8716508210890234E-2</v>
      </c>
      <c r="M71" s="335">
        <f ca="1">K71/Summary!$G$16</f>
        <v>1.6113629581423011E-4</v>
      </c>
      <c r="N71" s="864"/>
      <c r="O71" s="340">
        <f t="shared" si="30"/>
        <v>0</v>
      </c>
      <c r="P71" s="340">
        <f t="shared" si="27"/>
        <v>0</v>
      </c>
      <c r="Q71" s="340">
        <f t="shared" si="27"/>
        <v>0</v>
      </c>
      <c r="R71" s="340">
        <f t="shared" si="27"/>
        <v>0</v>
      </c>
      <c r="S71" s="340">
        <f t="shared" si="27"/>
        <v>0</v>
      </c>
      <c r="T71" s="340">
        <f t="shared" si="27"/>
        <v>0</v>
      </c>
    </row>
    <row r="72" spans="2:20" x14ac:dyDescent="0.25">
      <c r="B72" s="669" t="s">
        <v>1092</v>
      </c>
      <c r="C72" s="670" t="str">
        <f t="shared" ca="1" si="24"/>
        <v>NON-STRUCTURAL GABIONS</v>
      </c>
      <c r="D72" s="671">
        <f t="shared" ca="1" si="37"/>
        <v>613840</v>
      </c>
      <c r="F72" s="344">
        <v>1</v>
      </c>
      <c r="G72" s="334">
        <f t="shared" ca="1" si="28"/>
        <v>613840</v>
      </c>
      <c r="H72" s="346">
        <f ca="1">G72/$D$98</f>
        <v>1.8980875061506797E-2</v>
      </c>
      <c r="I72" s="811">
        <f ca="1">SUM(D71:D72)</f>
        <v>798960</v>
      </c>
      <c r="J72" s="336"/>
      <c r="K72" s="337">
        <f t="shared" ca="1" si="38"/>
        <v>137142</v>
      </c>
      <c r="L72" s="338">
        <f t="shared" ca="1" si="5"/>
        <v>0.22341652547895216</v>
      </c>
      <c r="M72" s="335">
        <f ca="1">K72/Summary!$G$16</f>
        <v>4.1569890670720734E-3</v>
      </c>
      <c r="N72" s="864">
        <v>2</v>
      </c>
      <c r="O72" s="863">
        <f t="shared" ca="1" si="30"/>
        <v>1.78</v>
      </c>
      <c r="P72" s="340">
        <f t="shared" ca="1" si="27"/>
        <v>0.89</v>
      </c>
      <c r="Q72" s="340">
        <f t="shared" ca="1" si="27"/>
        <v>0.3</v>
      </c>
      <c r="R72" s="340">
        <f t="shared" ca="1" si="27"/>
        <v>0.15000000000000002</v>
      </c>
      <c r="S72" s="340">
        <f t="shared" ca="1" si="27"/>
        <v>0.09</v>
      </c>
      <c r="T72" s="340">
        <f t="shared" ca="1" si="27"/>
        <v>0.05</v>
      </c>
    </row>
    <row r="73" spans="2:20" x14ac:dyDescent="0.25">
      <c r="B73" s="821"/>
      <c r="C73" s="822"/>
      <c r="D73" s="823"/>
      <c r="F73" s="814"/>
      <c r="G73" s="825"/>
      <c r="H73" s="816"/>
      <c r="I73" s="817"/>
      <c r="J73" s="336"/>
      <c r="K73" s="818"/>
      <c r="L73" s="819"/>
      <c r="M73" s="816"/>
      <c r="N73" s="864"/>
      <c r="O73" s="340"/>
      <c r="P73" s="340"/>
      <c r="Q73" s="340"/>
      <c r="R73" s="340"/>
      <c r="S73" s="340"/>
      <c r="T73" s="340"/>
    </row>
    <row r="74" spans="2:20" x14ac:dyDescent="0.25">
      <c r="B74" s="669" t="s">
        <v>1811</v>
      </c>
      <c r="C74" s="670" t="str">
        <f t="shared" ca="1" si="24"/>
        <v>ROAD RESTRAINT SYSTEMS</v>
      </c>
      <c r="D74" s="671">
        <f ca="1">INDIRECT("'"&amp;B74&amp;"'"&amp;"!H1")</f>
        <v>1075350</v>
      </c>
      <c r="F74" s="344">
        <v>1</v>
      </c>
      <c r="G74" s="334">
        <f t="shared" ca="1" si="28"/>
        <v>1075350</v>
      </c>
      <c r="H74" s="346">
        <f ca="1">G74/$D$98</f>
        <v>3.3251472692218391E-2</v>
      </c>
      <c r="I74" s="811">
        <f ca="1">G74</f>
        <v>1075350</v>
      </c>
      <c r="J74" s="336"/>
      <c r="K74" s="337">
        <f t="shared" ref="K74" ca="1" si="39">INDIRECT("'"&amp;B74&amp;"'!L$1")</f>
        <v>121174.2</v>
      </c>
      <c r="L74" s="338">
        <f t="shared" ca="1" si="5"/>
        <v>0.11268349839587111</v>
      </c>
      <c r="M74" s="335">
        <f ca="1">K74/Summary!$G$16</f>
        <v>3.6729800105817683E-3</v>
      </c>
      <c r="N74" s="864" t="s">
        <v>2151</v>
      </c>
      <c r="O74" s="863">
        <f t="shared" ca="1" si="30"/>
        <v>2.3899999999999997</v>
      </c>
      <c r="P74" s="863">
        <f t="shared" ca="1" si="27"/>
        <v>1.2</v>
      </c>
      <c r="Q74" s="340">
        <f t="shared" ca="1" si="27"/>
        <v>0.4</v>
      </c>
      <c r="R74" s="340">
        <f t="shared" ca="1" si="27"/>
        <v>0.2</v>
      </c>
      <c r="S74" s="340">
        <f t="shared" ca="1" si="27"/>
        <v>0.12</v>
      </c>
      <c r="T74" s="340">
        <f t="shared" ca="1" si="27"/>
        <v>6.0000000000000005E-2</v>
      </c>
    </row>
    <row r="75" spans="2:20" x14ac:dyDescent="0.25">
      <c r="B75" s="821"/>
      <c r="C75" s="822"/>
      <c r="D75" s="823"/>
      <c r="F75" s="814"/>
      <c r="G75" s="825"/>
      <c r="H75" s="816"/>
      <c r="I75" s="817"/>
      <c r="J75" s="336"/>
      <c r="K75" s="818"/>
      <c r="L75" s="819"/>
      <c r="M75" s="816"/>
      <c r="N75" s="864"/>
      <c r="O75" s="340"/>
      <c r="P75" s="340"/>
      <c r="Q75" s="340"/>
      <c r="R75" s="340"/>
      <c r="S75" s="340"/>
      <c r="T75" s="340"/>
    </row>
    <row r="76" spans="2:20" x14ac:dyDescent="0.25">
      <c r="B76" s="669" t="s">
        <v>1812</v>
      </c>
      <c r="C76" s="670" t="str">
        <f t="shared" ca="1" si="24"/>
        <v>FENCING</v>
      </c>
      <c r="D76" s="671">
        <f ca="1">INDIRECT("'"&amp;B76&amp;"'"&amp;"!H1")</f>
        <v>800000</v>
      </c>
      <c r="F76" s="344">
        <v>1</v>
      </c>
      <c r="G76" s="334">
        <f t="shared" ca="1" si="28"/>
        <v>800000</v>
      </c>
      <c r="H76" s="346">
        <f ca="1">G76/$D$98</f>
        <v>2.4737228022294798E-2</v>
      </c>
      <c r="I76" s="811">
        <f ca="1">G76</f>
        <v>800000</v>
      </c>
      <c r="J76" s="336"/>
      <c r="K76" s="337">
        <f t="shared" ref="K76" ca="1" si="40">INDIRECT("'"&amp;B76&amp;"'!L$1")</f>
        <v>118100</v>
      </c>
      <c r="L76" s="338">
        <f t="shared" ca="1" si="5"/>
        <v>0.14762500000000001</v>
      </c>
      <c r="M76" s="335">
        <f ca="1">K76/Summary!$G$16</f>
        <v>3.5797961880475121E-3</v>
      </c>
      <c r="N76" s="864" t="s">
        <v>2152</v>
      </c>
      <c r="O76" s="340">
        <f t="shared" ca="1" si="30"/>
        <v>1.78</v>
      </c>
      <c r="P76" s="863">
        <f t="shared" ca="1" si="27"/>
        <v>0.89</v>
      </c>
      <c r="Q76" s="340">
        <f t="shared" ca="1" si="27"/>
        <v>0.3</v>
      </c>
      <c r="R76" s="340">
        <f t="shared" ca="1" si="27"/>
        <v>0.15000000000000002</v>
      </c>
      <c r="S76" s="340">
        <f t="shared" ca="1" si="27"/>
        <v>0.09</v>
      </c>
      <c r="T76" s="340">
        <f t="shared" ca="1" si="27"/>
        <v>0.05</v>
      </c>
    </row>
    <row r="77" spans="2:20" x14ac:dyDescent="0.25">
      <c r="B77" s="821"/>
      <c r="C77" s="822"/>
      <c r="D77" s="823"/>
      <c r="F77" s="814"/>
      <c r="G77" s="825"/>
      <c r="H77" s="816"/>
      <c r="I77" s="817"/>
      <c r="J77" s="336"/>
      <c r="K77" s="818"/>
      <c r="L77" s="819"/>
      <c r="M77" s="816"/>
      <c r="N77" s="864"/>
      <c r="O77" s="340"/>
      <c r="P77" s="340"/>
      <c r="Q77" s="340"/>
      <c r="R77" s="340"/>
      <c r="S77" s="340"/>
      <c r="T77" s="340"/>
    </row>
    <row r="78" spans="2:20" x14ac:dyDescent="0.25">
      <c r="B78" s="669" t="s">
        <v>1091</v>
      </c>
      <c r="C78" s="670" t="str">
        <f t="shared" ca="1" si="24"/>
        <v>ROAD SIGNS</v>
      </c>
      <c r="D78" s="671">
        <f ca="1">INDIRECT("'"&amp;B78&amp;"'"&amp;"!H1")</f>
        <v>105600</v>
      </c>
      <c r="F78" s="344">
        <v>1</v>
      </c>
      <c r="G78" s="334">
        <f t="shared" ca="1" si="28"/>
        <v>105600</v>
      </c>
      <c r="H78" s="346">
        <f ca="1">G78/$D$98</f>
        <v>3.2653140989429134E-3</v>
      </c>
      <c r="I78" s="811">
        <f ca="1">G78</f>
        <v>105600</v>
      </c>
      <c r="J78" s="336"/>
      <c r="K78" s="337">
        <f t="shared" ref="K78" ca="1" si="41">INDIRECT("'"&amp;B78&amp;"'!L$1")</f>
        <v>11755.8</v>
      </c>
      <c r="L78" s="338">
        <f t="shared" ca="1" si="5"/>
        <v>0.11132386363636362</v>
      </c>
      <c r="M78" s="335">
        <f ca="1">K78/Summary!$G$16</f>
        <v>3.5633673181582507E-4</v>
      </c>
      <c r="N78" s="864">
        <v>0.5</v>
      </c>
      <c r="O78" s="863">
        <f t="shared" ca="1" si="30"/>
        <v>0.24000000000000002</v>
      </c>
      <c r="P78" s="340">
        <f t="shared" ca="1" si="27"/>
        <v>0.12</v>
      </c>
      <c r="Q78" s="340">
        <f t="shared" ca="1" si="27"/>
        <v>0.04</v>
      </c>
      <c r="R78" s="340">
        <f t="shared" ca="1" si="27"/>
        <v>0.02</v>
      </c>
      <c r="S78" s="340">
        <f t="shared" ca="1" si="27"/>
        <v>0.02</v>
      </c>
      <c r="T78" s="340">
        <f t="shared" ca="1" si="27"/>
        <v>0.01</v>
      </c>
    </row>
    <row r="79" spans="2:20" x14ac:dyDescent="0.25">
      <c r="B79" s="821"/>
      <c r="C79" s="822"/>
      <c r="D79" s="823"/>
      <c r="F79" s="814"/>
      <c r="G79" s="825"/>
      <c r="H79" s="820"/>
      <c r="I79" s="817"/>
      <c r="J79" s="336"/>
      <c r="K79" s="818"/>
      <c r="L79" s="819"/>
      <c r="M79" s="820"/>
      <c r="N79" s="864"/>
      <c r="O79" s="340"/>
      <c r="P79" s="340"/>
      <c r="Q79" s="340"/>
      <c r="R79" s="340"/>
      <c r="S79" s="340"/>
      <c r="T79" s="340"/>
    </row>
    <row r="80" spans="2:20" x14ac:dyDescent="0.25">
      <c r="B80" s="341" t="s">
        <v>1960</v>
      </c>
      <c r="C80" s="342" t="str">
        <f t="shared" ca="1" si="24"/>
        <v>ROAD MARKINGS AND ROAD STUDS</v>
      </c>
      <c r="D80" s="347">
        <f ca="1">INDIRECT("'"&amp;B80&amp;"'"&amp;"!H1")</f>
        <v>128380.00000000003</v>
      </c>
      <c r="F80" s="344">
        <v>1</v>
      </c>
      <c r="G80" s="334">
        <f ca="1">D80*F80</f>
        <v>128380.00000000003</v>
      </c>
      <c r="H80" s="335">
        <f ca="1">G80/$D$98</f>
        <v>3.9697066668777587E-3</v>
      </c>
      <c r="I80" s="811">
        <f ca="1">G80</f>
        <v>128380.00000000003</v>
      </c>
      <c r="J80" s="348"/>
      <c r="K80" s="770">
        <f t="shared" ref="K80" ca="1" si="42">INDIRECT("'"&amp;B80&amp;"'!L$1")</f>
        <v>7342.8000000000011</v>
      </c>
      <c r="L80" s="771">
        <f ca="1">IF(SUM(D80)=0,"",K80/D80)</f>
        <v>5.7195824894843428E-2</v>
      </c>
      <c r="M80" s="772">
        <f ca="1">K80/Summary!$G$16</f>
        <v>2.2257178196100996E-4</v>
      </c>
      <c r="N80" s="864">
        <v>0.5</v>
      </c>
      <c r="O80" s="863">
        <f t="shared" ca="1" si="30"/>
        <v>0.29000000000000004</v>
      </c>
      <c r="P80" s="340">
        <f t="shared" ca="1" si="27"/>
        <v>0.15000000000000002</v>
      </c>
      <c r="Q80" s="340">
        <f t="shared" ca="1" si="27"/>
        <v>0.05</v>
      </c>
      <c r="R80" s="340">
        <f t="shared" ca="1" si="27"/>
        <v>0.03</v>
      </c>
      <c r="S80" s="340">
        <f t="shared" ca="1" si="27"/>
        <v>0.02</v>
      </c>
      <c r="T80" s="340">
        <f t="shared" ca="1" si="27"/>
        <v>0.01</v>
      </c>
    </row>
    <row r="81" spans="2:20" x14ac:dyDescent="0.25">
      <c r="B81" s="979"/>
      <c r="C81" s="822"/>
      <c r="D81" s="823"/>
      <c r="F81" s="814"/>
      <c r="G81" s="825"/>
      <c r="H81" s="820"/>
      <c r="I81" s="817"/>
      <c r="J81" s="348"/>
      <c r="K81" s="818"/>
      <c r="L81" s="819"/>
      <c r="M81" s="820"/>
      <c r="N81" s="864"/>
      <c r="O81" s="830"/>
      <c r="P81" s="830"/>
      <c r="Q81" s="830"/>
      <c r="R81" s="830"/>
      <c r="S81" s="830"/>
      <c r="T81" s="830"/>
    </row>
    <row r="82" spans="2:20" x14ac:dyDescent="0.25">
      <c r="B82" s="341" t="s">
        <v>1813</v>
      </c>
      <c r="C82" s="670" t="str">
        <f t="shared" ref="C82:C93" ca="1" si="43">INDIRECT(B82&amp;"!c12")</f>
        <v>GENERAL REQUIREMENTS AND PAYMENT</v>
      </c>
      <c r="D82" s="671">
        <f t="shared" ref="D82:D83" ca="1" si="44">INDIRECT("'"&amp;B82&amp;"'"&amp;"!H1")</f>
        <v>276015</v>
      </c>
      <c r="F82" s="344">
        <v>1</v>
      </c>
      <c r="G82" s="334">
        <f t="shared" ca="1" si="28"/>
        <v>276015</v>
      </c>
      <c r="H82" s="346">
        <f ca="1">G82/$D$98</f>
        <v>8.5348074907171233E-3</v>
      </c>
      <c r="I82" s="810"/>
      <c r="J82" s="336"/>
      <c r="K82" s="337">
        <f t="shared" ref="K82:K83" ca="1" si="45">INDIRECT("'"&amp;B82&amp;"'!L$1")</f>
        <v>6983.9999999999991</v>
      </c>
      <c r="L82" s="338">
        <f t="shared" ca="1" si="5"/>
        <v>2.5302972664529098E-2</v>
      </c>
      <c r="M82" s="335">
        <f ca="1">K82/Summary!$G$16</f>
        <v>2.1169599134059121E-4</v>
      </c>
      <c r="N82" s="864"/>
      <c r="O82" s="1096" t="s">
        <v>2055</v>
      </c>
      <c r="P82" s="1097"/>
      <c r="Q82" s="1097"/>
      <c r="R82" s="1097"/>
      <c r="S82" s="1097"/>
      <c r="T82" s="1098"/>
    </row>
    <row r="83" spans="2:20" ht="23" x14ac:dyDescent="0.25">
      <c r="B83" s="341" t="s">
        <v>1814</v>
      </c>
      <c r="C83" s="670" t="str">
        <f t="shared" ca="1" si="43"/>
        <v>CONTRACTOR'S SITE ESTABLISHMENT AND GENERAL OBLIGATIONS</v>
      </c>
      <c r="D83" s="671">
        <f t="shared" ca="1" si="44"/>
        <v>840000</v>
      </c>
      <c r="F83" s="344">
        <v>1</v>
      </c>
      <c r="G83" s="334">
        <f t="shared" ca="1" si="28"/>
        <v>840000</v>
      </c>
      <c r="H83" s="346">
        <f ca="1">G83/$D$98</f>
        <v>2.5974089423409539E-2</v>
      </c>
      <c r="I83" s="810">
        <f ca="1">G83+G82</f>
        <v>1116015</v>
      </c>
      <c r="J83" s="336"/>
      <c r="K83" s="337">
        <f t="shared" ca="1" si="45"/>
        <v>0</v>
      </c>
      <c r="L83" s="338">
        <f t="shared" ca="1" si="5"/>
        <v>0</v>
      </c>
      <c r="M83" s="335">
        <f ca="1">K83/Summary!$G$16</f>
        <v>0</v>
      </c>
      <c r="N83" s="864"/>
      <c r="O83" s="1099"/>
      <c r="P83" s="1100"/>
      <c r="Q83" s="1100"/>
      <c r="R83" s="1100"/>
      <c r="S83" s="1100"/>
      <c r="T83" s="1101"/>
    </row>
    <row r="84" spans="2:20" x14ac:dyDescent="0.25">
      <c r="B84" s="979"/>
      <c r="C84" s="822"/>
      <c r="D84" s="823"/>
      <c r="F84" s="814"/>
      <c r="G84" s="825"/>
      <c r="H84" s="816"/>
      <c r="I84" s="824"/>
      <c r="J84" s="336"/>
      <c r="K84" s="818"/>
      <c r="L84" s="819"/>
      <c r="M84" s="816"/>
      <c r="N84" s="864"/>
      <c r="O84" s="830"/>
      <c r="P84" s="830"/>
      <c r="Q84" s="830"/>
      <c r="R84" s="830"/>
      <c r="S84" s="830"/>
      <c r="T84" s="830"/>
    </row>
    <row r="85" spans="2:20" x14ac:dyDescent="0.25">
      <c r="B85" s="341" t="s">
        <v>1815</v>
      </c>
      <c r="C85" s="670" t="str">
        <f t="shared" ca="1" si="43"/>
        <v>FOUNDATIONS</v>
      </c>
      <c r="D85" s="671">
        <f ca="1">INDIRECT("'"&amp;B85&amp;"'"&amp;"!H1")</f>
        <v>358750</v>
      </c>
      <c r="F85" s="344">
        <v>1</v>
      </c>
      <c r="G85" s="334">
        <f t="shared" ca="1" si="28"/>
        <v>358750</v>
      </c>
      <c r="H85" s="346">
        <f ca="1">G85/$D$98</f>
        <v>1.1093100691247823E-2</v>
      </c>
      <c r="I85" s="811">
        <f ca="1">G85</f>
        <v>358750</v>
      </c>
      <c r="J85" s="336"/>
      <c r="K85" s="337">
        <f t="shared" ref="K85" ca="1" si="46">INDIRECT("'"&amp;B85&amp;"'!L$1")</f>
        <v>110610</v>
      </c>
      <c r="L85" s="338">
        <f t="shared" ca="1" si="5"/>
        <v>0.30832055749128917</v>
      </c>
      <c r="M85" s="335">
        <f ca="1">K85/Summary!$G$16</f>
        <v>3.3527625432678691E-3</v>
      </c>
      <c r="N85" s="864"/>
      <c r="O85" s="340">
        <f t="shared" ca="1" si="30"/>
        <v>0.8</v>
      </c>
      <c r="P85" s="340">
        <f t="shared" ca="1" si="30"/>
        <v>0.4</v>
      </c>
      <c r="Q85" s="340">
        <f t="shared" ca="1" si="30"/>
        <v>0.14000000000000001</v>
      </c>
      <c r="R85" s="340">
        <f t="shared" ca="1" si="30"/>
        <v>6.9999999999999993E-2</v>
      </c>
      <c r="S85" s="863">
        <f t="shared" ca="1" si="30"/>
        <v>0.04</v>
      </c>
      <c r="T85" s="340">
        <f t="shared" ca="1" si="30"/>
        <v>0.02</v>
      </c>
    </row>
    <row r="86" spans="2:20" x14ac:dyDescent="0.25">
      <c r="B86" s="979"/>
      <c r="C86" s="822"/>
      <c r="D86" s="823"/>
      <c r="F86" s="814"/>
      <c r="G86" s="825"/>
      <c r="H86" s="816"/>
      <c r="I86" s="824"/>
      <c r="J86" s="336"/>
      <c r="K86" s="818"/>
      <c r="L86" s="819"/>
      <c r="M86" s="816"/>
      <c r="N86" s="864"/>
      <c r="O86" s="340"/>
      <c r="P86" s="340"/>
      <c r="Q86" s="340"/>
      <c r="R86" s="340"/>
      <c r="S86" s="863"/>
      <c r="T86" s="340"/>
    </row>
    <row r="87" spans="2:20" x14ac:dyDescent="0.25">
      <c r="B87" s="341" t="s">
        <v>1816</v>
      </c>
      <c r="C87" s="670" t="str">
        <f t="shared" ca="1" si="43"/>
        <v>FALSEWORK, FORMWORK AND CONCRETE FINISH</v>
      </c>
      <c r="D87" s="671">
        <f ca="1">INDIRECT("'"&amp;B87&amp;"'"&amp;"!H1")</f>
        <v>1482400</v>
      </c>
      <c r="F87" s="344">
        <v>1</v>
      </c>
      <c r="G87" s="334">
        <f t="shared" ca="1" si="28"/>
        <v>1482400</v>
      </c>
      <c r="H87" s="346">
        <f ca="1">G87/$D$98</f>
        <v>4.5838083525312261E-2</v>
      </c>
      <c r="I87" s="811"/>
      <c r="J87" s="336"/>
      <c r="K87" s="337">
        <f t="shared" ref="K87:K89" ca="1" si="47">INDIRECT("'"&amp;B87&amp;"'!L$1")</f>
        <v>274298</v>
      </c>
      <c r="L87" s="338">
        <f t="shared" ca="1" si="5"/>
        <v>0.1850364274150027</v>
      </c>
      <c r="M87" s="335">
        <f ca="1">K87/Summary!$G$16</f>
        <v>8.3144024960970075E-3</v>
      </c>
      <c r="N87" s="864"/>
      <c r="O87" s="340">
        <f t="shared" ref="O87:T93" si="48">IF(SUM($I87)&gt;0.1,ROUNDUP($I87/(O$3*1000000),2),0)</f>
        <v>0</v>
      </c>
      <c r="P87" s="340">
        <f t="shared" si="48"/>
        <v>0</v>
      </c>
      <c r="Q87" s="340">
        <f t="shared" si="48"/>
        <v>0</v>
      </c>
      <c r="R87" s="340">
        <f t="shared" si="48"/>
        <v>0</v>
      </c>
      <c r="S87" s="863">
        <f t="shared" si="48"/>
        <v>0</v>
      </c>
      <c r="T87" s="340">
        <f t="shared" si="48"/>
        <v>0</v>
      </c>
    </row>
    <row r="88" spans="2:20" x14ac:dyDescent="0.25">
      <c r="B88" s="341" t="s">
        <v>1817</v>
      </c>
      <c r="C88" s="670" t="str">
        <f t="shared" ca="1" si="43"/>
        <v>STEEL REINFORCEMENT</v>
      </c>
      <c r="D88" s="671">
        <f ca="1">INDIRECT("'"&amp;B88&amp;"'"&amp;"!H1")</f>
        <v>1919660</v>
      </c>
      <c r="F88" s="344">
        <v>1</v>
      </c>
      <c r="G88" s="334">
        <f t="shared" ca="1" si="28"/>
        <v>1919660</v>
      </c>
      <c r="H88" s="346">
        <f ca="1">G88/$D$98</f>
        <v>5.9358833931598042E-2</v>
      </c>
      <c r="I88" s="810"/>
      <c r="J88" s="336"/>
      <c r="K88" s="337">
        <f t="shared" ca="1" si="47"/>
        <v>229813.2</v>
      </c>
      <c r="L88" s="338">
        <f t="shared" ca="1" si="5"/>
        <v>0.11971557463300793</v>
      </c>
      <c r="M88" s="335">
        <f ca="1">K88/Summary!$G$16</f>
        <v>6.965998453200682E-3</v>
      </c>
      <c r="N88" s="864"/>
      <c r="O88" s="340">
        <f t="shared" si="48"/>
        <v>0</v>
      </c>
      <c r="P88" s="340">
        <f t="shared" si="48"/>
        <v>0</v>
      </c>
      <c r="Q88" s="340">
        <f t="shared" si="48"/>
        <v>0</v>
      </c>
      <c r="R88" s="340">
        <f t="shared" si="48"/>
        <v>0</v>
      </c>
      <c r="S88" s="863">
        <f t="shared" si="48"/>
        <v>0</v>
      </c>
      <c r="T88" s="340">
        <f t="shared" si="48"/>
        <v>0</v>
      </c>
    </row>
    <row r="89" spans="2:20" x14ac:dyDescent="0.25">
      <c r="B89" s="341" t="s">
        <v>1818</v>
      </c>
      <c r="C89" s="670" t="str">
        <f t="shared" ca="1" si="43"/>
        <v>CONCRETE</v>
      </c>
      <c r="D89" s="671">
        <f ca="1">INDIRECT("'"&amp;B89&amp;"'"&amp;"!H1")</f>
        <v>3011600</v>
      </c>
      <c r="F89" s="344">
        <v>1</v>
      </c>
      <c r="G89" s="334">
        <f t="shared" ca="1" si="28"/>
        <v>3011600</v>
      </c>
      <c r="H89" s="346">
        <f ca="1">G89/$D$98</f>
        <v>9.3123294889928765E-2</v>
      </c>
      <c r="I89" s="811">
        <f ca="1">SUM(G87:G89)</f>
        <v>6413660</v>
      </c>
      <c r="J89" s="336"/>
      <c r="K89" s="337">
        <f t="shared" ca="1" si="47"/>
        <v>105563.8</v>
      </c>
      <c r="L89" s="338">
        <f t="shared" ca="1" si="5"/>
        <v>3.5052397396732632E-2</v>
      </c>
      <c r="M89" s="335">
        <f ca="1">K89/Summary!$G$16</f>
        <v>3.1998043085165961E-3</v>
      </c>
      <c r="N89" s="864"/>
      <c r="O89" s="340">
        <f t="shared" ca="1" si="48"/>
        <v>14.26</v>
      </c>
      <c r="P89" s="340">
        <f t="shared" ca="1" si="48"/>
        <v>7.13</v>
      </c>
      <c r="Q89" s="340">
        <f t="shared" ca="1" si="48"/>
        <v>2.38</v>
      </c>
      <c r="R89" s="340">
        <f t="shared" ca="1" si="48"/>
        <v>1.19</v>
      </c>
      <c r="S89" s="863">
        <f t="shared" ca="1" si="48"/>
        <v>0.72</v>
      </c>
      <c r="T89" s="340">
        <f t="shared" ca="1" si="48"/>
        <v>0.36</v>
      </c>
    </row>
    <row r="90" spans="2:20" x14ac:dyDescent="0.25">
      <c r="B90" s="979"/>
      <c r="C90" s="822"/>
      <c r="D90" s="823"/>
      <c r="F90" s="814"/>
      <c r="G90" s="825"/>
      <c r="H90" s="816"/>
      <c r="I90" s="824"/>
      <c r="J90" s="336"/>
      <c r="K90" s="818"/>
      <c r="L90" s="819"/>
      <c r="M90" s="816"/>
      <c r="N90" s="864"/>
      <c r="O90" s="340"/>
      <c r="P90" s="340"/>
      <c r="Q90" s="340"/>
      <c r="R90" s="340"/>
      <c r="S90" s="863"/>
      <c r="T90" s="340"/>
    </row>
    <row r="91" spans="2:20" x14ac:dyDescent="0.25">
      <c r="B91" s="341" t="s">
        <v>1819</v>
      </c>
      <c r="C91" s="670" t="str">
        <f t="shared" ca="1" si="43"/>
        <v>BEARINGS</v>
      </c>
      <c r="D91" s="671">
        <f ca="1">INDIRECT("'"&amp;B91&amp;"'"&amp;"!H1")</f>
        <v>75000</v>
      </c>
      <c r="F91" s="344">
        <v>1</v>
      </c>
      <c r="G91" s="334">
        <f t="shared" ca="1" si="28"/>
        <v>75000</v>
      </c>
      <c r="H91" s="346">
        <f ca="1">G91/$D$98</f>
        <v>2.3191151270901371E-3</v>
      </c>
      <c r="I91" s="810"/>
      <c r="J91" s="336"/>
      <c r="K91" s="337">
        <f t="shared" ref="K91:K93" ca="1" si="49">INDIRECT("'"&amp;B91&amp;"'!L$1")</f>
        <v>4500</v>
      </c>
      <c r="L91" s="338">
        <f t="shared" ca="1" si="5"/>
        <v>0.06</v>
      </c>
      <c r="M91" s="335">
        <f ca="1">K91/Summary!$G$16</f>
        <v>1.3640205627615416E-4</v>
      </c>
      <c r="N91" s="864"/>
      <c r="O91" s="340">
        <f t="shared" si="48"/>
        <v>0</v>
      </c>
      <c r="P91" s="340">
        <f t="shared" si="48"/>
        <v>0</v>
      </c>
      <c r="Q91" s="340">
        <f t="shared" si="48"/>
        <v>0</v>
      </c>
      <c r="R91" s="340">
        <f t="shared" si="48"/>
        <v>0</v>
      </c>
      <c r="S91" s="863">
        <f t="shared" si="48"/>
        <v>0</v>
      </c>
      <c r="T91" s="340">
        <f t="shared" si="48"/>
        <v>0</v>
      </c>
    </row>
    <row r="92" spans="2:20" x14ac:dyDescent="0.25">
      <c r="B92" s="669" t="s">
        <v>1820</v>
      </c>
      <c r="C92" s="670" t="str">
        <f t="shared" ca="1" si="43"/>
        <v>JOINTS</v>
      </c>
      <c r="D92" s="671">
        <f ca="1">INDIRECT("'"&amp;B92&amp;"'"&amp;"!H1")</f>
        <v>29160</v>
      </c>
      <c r="F92" s="344">
        <v>1</v>
      </c>
      <c r="G92" s="334">
        <f t="shared" ca="1" si="28"/>
        <v>29160</v>
      </c>
      <c r="H92" s="346">
        <f ca="1">G92/$D$98</f>
        <v>9.016719614126454E-4</v>
      </c>
      <c r="I92" s="810"/>
      <c r="J92" s="336"/>
      <c r="K92" s="337">
        <f t="shared" ca="1" si="49"/>
        <v>1749.6</v>
      </c>
      <c r="L92" s="338">
        <f t="shared" ca="1" si="5"/>
        <v>0.06</v>
      </c>
      <c r="M92" s="335">
        <f ca="1">K92/Summary!$G$16</f>
        <v>5.3033119480168732E-5</v>
      </c>
      <c r="N92" s="864"/>
      <c r="O92" s="340">
        <f t="shared" si="48"/>
        <v>0</v>
      </c>
      <c r="P92" s="340">
        <f t="shared" si="48"/>
        <v>0</v>
      </c>
      <c r="Q92" s="340">
        <f t="shared" si="48"/>
        <v>0</v>
      </c>
      <c r="R92" s="340">
        <f t="shared" si="48"/>
        <v>0</v>
      </c>
      <c r="S92" s="863">
        <f t="shared" si="48"/>
        <v>0</v>
      </c>
      <c r="T92" s="340">
        <f t="shared" si="48"/>
        <v>0</v>
      </c>
    </row>
    <row r="93" spans="2:20" x14ac:dyDescent="0.25">
      <c r="B93" s="669" t="s">
        <v>1821</v>
      </c>
      <c r="C93" s="670" t="str">
        <f t="shared" ca="1" si="43"/>
        <v>ANCILLARY STRUCTURAL ELEMENTS</v>
      </c>
      <c r="D93" s="671">
        <f ca="1">INDIRECT("'"&amp;B93&amp;"'"&amp;"!H1")</f>
        <v>144160</v>
      </c>
      <c r="F93" s="344">
        <v>1</v>
      </c>
      <c r="G93" s="334">
        <f t="shared" ca="1" si="28"/>
        <v>144160</v>
      </c>
      <c r="H93" s="346">
        <f ca="1">G93/$D$98</f>
        <v>4.4576484896175226E-3</v>
      </c>
      <c r="I93" s="811">
        <f ca="1">SUM(G91:G93)</f>
        <v>248320</v>
      </c>
      <c r="J93" s="336"/>
      <c r="K93" s="337">
        <f t="shared" ca="1" si="49"/>
        <v>19996</v>
      </c>
      <c r="L93" s="338">
        <f t="shared" ca="1" si="5"/>
        <v>0.13870699223085461</v>
      </c>
      <c r="M93" s="335">
        <f ca="1">K93/Summary!$G$16</f>
        <v>6.0611011495510629E-4</v>
      </c>
      <c r="N93" s="864"/>
      <c r="O93" s="340">
        <f t="shared" ca="1" si="48"/>
        <v>0.56000000000000005</v>
      </c>
      <c r="P93" s="340">
        <f t="shared" ca="1" si="48"/>
        <v>0.28000000000000003</v>
      </c>
      <c r="Q93" s="340">
        <f t="shared" ca="1" si="48"/>
        <v>9.9999999999999992E-2</v>
      </c>
      <c r="R93" s="340">
        <f t="shared" ca="1" si="48"/>
        <v>0.05</v>
      </c>
      <c r="S93" s="863">
        <f t="shared" ca="1" si="48"/>
        <v>0.03</v>
      </c>
      <c r="T93" s="340">
        <f t="shared" ca="1" si="48"/>
        <v>0.02</v>
      </c>
    </row>
    <row r="94" spans="2:20" x14ac:dyDescent="0.25">
      <c r="B94" s="821"/>
      <c r="C94" s="822"/>
      <c r="D94" s="823"/>
      <c r="F94" s="814"/>
      <c r="G94" s="825"/>
      <c r="H94" s="816"/>
      <c r="I94" s="824"/>
      <c r="J94" s="336"/>
      <c r="K94" s="818"/>
      <c r="L94" s="819"/>
      <c r="M94" s="816"/>
      <c r="N94" s="339"/>
      <c r="O94" s="831"/>
      <c r="P94" s="831"/>
      <c r="Q94" s="831"/>
      <c r="R94" s="831"/>
      <c r="S94" s="831"/>
      <c r="T94" s="831"/>
    </row>
    <row r="95" spans="2:20" x14ac:dyDescent="0.25">
      <c r="B95" s="669"/>
      <c r="C95" s="670"/>
      <c r="D95" s="671"/>
      <c r="F95" s="344"/>
      <c r="G95" s="334"/>
      <c r="H95" s="346"/>
      <c r="I95" s="810">
        <f>-198450*0</f>
        <v>0</v>
      </c>
      <c r="J95" s="336"/>
      <c r="K95" s="337"/>
      <c r="L95" s="338"/>
      <c r="M95" s="346"/>
      <c r="N95" s="339"/>
      <c r="O95" s="674"/>
      <c r="P95" s="674"/>
      <c r="Q95" s="674"/>
      <c r="R95" s="674"/>
      <c r="S95" s="674"/>
      <c r="T95" s="674"/>
    </row>
    <row r="96" spans="2:20" ht="12.75" customHeight="1" x14ac:dyDescent="0.25">
      <c r="B96" s="1106" t="s">
        <v>2061</v>
      </c>
      <c r="C96" s="1107"/>
      <c r="D96" s="343">
        <f ca="1">ROUND(SUM(D6:D95),2)</f>
        <v>31649921</v>
      </c>
      <c r="F96" s="349"/>
      <c r="G96" s="345">
        <f ca="1">ROUND(SUM(G8:G95),2)</f>
        <v>21822816</v>
      </c>
      <c r="H96" s="346">
        <f ca="1">G96/$D$98</f>
        <v>0.67479496935072913</v>
      </c>
      <c r="I96" s="810"/>
      <c r="J96" s="336"/>
      <c r="K96" s="337"/>
      <c r="L96" s="338">
        <f t="shared" ref="L96:L97" ca="1" si="50">IF(SUM(D96)=0,"",K96/D96)</f>
        <v>0</v>
      </c>
      <c r="M96" s="346"/>
      <c r="N96" s="339"/>
      <c r="O96" s="675"/>
      <c r="P96" s="675"/>
      <c r="Q96" s="675"/>
      <c r="R96" s="675"/>
      <c r="S96" s="675"/>
      <c r="T96" s="675"/>
    </row>
    <row r="97" spans="2:20" ht="13.5" customHeight="1" thickBot="1" x14ac:dyDescent="0.3">
      <c r="B97" s="1104" t="s">
        <v>2012</v>
      </c>
      <c r="C97" s="1105"/>
      <c r="D97" s="351">
        <f>E!E70</f>
        <v>690000</v>
      </c>
      <c r="F97" s="352"/>
      <c r="G97" s="353">
        <f t="shared" si="28"/>
        <v>0</v>
      </c>
      <c r="H97" s="354">
        <f ca="1">G97/$D$98</f>
        <v>0</v>
      </c>
      <c r="I97" s="810"/>
      <c r="J97" s="336"/>
      <c r="K97" s="337">
        <f>'Chapter E'!L1</f>
        <v>100000</v>
      </c>
      <c r="L97" s="338">
        <f t="shared" si="50"/>
        <v>0.14492753623188406</v>
      </c>
      <c r="M97" s="354">
        <f ca="1">K97/Summary!$G$16</f>
        <v>3.031156806136759E-3</v>
      </c>
      <c r="N97" s="339"/>
    </row>
    <row r="98" spans="2:20" ht="13.5" thickBot="1" x14ac:dyDescent="0.3">
      <c r="B98" s="1102" t="s">
        <v>2062</v>
      </c>
      <c r="C98" s="1103"/>
      <c r="D98" s="355">
        <f ca="1">SUM(D96:D97)</f>
        <v>32339921</v>
      </c>
      <c r="F98" s="356">
        <f ca="1">G98/D98</f>
        <v>0.67479496935072913</v>
      </c>
      <c r="G98" s="357">
        <f ca="1">SUM(G96:G97)</f>
        <v>21822816</v>
      </c>
      <c r="H98" s="358">
        <f ca="1">G98/D98</f>
        <v>0.67479496935072913</v>
      </c>
      <c r="I98" s="812">
        <f ca="1">SUM(I8:I97)</f>
        <v>21822816</v>
      </c>
      <c r="J98" s="336"/>
      <c r="K98" s="359">
        <f ca="1">SUM(K8:K97)</f>
        <v>3820527.2507142853</v>
      </c>
      <c r="L98" s="360"/>
      <c r="M98" s="361">
        <f ca="1">K98/Summary!$G$16</f>
        <v>0.11580617179033566</v>
      </c>
      <c r="N98" s="362"/>
      <c r="O98" s="350">
        <v>12</v>
      </c>
      <c r="P98" s="350">
        <v>3</v>
      </c>
      <c r="Q98" s="350">
        <v>2</v>
      </c>
      <c r="R98" s="350">
        <v>1</v>
      </c>
      <c r="S98" s="350">
        <v>1</v>
      </c>
      <c r="T98" s="350">
        <v>0</v>
      </c>
    </row>
    <row r="99" spans="2:20" ht="13" x14ac:dyDescent="0.25">
      <c r="D99" s="365"/>
      <c r="F99" s="366"/>
      <c r="G99" s="365"/>
      <c r="L99" s="314"/>
      <c r="M99" s="314"/>
    </row>
    <row r="100" spans="2:20" ht="13" x14ac:dyDescent="0.25">
      <c r="B100" s="367" t="s">
        <v>1067</v>
      </c>
      <c r="C100" s="368"/>
      <c r="D100" s="369">
        <f ca="1">G98</f>
        <v>21822816</v>
      </c>
      <c r="F100" s="370">
        <f ca="1">D100/D98</f>
        <v>0.67479496935072913</v>
      </c>
      <c r="H100" s="371"/>
      <c r="I100" s="371"/>
      <c r="J100" s="314"/>
      <c r="K100" s="369">
        <f ca="1">K98</f>
        <v>3820527.2507142853</v>
      </c>
      <c r="L100" s="372">
        <f ca="1">ROUND(K100/K$101,3)</f>
        <v>0.11600000000000001</v>
      </c>
    </row>
    <row r="101" spans="2:20" x14ac:dyDescent="0.25">
      <c r="B101" s="373" t="s">
        <v>1068</v>
      </c>
      <c r="C101" s="374"/>
      <c r="D101" s="375">
        <f ca="1">ROUND(F101*D98,2)</f>
        <v>9701976.3000000007</v>
      </c>
      <c r="F101" s="376">
        <v>0.3</v>
      </c>
      <c r="J101" s="318"/>
      <c r="K101" s="377">
        <f ca="1">Summary!$G$16</f>
        <v>32990705</v>
      </c>
      <c r="L101" s="378">
        <f ca="1">ROUND(K101/K$101,3)</f>
        <v>1</v>
      </c>
    </row>
    <row r="102" spans="2:20" x14ac:dyDescent="0.25">
      <c r="B102" s="373" t="str">
        <f ca="1">IF(D101&gt;D100,"Shortfall:","Surplus to Requirements:")</f>
        <v>Surplus to Requirements:</v>
      </c>
      <c r="C102" s="374"/>
      <c r="D102" s="375">
        <f ca="1">ABS(D101-D100)</f>
        <v>12120839.699999999</v>
      </c>
      <c r="F102" s="376">
        <f ca="1">ABS(F101-F100)</f>
        <v>0.37479496935072915</v>
      </c>
    </row>
    <row r="105" spans="2:20" x14ac:dyDescent="0.25">
      <c r="K105" s="945"/>
    </row>
    <row r="106" spans="2:20" x14ac:dyDescent="0.25">
      <c r="K106" s="944"/>
    </row>
    <row r="107" spans="2:20" ht="13" x14ac:dyDescent="0.25">
      <c r="B107" s="379" t="s">
        <v>1069</v>
      </c>
      <c r="K107" s="944"/>
    </row>
    <row r="109" spans="2:20" x14ac:dyDescent="0.25">
      <c r="B109" s="341">
        <v>3900</v>
      </c>
      <c r="C109" s="342" t="s">
        <v>1070</v>
      </c>
      <c r="D109" s="380"/>
      <c r="F109" s="381"/>
      <c r="G109" s="343">
        <f>D109*F109</f>
        <v>0</v>
      </c>
      <c r="H109" s="382">
        <f ca="1">D109/$D$98</f>
        <v>0</v>
      </c>
      <c r="I109" s="382"/>
      <c r="J109" s="383"/>
    </row>
    <row r="110" spans="2:20" x14ac:dyDescent="0.25">
      <c r="B110" s="341">
        <v>3900</v>
      </c>
      <c r="C110" s="342" t="s">
        <v>1071</v>
      </c>
      <c r="D110" s="380"/>
      <c r="F110" s="381">
        <v>1</v>
      </c>
      <c r="G110" s="343">
        <f>D110*F110</f>
        <v>0</v>
      </c>
      <c r="H110" s="384">
        <f ca="1">D110/$D$98</f>
        <v>0</v>
      </c>
      <c r="I110" s="384"/>
      <c r="J110" s="385" t="s">
        <v>1072</v>
      </c>
    </row>
    <row r="111" spans="2:20" x14ac:dyDescent="0.25">
      <c r="B111" s="341">
        <v>4500</v>
      </c>
      <c r="C111" s="342" t="s">
        <v>1065</v>
      </c>
      <c r="D111" s="380"/>
      <c r="F111" s="381"/>
      <c r="G111" s="343">
        <f>D111*F111</f>
        <v>0</v>
      </c>
      <c r="H111" s="382">
        <f ca="1">D111/$D$98</f>
        <v>0</v>
      </c>
      <c r="I111" s="382"/>
      <c r="J111" s="383"/>
    </row>
    <row r="112" spans="2:20" x14ac:dyDescent="0.25">
      <c r="B112" s="341">
        <v>5200</v>
      </c>
      <c r="C112" s="342" t="s">
        <v>1066</v>
      </c>
      <c r="D112" s="380"/>
      <c r="F112" s="381">
        <v>1</v>
      </c>
      <c r="G112" s="343">
        <f>D112*F112</f>
        <v>0</v>
      </c>
      <c r="H112" s="384">
        <f ca="1">D112/$D$98</f>
        <v>0</v>
      </c>
      <c r="I112" s="384"/>
      <c r="J112" s="385" t="s">
        <v>1072</v>
      </c>
    </row>
    <row r="113" spans="2:10" x14ac:dyDescent="0.25">
      <c r="B113" s="341">
        <v>5600</v>
      </c>
      <c r="C113" s="342" t="s">
        <v>1073</v>
      </c>
      <c r="D113" s="380"/>
      <c r="F113" s="381">
        <v>1</v>
      </c>
      <c r="G113" s="343">
        <f>D113*F113</f>
        <v>0</v>
      </c>
      <c r="H113" s="384">
        <f ca="1">D113/$D$98</f>
        <v>0</v>
      </c>
      <c r="I113" s="384"/>
      <c r="J113" s="385" t="s">
        <v>1072</v>
      </c>
    </row>
  </sheetData>
  <mergeCells count="9">
    <mergeCell ref="B98:C98"/>
    <mergeCell ref="B97:C97"/>
    <mergeCell ref="B96:C96"/>
    <mergeCell ref="B5:D5"/>
    <mergeCell ref="B4:I4"/>
    <mergeCell ref="O40:T41"/>
    <mergeCell ref="O28:T29"/>
    <mergeCell ref="O82:T83"/>
    <mergeCell ref="O51:T52"/>
  </mergeCells>
  <pageMargins left="0.43307086614173229" right="0.31496062992125984" top="0.43307086614173229" bottom="0.62992125984251968" header="0.31496062992125984" footer="0.31496062992125984"/>
  <pageSetup paperSize="9" scale="68"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12">
    <tabColor rgb="FFFFFF00"/>
  </sheetPr>
  <dimension ref="A1:N158"/>
  <sheetViews>
    <sheetView view="pageBreakPreview" zoomScaleNormal="125" zoomScaleSheetLayoutView="100" zoomScalePageLayoutView="125" workbookViewId="0">
      <pane ySplit="2" topLeftCell="A52" activePane="bottomLeft" state="frozen"/>
      <selection activeCell="B26" sqref="B26:G26"/>
      <selection pane="bottomLeft" activeCell="B26" sqref="B26:G26"/>
    </sheetView>
  </sheetViews>
  <sheetFormatPr defaultColWidth="8.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8.81640625" style="4"/>
    <col min="11" max="11" width="13.54296875" style="1" customWidth="1"/>
    <col min="12" max="12" width="14.1796875" style="1" customWidth="1"/>
    <col min="13" max="13" width="13.7265625" style="1" customWidth="1"/>
    <col min="14" max="14" width="13.54296875" style="1" customWidth="1"/>
    <col min="15" max="16384" width="8.81640625" style="1"/>
  </cols>
  <sheetData>
    <row r="1" spans="1:14" s="250" customFormat="1" ht="11.5" x14ac:dyDescent="0.25">
      <c r="A1" s="242"/>
      <c r="B1" s="243"/>
      <c r="C1" s="244" t="s">
        <v>993</v>
      </c>
      <c r="D1" s="245"/>
      <c r="E1" s="245"/>
      <c r="F1" s="246" t="s">
        <v>994</v>
      </c>
      <c r="G1" s="244">
        <v>3</v>
      </c>
      <c r="H1" s="247">
        <f>MAX(H2:H158)</f>
        <v>800000</v>
      </c>
      <c r="I1" s="247">
        <f>MAX(I2:I156)</f>
        <v>0</v>
      </c>
      <c r="J1" s="977"/>
      <c r="K1" s="249"/>
      <c r="L1" s="247">
        <f>MAX(L2:L158)</f>
        <v>118100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3"/>
    </row>
    <row r="6" spans="1:14" ht="12.75" customHeight="1" x14ac:dyDescent="0.25">
      <c r="B6" s="835" t="s">
        <v>8</v>
      </c>
      <c r="C6" s="836"/>
      <c r="D6" s="836"/>
      <c r="E6" s="836"/>
      <c r="F6" s="836"/>
      <c r="G6" s="836"/>
      <c r="H6" s="1132" t="str">
        <f>"CHAPTER "&amp;B12</f>
        <v>CHAPTER C11.5</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3"/>
      <c r="I7" s="8"/>
    </row>
    <row r="8" spans="1:14" ht="12.75" customHeight="1" x14ac:dyDescent="0.25">
      <c r="B8" s="1117"/>
      <c r="C8" s="1118"/>
      <c r="D8" s="1118"/>
      <c r="E8" s="1118"/>
      <c r="F8" s="1118"/>
      <c r="G8" s="1118"/>
      <c r="H8" s="1133"/>
      <c r="I8" s="8"/>
    </row>
    <row r="9" spans="1:14" s="9" customFormat="1" ht="7.5" customHeight="1" x14ac:dyDescent="0.25">
      <c r="B9" s="1119"/>
      <c r="C9" s="1120"/>
      <c r="D9" s="1120"/>
      <c r="E9" s="1120"/>
      <c r="F9" s="1120"/>
      <c r="G9" s="1120"/>
      <c r="H9" s="1134"/>
      <c r="I9" s="12"/>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6"/>
      <c r="C11" s="65"/>
      <c r="D11" s="15"/>
      <c r="E11" s="15"/>
      <c r="F11" s="15"/>
      <c r="G11" s="411"/>
      <c r="H11" s="17" t="str">
        <f>IF(D11="","",F11*G11)</f>
        <v/>
      </c>
      <c r="I11" s="18"/>
      <c r="J11" s="61"/>
      <c r="K11" s="399"/>
      <c r="L11" s="420" t="str">
        <f t="shared" ref="L11" si="0">IF(J11="","",F11*K11)</f>
        <v/>
      </c>
      <c r="M11" s="401" t="str">
        <f t="shared" ref="M11" si="1">IF(J11="","",IF(SUM(H11)=0,"",L11/H11))</f>
        <v/>
      </c>
    </row>
    <row r="12" spans="1:14" ht="13" x14ac:dyDescent="0.25">
      <c r="B12" s="146" t="s">
        <v>811</v>
      </c>
      <c r="C12" s="672" t="s">
        <v>812</v>
      </c>
      <c r="D12" s="15"/>
      <c r="E12" s="15"/>
      <c r="F12" s="15"/>
      <c r="G12" s="411"/>
      <c r="H12" s="17" t="str">
        <f t="shared" ref="H12:H51" si="2">IF(D12="","",F12*G12)</f>
        <v/>
      </c>
      <c r="I12" s="18"/>
      <c r="J12" s="61"/>
      <c r="K12" s="399"/>
      <c r="L12" s="420" t="str">
        <f t="shared" ref="L12:L34" si="3">IF(J12="","",F12*K12)</f>
        <v/>
      </c>
      <c r="M12" s="401" t="str">
        <f t="shared" ref="M12:M34" si="4">IF(J12="","",IF(SUM(H12)=0,"",L12/H12))</f>
        <v/>
      </c>
    </row>
    <row r="13" spans="1:14" ht="13" x14ac:dyDescent="0.25">
      <c r="B13" s="146"/>
      <c r="C13" s="672"/>
      <c r="D13" s="15"/>
      <c r="E13" s="15"/>
      <c r="F13" s="15"/>
      <c r="G13" s="411"/>
      <c r="H13" s="17" t="str">
        <f t="shared" si="2"/>
        <v/>
      </c>
      <c r="I13" s="18"/>
      <c r="J13" s="61"/>
      <c r="K13" s="399"/>
      <c r="L13" s="420" t="str">
        <f t="shared" si="3"/>
        <v/>
      </c>
      <c r="M13" s="401" t="str">
        <f t="shared" si="4"/>
        <v/>
      </c>
    </row>
    <row r="14" spans="1:14" ht="26" x14ac:dyDescent="0.25">
      <c r="B14" s="146" t="s">
        <v>1893</v>
      </c>
      <c r="C14" s="672" t="s">
        <v>174</v>
      </c>
      <c r="D14" s="15" t="s">
        <v>22</v>
      </c>
      <c r="E14" s="15" t="s">
        <v>996</v>
      </c>
      <c r="F14" s="15">
        <v>5</v>
      </c>
      <c r="G14" s="411">
        <v>5000</v>
      </c>
      <c r="H14" s="17">
        <f t="shared" si="2"/>
        <v>25000</v>
      </c>
      <c r="I14" s="18"/>
      <c r="J14" s="61" t="s">
        <v>996</v>
      </c>
      <c r="K14" s="399">
        <f>G14*30/100</f>
        <v>1500</v>
      </c>
      <c r="L14" s="420">
        <f t="shared" si="3"/>
        <v>7500</v>
      </c>
      <c r="M14" s="401">
        <f t="shared" si="4"/>
        <v>0.3</v>
      </c>
    </row>
    <row r="15" spans="1:14" x14ac:dyDescent="0.25">
      <c r="B15" s="58"/>
      <c r="C15" s="65"/>
      <c r="D15" s="15"/>
      <c r="E15" s="15"/>
      <c r="F15" s="15"/>
      <c r="G15" s="411"/>
      <c r="H15" s="17" t="str">
        <f t="shared" si="2"/>
        <v/>
      </c>
      <c r="I15" s="18"/>
      <c r="J15" s="61"/>
      <c r="K15" s="399"/>
      <c r="L15" s="420" t="str">
        <f t="shared" si="3"/>
        <v/>
      </c>
      <c r="M15" s="401" t="str">
        <f t="shared" si="4"/>
        <v/>
      </c>
    </row>
    <row r="16" spans="1:14" ht="39" x14ac:dyDescent="0.25">
      <c r="B16" s="146" t="s">
        <v>688</v>
      </c>
      <c r="C16" s="672" t="s">
        <v>687</v>
      </c>
      <c r="D16" s="15"/>
      <c r="E16" s="15"/>
      <c r="F16" s="15"/>
      <c r="G16" s="411"/>
      <c r="H16" s="17" t="str">
        <f t="shared" si="2"/>
        <v/>
      </c>
      <c r="I16" s="18"/>
      <c r="J16" s="61"/>
      <c r="K16" s="399"/>
      <c r="L16" s="420" t="str">
        <f t="shared" si="3"/>
        <v/>
      </c>
      <c r="M16" s="401" t="str">
        <f t="shared" si="4"/>
        <v/>
      </c>
    </row>
    <row r="17" spans="2:13" x14ac:dyDescent="0.25">
      <c r="B17" s="58"/>
      <c r="C17" s="65"/>
      <c r="D17" s="15"/>
      <c r="E17" s="15"/>
      <c r="F17" s="15"/>
      <c r="G17" s="411"/>
      <c r="H17" s="17" t="str">
        <f t="shared" si="2"/>
        <v/>
      </c>
      <c r="I17" s="18"/>
      <c r="J17" s="61"/>
      <c r="K17" s="399"/>
      <c r="L17" s="420" t="str">
        <f t="shared" si="3"/>
        <v/>
      </c>
      <c r="M17" s="401" t="str">
        <f t="shared" si="4"/>
        <v/>
      </c>
    </row>
    <row r="18" spans="2:13" ht="37.5" x14ac:dyDescent="0.25">
      <c r="B18" s="58" t="s">
        <v>686</v>
      </c>
      <c r="C18" s="65" t="s">
        <v>2077</v>
      </c>
      <c r="D18" s="15" t="s">
        <v>22</v>
      </c>
      <c r="E18" s="15" t="s">
        <v>996</v>
      </c>
      <c r="F18" s="15">
        <v>20</v>
      </c>
      <c r="G18" s="411">
        <v>5000</v>
      </c>
      <c r="H18" s="17">
        <f t="shared" si="2"/>
        <v>100000</v>
      </c>
      <c r="I18" s="18"/>
      <c r="J18" s="61" t="s">
        <v>996</v>
      </c>
      <c r="K18" s="399">
        <f>IF(D18="","",ROUND(12%*G18,1))</f>
        <v>600</v>
      </c>
      <c r="L18" s="420">
        <f t="shared" si="3"/>
        <v>12000</v>
      </c>
      <c r="M18" s="401">
        <f t="shared" si="4"/>
        <v>0.12</v>
      </c>
    </row>
    <row r="19" spans="2:13" x14ac:dyDescent="0.25">
      <c r="B19" s="58"/>
      <c r="C19" s="65"/>
      <c r="D19" s="15"/>
      <c r="E19" s="15"/>
      <c r="F19" s="15"/>
      <c r="G19" s="411"/>
      <c r="H19" s="17" t="str">
        <f t="shared" si="2"/>
        <v/>
      </c>
      <c r="I19" s="18"/>
      <c r="J19" s="61"/>
      <c r="K19" s="399"/>
      <c r="L19" s="420" t="str">
        <f t="shared" si="3"/>
        <v/>
      </c>
      <c r="M19" s="401" t="str">
        <f t="shared" si="4"/>
        <v/>
      </c>
    </row>
    <row r="20" spans="2:13" ht="25" x14ac:dyDescent="0.25">
      <c r="B20" s="58" t="s">
        <v>685</v>
      </c>
      <c r="C20" s="70" t="s">
        <v>2078</v>
      </c>
      <c r="D20" s="15" t="s">
        <v>34</v>
      </c>
      <c r="E20" s="15" t="s">
        <v>996</v>
      </c>
      <c r="F20" s="24">
        <v>480</v>
      </c>
      <c r="G20" s="411">
        <v>100</v>
      </c>
      <c r="H20" s="17">
        <f t="shared" si="2"/>
        <v>48000</v>
      </c>
      <c r="I20" s="18"/>
      <c r="J20" s="61" t="s">
        <v>996</v>
      </c>
      <c r="K20" s="399">
        <f>IF(D20="","",ROUND(12%*G20,1))</f>
        <v>12</v>
      </c>
      <c r="L20" s="420">
        <f t="shared" si="3"/>
        <v>5760</v>
      </c>
      <c r="M20" s="401">
        <f t="shared" si="4"/>
        <v>0.12</v>
      </c>
    </row>
    <row r="21" spans="2:13" x14ac:dyDescent="0.25">
      <c r="B21" s="58"/>
      <c r="C21" s="70"/>
      <c r="D21" s="15"/>
      <c r="E21" s="15"/>
      <c r="F21" s="24"/>
      <c r="G21" s="411"/>
      <c r="H21" s="17" t="str">
        <f t="shared" si="2"/>
        <v/>
      </c>
      <c r="I21" s="18"/>
      <c r="J21" s="61"/>
      <c r="K21" s="399" t="str">
        <f t="shared" ref="K21" si="5">IF(D21="","",ROUND(3%*H21,1))</f>
        <v/>
      </c>
      <c r="L21" s="420" t="str">
        <f t="shared" si="3"/>
        <v/>
      </c>
      <c r="M21" s="401" t="str">
        <f t="shared" si="4"/>
        <v/>
      </c>
    </row>
    <row r="22" spans="2:13" ht="25" x14ac:dyDescent="0.25">
      <c r="B22" s="58" t="s">
        <v>684</v>
      </c>
      <c r="C22" s="70" t="s">
        <v>2079</v>
      </c>
      <c r="D22" s="15" t="s">
        <v>34</v>
      </c>
      <c r="E22" s="15" t="s">
        <v>996</v>
      </c>
      <c r="F22" s="24">
        <v>1400</v>
      </c>
      <c r="G22" s="411">
        <v>20</v>
      </c>
      <c r="H22" s="17">
        <f t="shared" si="2"/>
        <v>28000</v>
      </c>
      <c r="I22" s="18"/>
      <c r="J22" s="61" t="s">
        <v>996</v>
      </c>
      <c r="K22" s="399">
        <f>IF(D22="","",ROUND(12%*G22,1))</f>
        <v>2.4</v>
      </c>
      <c r="L22" s="420">
        <f t="shared" si="3"/>
        <v>3360</v>
      </c>
      <c r="M22" s="401">
        <f t="shared" si="4"/>
        <v>0.12</v>
      </c>
    </row>
    <row r="23" spans="2:13" x14ac:dyDescent="0.25">
      <c r="B23" s="58"/>
      <c r="C23" s="65"/>
      <c r="D23" s="15"/>
      <c r="E23" s="15"/>
      <c r="F23" s="24"/>
      <c r="G23" s="411"/>
      <c r="H23" s="17" t="str">
        <f t="shared" si="2"/>
        <v/>
      </c>
      <c r="I23" s="18"/>
      <c r="J23" s="61"/>
      <c r="K23" s="399" t="str">
        <f t="shared" ref="K23" si="6">IF(D23="","",ROUND(3%*H23,1))</f>
        <v/>
      </c>
      <c r="L23" s="420" t="str">
        <f t="shared" si="3"/>
        <v/>
      </c>
      <c r="M23" s="401" t="str">
        <f t="shared" si="4"/>
        <v/>
      </c>
    </row>
    <row r="24" spans="2:13" x14ac:dyDescent="0.25">
      <c r="B24" s="58" t="s">
        <v>683</v>
      </c>
      <c r="C24" s="65" t="s">
        <v>682</v>
      </c>
      <c r="D24" s="15"/>
      <c r="E24" s="15"/>
      <c r="F24" s="24"/>
      <c r="G24" s="422"/>
      <c r="H24" s="17" t="str">
        <f t="shared" si="2"/>
        <v/>
      </c>
      <c r="I24" s="57"/>
      <c r="J24" s="61"/>
      <c r="K24" s="399" t="str">
        <f>IF(D24="","",ROUND(Labour_perc_roads*H24,1))</f>
        <v/>
      </c>
      <c r="L24" s="420" t="str">
        <f t="shared" si="3"/>
        <v/>
      </c>
      <c r="M24" s="401" t="str">
        <f t="shared" si="4"/>
        <v/>
      </c>
    </row>
    <row r="25" spans="2:13" x14ac:dyDescent="0.25">
      <c r="B25" s="58"/>
      <c r="C25" s="65"/>
      <c r="D25" s="15"/>
      <c r="E25" s="15"/>
      <c r="F25" s="24"/>
      <c r="G25" s="422"/>
      <c r="H25" s="17" t="str">
        <f t="shared" si="2"/>
        <v/>
      </c>
      <c r="I25" s="18"/>
      <c r="J25" s="61"/>
      <c r="K25" s="62"/>
      <c r="L25" s="420" t="str">
        <f t="shared" si="3"/>
        <v/>
      </c>
      <c r="M25" s="401" t="str">
        <f t="shared" si="4"/>
        <v/>
      </c>
    </row>
    <row r="26" spans="2:13" x14ac:dyDescent="0.25">
      <c r="B26" s="58" t="s">
        <v>39</v>
      </c>
      <c r="C26" s="65" t="s">
        <v>1854</v>
      </c>
      <c r="D26" s="15"/>
      <c r="E26" s="15"/>
      <c r="F26" s="24"/>
      <c r="G26" s="423"/>
      <c r="H26" s="17" t="str">
        <f t="shared" si="2"/>
        <v/>
      </c>
      <c r="I26" s="18"/>
      <c r="J26" s="61"/>
      <c r="K26" s="399"/>
      <c r="L26" s="420" t="str">
        <f t="shared" si="3"/>
        <v/>
      </c>
      <c r="M26" s="401" t="str">
        <f t="shared" si="4"/>
        <v/>
      </c>
    </row>
    <row r="27" spans="2:13" x14ac:dyDescent="0.25">
      <c r="B27" s="58"/>
      <c r="C27" s="65"/>
      <c r="D27" s="15"/>
      <c r="E27" s="15"/>
      <c r="F27" s="24"/>
      <c r="G27" s="411"/>
      <c r="H27" s="17" t="str">
        <f t="shared" si="2"/>
        <v/>
      </c>
      <c r="I27" s="18"/>
      <c r="J27" s="61"/>
      <c r="K27" s="62"/>
      <c r="L27" s="420" t="str">
        <f t="shared" si="3"/>
        <v/>
      </c>
      <c r="M27" s="401" t="str">
        <f t="shared" si="4"/>
        <v/>
      </c>
    </row>
    <row r="28" spans="2:13" ht="50" x14ac:dyDescent="0.25">
      <c r="B28" s="58" t="s">
        <v>235</v>
      </c>
      <c r="C28" s="65" t="s">
        <v>2080</v>
      </c>
      <c r="D28" s="15" t="s">
        <v>34</v>
      </c>
      <c r="E28" s="15" t="s">
        <v>996</v>
      </c>
      <c r="F28" s="24">
        <v>40</v>
      </c>
      <c r="G28" s="411">
        <v>900</v>
      </c>
      <c r="H28" s="17">
        <f t="shared" si="2"/>
        <v>36000</v>
      </c>
      <c r="I28" s="18"/>
      <c r="J28" s="61" t="s">
        <v>996</v>
      </c>
      <c r="K28" s="399">
        <f>IF(D28="","",ROUND(12%*G28,1))</f>
        <v>108</v>
      </c>
      <c r="L28" s="420">
        <f t="shared" si="3"/>
        <v>4320</v>
      </c>
      <c r="M28" s="401">
        <f t="shared" si="4"/>
        <v>0.12</v>
      </c>
    </row>
    <row r="29" spans="2:13" x14ac:dyDescent="0.25">
      <c r="B29" s="58"/>
      <c r="C29" s="65"/>
      <c r="D29" s="15"/>
      <c r="E29" s="15"/>
      <c r="F29" s="24"/>
      <c r="G29" s="421"/>
      <c r="H29" s="17" t="str">
        <f t="shared" si="2"/>
        <v/>
      </c>
      <c r="I29" s="63"/>
      <c r="J29" s="61"/>
      <c r="K29" s="62"/>
      <c r="L29" s="420" t="str">
        <f t="shared" si="3"/>
        <v/>
      </c>
      <c r="M29" s="401" t="str">
        <f t="shared" si="4"/>
        <v/>
      </c>
    </row>
    <row r="30" spans="2:13" x14ac:dyDescent="0.25">
      <c r="B30" s="58" t="s">
        <v>41</v>
      </c>
      <c r="C30" s="65" t="s">
        <v>681</v>
      </c>
      <c r="D30" s="15"/>
      <c r="E30" s="15"/>
      <c r="F30" s="24"/>
      <c r="G30" s="423"/>
      <c r="H30" s="17" t="str">
        <f t="shared" si="2"/>
        <v/>
      </c>
      <c r="I30" s="18"/>
      <c r="J30" s="61"/>
      <c r="K30" s="62"/>
      <c r="L30" s="420" t="str">
        <f t="shared" si="3"/>
        <v/>
      </c>
      <c r="M30" s="401" t="str">
        <f t="shared" si="4"/>
        <v/>
      </c>
    </row>
    <row r="31" spans="2:13" x14ac:dyDescent="0.25">
      <c r="B31" s="58"/>
      <c r="C31" s="65"/>
      <c r="D31" s="15"/>
      <c r="E31" s="15"/>
      <c r="F31" s="15"/>
      <c r="G31" s="411"/>
      <c r="H31" s="17" t="str">
        <f t="shared" si="2"/>
        <v/>
      </c>
      <c r="I31" s="18"/>
      <c r="J31" s="61"/>
      <c r="K31" s="62"/>
      <c r="L31" s="420" t="str">
        <f t="shared" si="3"/>
        <v/>
      </c>
      <c r="M31" s="401" t="str">
        <f t="shared" si="4"/>
        <v/>
      </c>
    </row>
    <row r="32" spans="2:13" ht="50" x14ac:dyDescent="0.25">
      <c r="B32" s="58" t="s">
        <v>235</v>
      </c>
      <c r="C32" s="65" t="s">
        <v>2081</v>
      </c>
      <c r="D32" s="15" t="s">
        <v>34</v>
      </c>
      <c r="E32" s="15" t="s">
        <v>996</v>
      </c>
      <c r="F32" s="15">
        <v>50</v>
      </c>
      <c r="G32" s="422">
        <v>900</v>
      </c>
      <c r="H32" s="17">
        <f t="shared" si="2"/>
        <v>45000</v>
      </c>
      <c r="I32" s="18"/>
      <c r="J32" s="61" t="s">
        <v>996</v>
      </c>
      <c r="K32" s="399">
        <f>IF(D32="","",ROUND(12%*G32,1))</f>
        <v>108</v>
      </c>
      <c r="L32" s="420">
        <f t="shared" si="3"/>
        <v>5400</v>
      </c>
      <c r="M32" s="401">
        <f t="shared" si="4"/>
        <v>0.12</v>
      </c>
    </row>
    <row r="33" spans="2:13" x14ac:dyDescent="0.25">
      <c r="B33" s="58"/>
      <c r="C33" s="65"/>
      <c r="D33" s="15"/>
      <c r="E33" s="15"/>
      <c r="F33" s="24"/>
      <c r="G33" s="411"/>
      <c r="H33" s="17" t="str">
        <f t="shared" si="2"/>
        <v/>
      </c>
      <c r="I33" s="18"/>
      <c r="J33" s="61"/>
      <c r="K33" s="399"/>
      <c r="L33" s="420" t="str">
        <f t="shared" si="3"/>
        <v/>
      </c>
      <c r="M33" s="401" t="str">
        <f t="shared" si="4"/>
        <v/>
      </c>
    </row>
    <row r="34" spans="2:13" ht="26" x14ac:dyDescent="0.25">
      <c r="B34" s="146" t="s">
        <v>680</v>
      </c>
      <c r="C34" s="672" t="s">
        <v>2082</v>
      </c>
      <c r="D34" s="15" t="s">
        <v>34</v>
      </c>
      <c r="E34" s="15" t="s">
        <v>996</v>
      </c>
      <c r="F34" s="15">
        <v>5</v>
      </c>
      <c r="G34" s="411">
        <v>3500</v>
      </c>
      <c r="H34" s="17">
        <f t="shared" si="2"/>
        <v>17500</v>
      </c>
      <c r="I34" s="63"/>
      <c r="J34" s="61" t="s">
        <v>996</v>
      </c>
      <c r="K34" s="399">
        <f>IF(D34="","",ROUND(12%*G34,1))</f>
        <v>420</v>
      </c>
      <c r="L34" s="420">
        <f t="shared" si="3"/>
        <v>2100</v>
      </c>
      <c r="M34" s="401">
        <f t="shared" si="4"/>
        <v>0.12</v>
      </c>
    </row>
    <row r="35" spans="2:13" x14ac:dyDescent="0.25">
      <c r="B35" s="58"/>
      <c r="C35" s="65"/>
      <c r="D35" s="15"/>
      <c r="E35" s="15"/>
      <c r="F35" s="24"/>
      <c r="G35" s="422"/>
      <c r="H35" s="17" t="str">
        <f t="shared" si="2"/>
        <v/>
      </c>
      <c r="I35" s="18"/>
      <c r="J35" s="61"/>
      <c r="K35" s="62"/>
      <c r="L35" s="420" t="str">
        <f t="shared" ref="L35:L51" si="7">IF(J35="","",F35*K35)</f>
        <v/>
      </c>
      <c r="M35" s="401" t="str">
        <f t="shared" ref="M35:M51" si="8">IF(J35="","",IF(SUM(H35)=0,"",L35/H35))</f>
        <v/>
      </c>
    </row>
    <row r="36" spans="2:13" ht="13" x14ac:dyDescent="0.25">
      <c r="B36" s="146" t="s">
        <v>2059</v>
      </c>
      <c r="C36" s="672" t="s">
        <v>2060</v>
      </c>
      <c r="D36" s="15"/>
      <c r="E36" s="15"/>
      <c r="F36" s="24"/>
      <c r="G36" s="423"/>
      <c r="H36" s="17" t="str">
        <f t="shared" si="2"/>
        <v/>
      </c>
      <c r="I36" s="18"/>
      <c r="J36" s="61"/>
      <c r="K36" s="62"/>
      <c r="L36" s="420" t="str">
        <f t="shared" si="7"/>
        <v/>
      </c>
      <c r="M36" s="401" t="str">
        <f t="shared" si="8"/>
        <v/>
      </c>
    </row>
    <row r="37" spans="2:13" x14ac:dyDescent="0.25">
      <c r="B37" s="58"/>
      <c r="C37" s="65"/>
      <c r="D37" s="15"/>
      <c r="E37" s="15"/>
      <c r="F37" s="24"/>
      <c r="G37" s="411"/>
      <c r="H37" s="17" t="str">
        <f t="shared" si="2"/>
        <v/>
      </c>
      <c r="I37" s="18"/>
      <c r="J37" s="61"/>
      <c r="K37" s="62"/>
      <c r="L37" s="420" t="str">
        <f t="shared" si="7"/>
        <v/>
      </c>
      <c r="M37" s="401" t="str">
        <f t="shared" si="8"/>
        <v/>
      </c>
    </row>
    <row r="38" spans="2:13" x14ac:dyDescent="0.25">
      <c r="B38" s="58" t="s">
        <v>679</v>
      </c>
      <c r="C38" s="65" t="s">
        <v>678</v>
      </c>
      <c r="D38" s="15"/>
      <c r="E38" s="15"/>
      <c r="F38" s="24"/>
      <c r="G38" s="411"/>
      <c r="H38" s="17" t="str">
        <f t="shared" si="2"/>
        <v/>
      </c>
      <c r="I38" s="18"/>
      <c r="J38" s="61"/>
      <c r="K38" s="62"/>
      <c r="L38" s="420" t="str">
        <f t="shared" si="7"/>
        <v/>
      </c>
      <c r="M38" s="401" t="str">
        <f t="shared" si="8"/>
        <v/>
      </c>
    </row>
    <row r="39" spans="2:13" x14ac:dyDescent="0.25">
      <c r="B39" s="58"/>
      <c r="C39" s="65"/>
      <c r="D39" s="15"/>
      <c r="E39" s="15"/>
      <c r="F39" s="24"/>
      <c r="G39" s="411"/>
      <c r="H39" s="17" t="str">
        <f t="shared" si="2"/>
        <v/>
      </c>
      <c r="I39" s="18"/>
      <c r="J39" s="61"/>
      <c r="K39" s="399"/>
      <c r="L39" s="420" t="str">
        <f t="shared" si="7"/>
        <v/>
      </c>
      <c r="M39" s="401" t="str">
        <f t="shared" si="8"/>
        <v/>
      </c>
    </row>
    <row r="40" spans="2:13" ht="25" x14ac:dyDescent="0.25">
      <c r="B40" s="58" t="s">
        <v>39</v>
      </c>
      <c r="C40" s="70" t="s">
        <v>2083</v>
      </c>
      <c r="D40" s="15" t="s">
        <v>22</v>
      </c>
      <c r="E40" s="15" t="s">
        <v>996</v>
      </c>
      <c r="F40" s="15">
        <v>0.2</v>
      </c>
      <c r="G40" s="422">
        <v>100000</v>
      </c>
      <c r="H40" s="17">
        <f t="shared" si="2"/>
        <v>20000</v>
      </c>
      <c r="I40" s="18"/>
      <c r="J40" s="61" t="s">
        <v>996</v>
      </c>
      <c r="K40" s="399">
        <f>IF(D40="","",ROUND(12%*G40,1))</f>
        <v>12000</v>
      </c>
      <c r="L40" s="420">
        <f t="shared" si="7"/>
        <v>2400</v>
      </c>
      <c r="M40" s="401">
        <f t="shared" si="8"/>
        <v>0.12</v>
      </c>
    </row>
    <row r="41" spans="2:13" x14ac:dyDescent="0.25">
      <c r="B41" s="58"/>
      <c r="C41" s="70"/>
      <c r="D41" s="15"/>
      <c r="E41" s="15"/>
      <c r="F41" s="15"/>
      <c r="G41" s="422"/>
      <c r="H41" s="17" t="str">
        <f t="shared" si="2"/>
        <v/>
      </c>
      <c r="I41" s="18"/>
      <c r="J41" s="61"/>
      <c r="K41" s="62"/>
      <c r="L41" s="420" t="str">
        <f t="shared" si="7"/>
        <v/>
      </c>
      <c r="M41" s="401" t="str">
        <f t="shared" si="8"/>
        <v/>
      </c>
    </row>
    <row r="42" spans="2:13" ht="50" x14ac:dyDescent="0.25">
      <c r="B42" s="58" t="s">
        <v>52</v>
      </c>
      <c r="C42" s="65" t="s">
        <v>2084</v>
      </c>
      <c r="D42" s="15" t="s">
        <v>22</v>
      </c>
      <c r="E42" s="15" t="s">
        <v>996</v>
      </c>
      <c r="F42" s="15">
        <v>0.2</v>
      </c>
      <c r="G42" s="422">
        <v>100000</v>
      </c>
      <c r="H42" s="17">
        <f t="shared" si="2"/>
        <v>20000</v>
      </c>
      <c r="I42" s="18"/>
      <c r="J42" s="61" t="s">
        <v>996</v>
      </c>
      <c r="K42" s="399">
        <f>IF(D42="","",ROUND(12%*G42,1))</f>
        <v>12000</v>
      </c>
      <c r="L42" s="420">
        <f t="shared" si="7"/>
        <v>2400</v>
      </c>
      <c r="M42" s="401">
        <f t="shared" si="8"/>
        <v>0.12</v>
      </c>
    </row>
    <row r="43" spans="2:13" x14ac:dyDescent="0.25">
      <c r="B43" s="58"/>
      <c r="C43" s="65"/>
      <c r="D43" s="15"/>
      <c r="E43" s="15"/>
      <c r="F43" s="15"/>
      <c r="G43" s="422"/>
      <c r="H43" s="17" t="str">
        <f t="shared" si="2"/>
        <v/>
      </c>
      <c r="I43" s="18"/>
      <c r="J43" s="61"/>
      <c r="K43" s="402"/>
      <c r="L43" s="420" t="str">
        <f t="shared" si="7"/>
        <v/>
      </c>
      <c r="M43" s="401" t="str">
        <f t="shared" si="8"/>
        <v/>
      </c>
    </row>
    <row r="44" spans="2:13" ht="37.5" x14ac:dyDescent="0.25">
      <c r="B44" s="58" t="s">
        <v>43</v>
      </c>
      <c r="C44" s="65" t="s">
        <v>2085</v>
      </c>
      <c r="D44" s="15" t="s">
        <v>22</v>
      </c>
      <c r="E44" s="15" t="s">
        <v>996</v>
      </c>
      <c r="F44" s="15">
        <v>0.12</v>
      </c>
      <c r="G44" s="422">
        <v>400000</v>
      </c>
      <c r="H44" s="17">
        <f t="shared" si="2"/>
        <v>48000</v>
      </c>
      <c r="I44" s="18"/>
      <c r="J44" s="61" t="s">
        <v>996</v>
      </c>
      <c r="K44" s="399">
        <f>IF(D44="","",ROUND(12%*G44,1))</f>
        <v>48000</v>
      </c>
      <c r="L44" s="420">
        <f t="shared" si="7"/>
        <v>5760</v>
      </c>
      <c r="M44" s="401">
        <f t="shared" si="8"/>
        <v>0.12</v>
      </c>
    </row>
    <row r="45" spans="2:13" x14ac:dyDescent="0.25">
      <c r="B45" s="58"/>
      <c r="C45" s="70"/>
      <c r="D45" s="15"/>
      <c r="E45" s="15"/>
      <c r="F45" s="15"/>
      <c r="G45" s="422"/>
      <c r="H45" s="17" t="str">
        <f t="shared" si="2"/>
        <v/>
      </c>
      <c r="I45" s="18"/>
      <c r="J45" s="61"/>
      <c r="K45" s="62"/>
      <c r="L45" s="420" t="str">
        <f t="shared" si="7"/>
        <v/>
      </c>
      <c r="M45" s="401" t="str">
        <f t="shared" si="8"/>
        <v/>
      </c>
    </row>
    <row r="46" spans="2:13" ht="13" x14ac:dyDescent="0.25">
      <c r="B46" s="146" t="s">
        <v>677</v>
      </c>
      <c r="C46" s="672" t="s">
        <v>676</v>
      </c>
      <c r="D46" s="15"/>
      <c r="E46" s="15"/>
      <c r="F46" s="61"/>
      <c r="G46" s="422"/>
      <c r="H46" s="17" t="str">
        <f t="shared" si="2"/>
        <v/>
      </c>
      <c r="I46" s="63"/>
      <c r="J46" s="61"/>
      <c r="K46" s="62"/>
      <c r="L46" s="420" t="str">
        <f t="shared" si="7"/>
        <v/>
      </c>
      <c r="M46" s="401" t="str">
        <f t="shared" si="8"/>
        <v/>
      </c>
    </row>
    <row r="47" spans="2:13" x14ac:dyDescent="0.25">
      <c r="B47" s="58"/>
      <c r="C47" s="65"/>
      <c r="D47" s="15"/>
      <c r="E47" s="15"/>
      <c r="F47" s="15"/>
      <c r="G47" s="422"/>
      <c r="H47" s="17" t="str">
        <f t="shared" si="2"/>
        <v/>
      </c>
      <c r="I47" s="63"/>
      <c r="J47" s="61"/>
      <c r="K47" s="62"/>
      <c r="L47" s="420" t="str">
        <f t="shared" si="7"/>
        <v/>
      </c>
      <c r="M47" s="401" t="str">
        <f t="shared" si="8"/>
        <v/>
      </c>
    </row>
    <row r="48" spans="2:13" ht="50" x14ac:dyDescent="0.25">
      <c r="B48" s="58" t="s">
        <v>675</v>
      </c>
      <c r="C48" s="65" t="s">
        <v>2086</v>
      </c>
      <c r="D48" s="15" t="s">
        <v>22</v>
      </c>
      <c r="E48" s="15" t="s">
        <v>996</v>
      </c>
      <c r="F48" s="61">
        <v>0.2</v>
      </c>
      <c r="G48" s="424">
        <v>200000</v>
      </c>
      <c r="H48" s="17">
        <f t="shared" si="2"/>
        <v>40000</v>
      </c>
      <c r="I48" s="63"/>
      <c r="J48" s="61" t="s">
        <v>996</v>
      </c>
      <c r="K48" s="399">
        <f>IF(D48="","",ROUND(12%*G48,1))</f>
        <v>24000</v>
      </c>
      <c r="L48" s="420">
        <f t="shared" si="7"/>
        <v>4800</v>
      </c>
      <c r="M48" s="401">
        <f t="shared" si="8"/>
        <v>0.12</v>
      </c>
    </row>
    <row r="49" spans="2:13" x14ac:dyDescent="0.25">
      <c r="B49" s="58"/>
      <c r="C49" s="68"/>
      <c r="D49" s="61"/>
      <c r="E49" s="61"/>
      <c r="F49" s="61"/>
      <c r="G49" s="424"/>
      <c r="H49" s="17" t="str">
        <f t="shared" si="2"/>
        <v/>
      </c>
      <c r="I49" s="63"/>
      <c r="J49" s="61"/>
      <c r="K49" s="402"/>
      <c r="L49" s="420" t="str">
        <f t="shared" si="7"/>
        <v/>
      </c>
      <c r="M49" s="401" t="str">
        <f t="shared" si="8"/>
        <v/>
      </c>
    </row>
    <row r="50" spans="2:13" ht="50" x14ac:dyDescent="0.25">
      <c r="B50" s="58" t="s">
        <v>674</v>
      </c>
      <c r="C50" s="65" t="s">
        <v>2087</v>
      </c>
      <c r="D50" s="15" t="s">
        <v>22</v>
      </c>
      <c r="E50" s="15" t="s">
        <v>996</v>
      </c>
      <c r="F50" s="15">
        <v>0.2</v>
      </c>
      <c r="G50" s="424">
        <v>650000</v>
      </c>
      <c r="H50" s="17">
        <f t="shared" si="2"/>
        <v>130000</v>
      </c>
      <c r="I50" s="63"/>
      <c r="J50" s="61" t="s">
        <v>996</v>
      </c>
      <c r="K50" s="399">
        <f>IF(D50="","",ROUND(12%*G50,1))</f>
        <v>78000</v>
      </c>
      <c r="L50" s="420">
        <f t="shared" si="7"/>
        <v>15600</v>
      </c>
      <c r="M50" s="401">
        <f t="shared" si="8"/>
        <v>0.12</v>
      </c>
    </row>
    <row r="51" spans="2:13" x14ac:dyDescent="0.25">
      <c r="B51" s="58"/>
      <c r="C51" s="65"/>
      <c r="D51" s="15"/>
      <c r="E51" s="15"/>
      <c r="F51" s="24"/>
      <c r="G51" s="411"/>
      <c r="H51" s="17" t="str">
        <f t="shared" si="2"/>
        <v/>
      </c>
      <c r="I51" s="63"/>
      <c r="J51" s="592"/>
      <c r="K51" s="711"/>
      <c r="L51" s="420" t="str">
        <f t="shared" si="7"/>
        <v/>
      </c>
      <c r="M51" s="401" t="str">
        <f t="shared" si="8"/>
        <v/>
      </c>
    </row>
    <row r="52" spans="2:13" s="28" customFormat="1" ht="19.5" customHeight="1" x14ac:dyDescent="0.25">
      <c r="B52" s="135" t="str">
        <f>$B$12</f>
        <v>C11.5</v>
      </c>
      <c r="C52" s="30" t="str">
        <f>"TOTAL CARRIED FORWARD"&amp;IF(H52=H$1," TO SUMMARY","")</f>
        <v>TOTAL CARRIED FORWARD</v>
      </c>
      <c r="D52" s="31"/>
      <c r="E52" s="31"/>
      <c r="F52" s="32"/>
      <c r="G52" s="31"/>
      <c r="H52" s="33">
        <f>SUM(H11:H51)</f>
        <v>557500</v>
      </c>
      <c r="I52" s="34"/>
      <c r="J52" s="408"/>
      <c r="K52" s="406"/>
      <c r="L52" s="418">
        <f>SUM(L11:L51)</f>
        <v>71400</v>
      </c>
      <c r="M52" s="407" t="str">
        <f t="shared" ref="M52" si="9">IF(J52="","",IF(SUM(H52)=0,"",L52/H52))</f>
        <v/>
      </c>
    </row>
    <row r="53" spans="2:13" ht="13" x14ac:dyDescent="0.25">
      <c r="B53" s="1108" t="str">
        <f>Client1</f>
        <v>Province of KwaZulu-Natal</v>
      </c>
      <c r="C53" s="1108"/>
      <c r="D53" s="1108"/>
      <c r="E53" s="87"/>
      <c r="F53" s="1109" t="str">
        <f>"Contract No. "&amp;ContractNo</f>
        <v>Contract No. ZNB 00399/00000/HOD/INF/21/T</v>
      </c>
      <c r="G53" s="1109"/>
      <c r="H53" s="1109"/>
    </row>
    <row r="54" spans="2:13" ht="13" x14ac:dyDescent="0.25">
      <c r="B54" s="1108" t="str">
        <f>Client2</f>
        <v>Department of Transport</v>
      </c>
      <c r="C54" s="1108"/>
      <c r="D54" s="1108"/>
      <c r="E54" s="87"/>
      <c r="F54" s="1109"/>
      <c r="G54" s="1109"/>
      <c r="H54" s="1109"/>
    </row>
    <row r="55" spans="2:13" x14ac:dyDescent="0.25">
      <c r="B55" s="1111"/>
      <c r="C55" s="1111"/>
      <c r="D55" s="1111"/>
      <c r="E55" s="78"/>
      <c r="F55" s="1110"/>
      <c r="G55" s="1110"/>
      <c r="H55" s="1110"/>
    </row>
    <row r="56" spans="2:13" ht="13" x14ac:dyDescent="0.25">
      <c r="B56" s="1112" t="s">
        <v>8</v>
      </c>
      <c r="C56" s="1113"/>
      <c r="D56" s="1113"/>
      <c r="E56" s="1113"/>
      <c r="F56" s="1113"/>
      <c r="G56" s="1113"/>
      <c r="H56" s="1125" t="str">
        <f>$H$6</f>
        <v>CHAPTER C11.5</v>
      </c>
      <c r="I56" s="6"/>
    </row>
    <row r="57" spans="2:13" ht="13" x14ac:dyDescent="0.25">
      <c r="B57" s="1117" t="str">
        <f>ContractDescription</f>
        <v>THE CONSTRUCTION OF EARTHWORKS, LAYERWORKS, SURFACING, CULVERTS AND CWAKA RIVER BRIDGE FROM KM 11.600 TO KM 14.000 ON MAIN ROAD P494 IN THE KING CETSHWAYO DISTRICT UNDER EMPANGENI REGION</v>
      </c>
      <c r="C57" s="1118"/>
      <c r="D57" s="1118"/>
      <c r="E57" s="1118"/>
      <c r="F57" s="1118"/>
      <c r="G57" s="1118"/>
      <c r="H57" s="1126"/>
      <c r="I57" s="8"/>
    </row>
    <row r="58" spans="2:13" ht="13" x14ac:dyDescent="0.25">
      <c r="B58" s="1117"/>
      <c r="C58" s="1118"/>
      <c r="D58" s="1118"/>
      <c r="E58" s="1118"/>
      <c r="F58" s="1118"/>
      <c r="G58" s="1118"/>
      <c r="H58" s="1126"/>
      <c r="I58" s="8"/>
    </row>
    <row r="59" spans="2:13" ht="13" x14ac:dyDescent="0.25">
      <c r="B59" s="1119"/>
      <c r="C59" s="1120"/>
      <c r="D59" s="1120"/>
      <c r="E59" s="1120"/>
      <c r="F59" s="1120"/>
      <c r="G59" s="1120"/>
      <c r="H59" s="1127"/>
      <c r="I59" s="8"/>
    </row>
    <row r="60" spans="2:13" s="9" customFormat="1" ht="25" customHeight="1" x14ac:dyDescent="0.25">
      <c r="B60" s="74" t="s">
        <v>0</v>
      </c>
      <c r="C60" s="11" t="s">
        <v>1</v>
      </c>
      <c r="D60" s="11" t="s">
        <v>2</v>
      </c>
      <c r="E60" s="11" t="s">
        <v>996</v>
      </c>
      <c r="F60" s="11" t="s">
        <v>3</v>
      </c>
      <c r="G60" s="11" t="s">
        <v>4</v>
      </c>
      <c r="H60" s="11" t="s">
        <v>5</v>
      </c>
      <c r="I60" s="12"/>
      <c r="J60" s="408" t="s">
        <v>996</v>
      </c>
      <c r="K60" s="253" t="s">
        <v>997</v>
      </c>
      <c r="L60" s="253" t="s">
        <v>998</v>
      </c>
      <c r="M60" s="253" t="s">
        <v>999</v>
      </c>
    </row>
    <row r="61" spans="2:13" s="28" customFormat="1" ht="19.5" customHeight="1" x14ac:dyDescent="0.25">
      <c r="B61" s="80"/>
      <c r="C61" s="30" t="s">
        <v>27</v>
      </c>
      <c r="D61" s="31"/>
      <c r="E61" s="31"/>
      <c r="F61" s="32"/>
      <c r="G61" s="31"/>
      <c r="H61" s="33">
        <f>H52</f>
        <v>557500</v>
      </c>
      <c r="I61" s="34"/>
      <c r="J61" s="416"/>
      <c r="K61" s="409"/>
      <c r="L61" s="419">
        <f>L52</f>
        <v>71400</v>
      </c>
      <c r="M61" s="410" t="str">
        <f t="shared" ref="M61:M62" si="10">IF(J61="","",IF(SUM(H61)=0,"",L61/H61))</f>
        <v/>
      </c>
    </row>
    <row r="62" spans="2:13" ht="12" customHeight="1" x14ac:dyDescent="0.25">
      <c r="B62" s="58"/>
      <c r="C62" s="65"/>
      <c r="D62" s="15"/>
      <c r="E62" s="15"/>
      <c r="F62" s="24"/>
      <c r="G62" s="411"/>
      <c r="H62" s="17" t="str">
        <f t="shared" ref="H62:H121" si="11">IFERROR(IF(D62="","",F62*G62),"Rate Only")</f>
        <v/>
      </c>
      <c r="I62" s="63"/>
      <c r="J62" s="61"/>
      <c r="K62" s="399"/>
      <c r="L62" s="420" t="str">
        <f t="shared" ref="L62:L63" si="12">IF(J62="","",F62*K62)</f>
        <v/>
      </c>
      <c r="M62" s="401" t="str">
        <f t="shared" si="10"/>
        <v/>
      </c>
    </row>
    <row r="63" spans="2:13" ht="12" customHeight="1" x14ac:dyDescent="0.25">
      <c r="B63" s="58" t="s">
        <v>673</v>
      </c>
      <c r="C63" s="70" t="s">
        <v>1894</v>
      </c>
      <c r="D63" s="15"/>
      <c r="E63" s="15"/>
      <c r="F63" s="15"/>
      <c r="G63" s="411"/>
      <c r="H63" s="17" t="str">
        <f t="shared" si="11"/>
        <v/>
      </c>
      <c r="I63" s="63"/>
      <c r="J63" s="61"/>
      <c r="K63" s="62"/>
      <c r="L63" s="420" t="str">
        <f t="shared" si="12"/>
        <v/>
      </c>
      <c r="M63" s="401" t="str">
        <f t="shared" ref="M63" si="13">IF(J63="","",IF(SUM(H63)=0,"",L63/H63))</f>
        <v/>
      </c>
    </row>
    <row r="64" spans="2:13" ht="12" customHeight="1" x14ac:dyDescent="0.25">
      <c r="B64" s="58"/>
      <c r="C64" s="786"/>
      <c r="D64" s="15"/>
      <c r="E64" s="15"/>
      <c r="F64" s="15"/>
      <c r="G64" s="411"/>
      <c r="H64" s="17" t="str">
        <f t="shared" si="11"/>
        <v/>
      </c>
      <c r="I64" s="63"/>
      <c r="J64" s="61"/>
      <c r="K64" s="62"/>
      <c r="L64" s="420" t="str">
        <f t="shared" ref="L64:L71" si="14">IF(J64="","",F64*K64)</f>
        <v/>
      </c>
      <c r="M64" s="401" t="str">
        <f t="shared" ref="M64:M72" si="15">IF(J64="","",IF(SUM(H64)=0,"",L64/H64))</f>
        <v/>
      </c>
    </row>
    <row r="65" spans="2:13" ht="37.5" x14ac:dyDescent="0.25">
      <c r="B65" s="58" t="s">
        <v>39</v>
      </c>
      <c r="C65" s="786" t="s">
        <v>1787</v>
      </c>
      <c r="D65" s="15" t="s">
        <v>672</v>
      </c>
      <c r="E65" s="15" t="s">
        <v>996</v>
      </c>
      <c r="F65" s="15">
        <v>5</v>
      </c>
      <c r="G65" s="411">
        <v>2500</v>
      </c>
      <c r="H65" s="17">
        <f t="shared" si="11"/>
        <v>12500</v>
      </c>
      <c r="I65" s="63"/>
      <c r="J65" s="61" t="s">
        <v>996</v>
      </c>
      <c r="K65" s="399">
        <f>IF(D65="","",ROUND(12%*G65,1))</f>
        <v>300</v>
      </c>
      <c r="L65" s="420">
        <f t="shared" si="14"/>
        <v>1500</v>
      </c>
      <c r="M65" s="401">
        <f t="shared" si="15"/>
        <v>0.12</v>
      </c>
    </row>
    <row r="66" spans="2:13" ht="12" customHeight="1" x14ac:dyDescent="0.25">
      <c r="B66" s="58"/>
      <c r="C66" s="786"/>
      <c r="D66" s="15"/>
      <c r="E66" s="15"/>
      <c r="F66" s="15"/>
      <c r="G66" s="411"/>
      <c r="H66" s="17" t="str">
        <f t="shared" si="11"/>
        <v/>
      </c>
      <c r="I66" s="63"/>
      <c r="J66" s="61"/>
      <c r="K66" s="399" t="str">
        <f t="shared" ref="K66" si="16">IF(D66="","",ROUND(Labour_perc_roads*H66,1))</f>
        <v/>
      </c>
      <c r="L66" s="420" t="str">
        <f t="shared" si="14"/>
        <v/>
      </c>
      <c r="M66" s="401" t="str">
        <f t="shared" si="15"/>
        <v/>
      </c>
    </row>
    <row r="67" spans="2:13" ht="50" x14ac:dyDescent="0.25">
      <c r="B67" s="58" t="s">
        <v>41</v>
      </c>
      <c r="C67" s="786" t="s">
        <v>1788</v>
      </c>
      <c r="D67" s="15" t="s">
        <v>672</v>
      </c>
      <c r="E67" s="15" t="s">
        <v>996</v>
      </c>
      <c r="F67" s="15">
        <v>2</v>
      </c>
      <c r="G67" s="411">
        <v>4000</v>
      </c>
      <c r="H67" s="17">
        <f t="shared" si="11"/>
        <v>8000</v>
      </c>
      <c r="I67" s="63"/>
      <c r="J67" s="61" t="s">
        <v>996</v>
      </c>
      <c r="K67" s="399">
        <f>IF(D67="","",ROUND(12%*G67,1))</f>
        <v>480</v>
      </c>
      <c r="L67" s="420">
        <f t="shared" si="14"/>
        <v>960</v>
      </c>
      <c r="M67" s="401">
        <f t="shared" si="15"/>
        <v>0.12</v>
      </c>
    </row>
    <row r="68" spans="2:13" ht="12" customHeight="1" x14ac:dyDescent="0.25">
      <c r="B68" s="58"/>
      <c r="C68" s="65"/>
      <c r="D68" s="15"/>
      <c r="E68" s="15"/>
      <c r="F68" s="15"/>
      <c r="G68" s="411"/>
      <c r="H68" s="17" t="str">
        <f t="shared" si="11"/>
        <v/>
      </c>
      <c r="I68" s="63"/>
      <c r="J68" s="61"/>
      <c r="K68" s="62"/>
      <c r="L68" s="420" t="str">
        <f t="shared" si="14"/>
        <v/>
      </c>
      <c r="M68" s="401" t="str">
        <f t="shared" si="15"/>
        <v/>
      </c>
    </row>
    <row r="69" spans="2:13" ht="12" customHeight="1" x14ac:dyDescent="0.25">
      <c r="B69" s="146" t="s">
        <v>671</v>
      </c>
      <c r="C69" s="672" t="s">
        <v>670</v>
      </c>
      <c r="D69" s="15" t="s">
        <v>34</v>
      </c>
      <c r="E69" s="15" t="s">
        <v>996</v>
      </c>
      <c r="F69" s="15">
        <v>20</v>
      </c>
      <c r="G69" s="411">
        <v>100</v>
      </c>
      <c r="H69" s="17">
        <f t="shared" si="11"/>
        <v>2000</v>
      </c>
      <c r="I69" s="63"/>
      <c r="J69" s="61" t="s">
        <v>996</v>
      </c>
      <c r="K69" s="399">
        <f>IF(D69="","",ROUND(12%*G69,1))</f>
        <v>12</v>
      </c>
      <c r="L69" s="420">
        <f t="shared" si="14"/>
        <v>240</v>
      </c>
      <c r="M69" s="401">
        <f t="shared" si="15"/>
        <v>0.12</v>
      </c>
    </row>
    <row r="70" spans="2:13" ht="12" customHeight="1" x14ac:dyDescent="0.25">
      <c r="B70" s="58"/>
      <c r="C70" s="65"/>
      <c r="D70" s="15"/>
      <c r="E70" s="15"/>
      <c r="F70" s="24"/>
      <c r="G70" s="411"/>
      <c r="H70" s="17" t="str">
        <f t="shared" si="11"/>
        <v/>
      </c>
      <c r="I70" s="63"/>
      <c r="J70" s="61"/>
      <c r="K70" s="399"/>
      <c r="L70" s="420" t="str">
        <f t="shared" si="14"/>
        <v/>
      </c>
      <c r="M70" s="401" t="str">
        <f t="shared" si="15"/>
        <v/>
      </c>
    </row>
    <row r="71" spans="2:13" x14ac:dyDescent="0.25">
      <c r="B71" s="58"/>
      <c r="C71" s="65"/>
      <c r="D71" s="15"/>
      <c r="E71" s="15"/>
      <c r="F71" s="24"/>
      <c r="G71" s="411"/>
      <c r="H71" s="17" t="str">
        <f t="shared" si="11"/>
        <v/>
      </c>
      <c r="I71" s="63"/>
      <c r="J71" s="61"/>
      <c r="K71" s="399"/>
      <c r="L71" s="420" t="str">
        <f t="shared" si="14"/>
        <v/>
      </c>
      <c r="M71" s="401" t="str">
        <f t="shared" si="15"/>
        <v/>
      </c>
    </row>
    <row r="72" spans="2:13" ht="65" x14ac:dyDescent="0.25">
      <c r="B72" s="146" t="s">
        <v>2089</v>
      </c>
      <c r="C72" s="672" t="s">
        <v>2088</v>
      </c>
      <c r="D72" s="15" t="s">
        <v>556</v>
      </c>
      <c r="E72" s="15" t="s">
        <v>996</v>
      </c>
      <c r="F72" s="24">
        <v>220000</v>
      </c>
      <c r="G72" s="411">
        <v>1</v>
      </c>
      <c r="H72" s="17">
        <f t="shared" si="11"/>
        <v>220000</v>
      </c>
      <c r="I72" s="63"/>
      <c r="J72" s="61" t="s">
        <v>996</v>
      </c>
      <c r="K72" s="399">
        <f>IF(D72="","",ROUND(20%*G72,2))</f>
        <v>0.2</v>
      </c>
      <c r="L72" s="420">
        <f t="shared" ref="L72" si="17">IF(J72="","",F72*K72)</f>
        <v>44000</v>
      </c>
      <c r="M72" s="401">
        <f t="shared" si="15"/>
        <v>0.2</v>
      </c>
    </row>
    <row r="73" spans="2:13" ht="12" customHeight="1" x14ac:dyDescent="0.25">
      <c r="B73" s="58"/>
      <c r="C73" s="65"/>
      <c r="D73" s="15"/>
      <c r="E73" s="15"/>
      <c r="F73" s="647"/>
      <c r="G73" s="411"/>
      <c r="H73" s="743" t="str">
        <f t="shared" si="11"/>
        <v/>
      </c>
      <c r="I73" s="63"/>
      <c r="J73" s="61"/>
      <c r="K73" s="399"/>
      <c r="L73" s="420" t="str">
        <f t="shared" ref="L73:L121" si="18">IF(J73="","",F73*K73)</f>
        <v/>
      </c>
      <c r="M73" s="401" t="str">
        <f t="shared" ref="M73:M121" si="19">IF(J73="","",IF(SUM(H73)=0,"",L73/H73))</f>
        <v/>
      </c>
    </row>
    <row r="74" spans="2:13" ht="12" customHeight="1" x14ac:dyDescent="0.25">
      <c r="B74" s="58"/>
      <c r="C74" s="65"/>
      <c r="D74" s="15"/>
      <c r="E74" s="15"/>
      <c r="F74" s="647"/>
      <c r="G74" s="411"/>
      <c r="H74" s="743" t="str">
        <f t="shared" si="11"/>
        <v/>
      </c>
      <c r="I74" s="63"/>
      <c r="J74" s="61"/>
      <c r="K74" s="399"/>
      <c r="L74" s="420" t="str">
        <f t="shared" si="18"/>
        <v/>
      </c>
      <c r="M74" s="401" t="str">
        <f t="shared" si="19"/>
        <v/>
      </c>
    </row>
    <row r="75" spans="2:13" ht="12" customHeight="1" x14ac:dyDescent="0.25">
      <c r="B75" s="58"/>
      <c r="C75" s="858"/>
      <c r="D75" s="15"/>
      <c r="E75" s="15"/>
      <c r="F75" s="647"/>
      <c r="G75" s="424"/>
      <c r="H75" s="743" t="str">
        <f t="shared" si="11"/>
        <v/>
      </c>
      <c r="I75" s="63"/>
      <c r="J75" s="61"/>
      <c r="K75" s="62"/>
      <c r="L75" s="420" t="str">
        <f t="shared" si="18"/>
        <v/>
      </c>
      <c r="M75" s="401" t="str">
        <f t="shared" si="19"/>
        <v/>
      </c>
    </row>
    <row r="76" spans="2:13" x14ac:dyDescent="0.25">
      <c r="B76" s="58"/>
      <c r="C76" s="856"/>
      <c r="D76" s="15"/>
      <c r="E76" s="15"/>
      <c r="F76" s="717"/>
      <c r="G76" s="718"/>
      <c r="H76" s="743" t="str">
        <f t="shared" si="11"/>
        <v/>
      </c>
      <c r="I76" s="63"/>
      <c r="J76" s="61"/>
      <c r="K76" s="399"/>
      <c r="L76" s="420" t="str">
        <f t="shared" si="18"/>
        <v/>
      </c>
      <c r="M76" s="401" t="str">
        <f t="shared" si="19"/>
        <v/>
      </c>
    </row>
    <row r="77" spans="2:13" x14ac:dyDescent="0.25">
      <c r="B77" s="58"/>
      <c r="C77" s="589"/>
      <c r="D77" s="15"/>
      <c r="E77" s="15"/>
      <c r="F77" s="647"/>
      <c r="G77" s="411"/>
      <c r="H77" s="743" t="str">
        <f t="shared" si="11"/>
        <v/>
      </c>
      <c r="I77" s="63"/>
      <c r="J77" s="61"/>
      <c r="K77" s="399"/>
      <c r="L77" s="420" t="str">
        <f t="shared" si="18"/>
        <v/>
      </c>
      <c r="M77" s="401" t="str">
        <f t="shared" si="19"/>
        <v/>
      </c>
    </row>
    <row r="78" spans="2:13" ht="12" customHeight="1" x14ac:dyDescent="0.25">
      <c r="B78" s="58"/>
      <c r="C78" s="65"/>
      <c r="D78" s="15"/>
      <c r="E78" s="15"/>
      <c r="F78" s="647"/>
      <c r="G78" s="411"/>
      <c r="H78" s="743" t="str">
        <f t="shared" si="11"/>
        <v/>
      </c>
      <c r="I78" s="63"/>
      <c r="J78" s="61"/>
      <c r="K78" s="399"/>
      <c r="L78" s="420" t="str">
        <f t="shared" si="18"/>
        <v/>
      </c>
      <c r="M78" s="401" t="str">
        <f t="shared" si="19"/>
        <v/>
      </c>
    </row>
    <row r="79" spans="2:13" x14ac:dyDescent="0.25">
      <c r="B79" s="58"/>
      <c r="C79" s="65"/>
      <c r="D79" s="15"/>
      <c r="E79" s="15"/>
      <c r="F79" s="15"/>
      <c r="G79" s="424"/>
      <c r="H79" s="743" t="str">
        <f t="shared" si="11"/>
        <v/>
      </c>
      <c r="I79" s="63"/>
      <c r="J79" s="61"/>
      <c r="K79" s="399" t="str">
        <f>IF(D79="","",ROUND(Labour_perc_roads*G79,1))</f>
        <v/>
      </c>
      <c r="L79" s="420" t="str">
        <f t="shared" si="18"/>
        <v/>
      </c>
      <c r="M79" s="401" t="str">
        <f t="shared" si="19"/>
        <v/>
      </c>
    </row>
    <row r="80" spans="2:13" ht="12" customHeight="1" x14ac:dyDescent="0.25">
      <c r="B80" s="58"/>
      <c r="C80" s="65"/>
      <c r="D80" s="15"/>
      <c r="E80" s="15"/>
      <c r="F80" s="647"/>
      <c r="G80" s="411"/>
      <c r="H80" s="743" t="str">
        <f t="shared" si="11"/>
        <v/>
      </c>
      <c r="I80" s="63"/>
      <c r="J80" s="61"/>
      <c r="K80" s="399"/>
      <c r="L80" s="420" t="str">
        <f t="shared" si="18"/>
        <v/>
      </c>
      <c r="M80" s="401" t="str">
        <f t="shared" si="19"/>
        <v/>
      </c>
    </row>
    <row r="81" spans="2:13" x14ac:dyDescent="0.25">
      <c r="B81" s="58"/>
      <c r="C81" s="65"/>
      <c r="D81" s="15"/>
      <c r="E81" s="15"/>
      <c r="F81" s="15"/>
      <c r="G81" s="424"/>
      <c r="H81" s="743" t="str">
        <f t="shared" si="11"/>
        <v/>
      </c>
      <c r="I81" s="63"/>
      <c r="J81" s="61"/>
      <c r="K81" s="399" t="str">
        <f>IF(D81="","",ROUND(Labour_perc_roads*G81,1))</f>
        <v/>
      </c>
      <c r="L81" s="420" t="str">
        <f t="shared" si="18"/>
        <v/>
      </c>
      <c r="M81" s="401" t="str">
        <f t="shared" si="19"/>
        <v/>
      </c>
    </row>
    <row r="82" spans="2:13" x14ac:dyDescent="0.25">
      <c r="B82" s="58"/>
      <c r="C82" s="65"/>
      <c r="D82" s="15"/>
      <c r="E82" s="15"/>
      <c r="F82" s="15"/>
      <c r="G82" s="424"/>
      <c r="H82" s="743" t="str">
        <f t="shared" si="11"/>
        <v/>
      </c>
      <c r="I82" s="63"/>
      <c r="J82" s="61"/>
      <c r="K82" s="399"/>
      <c r="L82" s="420" t="str">
        <f t="shared" si="18"/>
        <v/>
      </c>
      <c r="M82" s="401" t="str">
        <f t="shared" si="19"/>
        <v/>
      </c>
    </row>
    <row r="83" spans="2:13" ht="12" customHeight="1" x14ac:dyDescent="0.25">
      <c r="B83" s="58"/>
      <c r="C83" s="589"/>
      <c r="D83" s="15"/>
      <c r="E83" s="15"/>
      <c r="F83" s="647"/>
      <c r="G83" s="411"/>
      <c r="H83" s="743" t="str">
        <f t="shared" si="11"/>
        <v/>
      </c>
      <c r="I83" s="63"/>
      <c r="J83" s="61"/>
      <c r="K83" s="399"/>
      <c r="L83" s="420" t="str">
        <f t="shared" si="18"/>
        <v/>
      </c>
      <c r="M83" s="401" t="str">
        <f t="shared" si="19"/>
        <v/>
      </c>
    </row>
    <row r="84" spans="2:13" ht="12" customHeight="1" x14ac:dyDescent="0.25">
      <c r="B84" s="58"/>
      <c r="C84" s="589"/>
      <c r="D84" s="15"/>
      <c r="E84" s="15"/>
      <c r="F84" s="647"/>
      <c r="G84" s="411"/>
      <c r="H84" s="743" t="str">
        <f t="shared" si="11"/>
        <v/>
      </c>
      <c r="I84" s="63"/>
      <c r="J84" s="61"/>
      <c r="K84" s="399"/>
      <c r="L84" s="420" t="str">
        <f t="shared" si="18"/>
        <v/>
      </c>
      <c r="M84" s="401" t="str">
        <f t="shared" si="19"/>
        <v/>
      </c>
    </row>
    <row r="85" spans="2:13" x14ac:dyDescent="0.25">
      <c r="B85" s="58"/>
      <c r="C85" s="65"/>
      <c r="D85" s="15"/>
      <c r="E85" s="15"/>
      <c r="F85" s="15"/>
      <c r="G85" s="424"/>
      <c r="H85" s="743" t="str">
        <f t="shared" si="11"/>
        <v/>
      </c>
      <c r="I85" s="63"/>
      <c r="J85" s="61"/>
      <c r="K85" s="399" t="str">
        <f>IF(D85="","",ROUND(Labour_perc_roads*G85,1))</f>
        <v/>
      </c>
      <c r="L85" s="420" t="str">
        <f t="shared" si="18"/>
        <v/>
      </c>
      <c r="M85" s="401" t="str">
        <f t="shared" si="19"/>
        <v/>
      </c>
    </row>
    <row r="86" spans="2:13" ht="12" customHeight="1" x14ac:dyDescent="0.25">
      <c r="B86" s="58"/>
      <c r="C86" s="65"/>
      <c r="D86" s="15"/>
      <c r="E86" s="15"/>
      <c r="F86" s="15"/>
      <c r="G86" s="424"/>
      <c r="H86" s="743" t="str">
        <f t="shared" si="11"/>
        <v/>
      </c>
      <c r="I86" s="63"/>
      <c r="J86" s="61"/>
      <c r="K86" s="399"/>
      <c r="L86" s="420" t="str">
        <f t="shared" si="18"/>
        <v/>
      </c>
      <c r="M86" s="401" t="str">
        <f t="shared" si="19"/>
        <v/>
      </c>
    </row>
    <row r="87" spans="2:13" x14ac:dyDescent="0.25">
      <c r="B87" s="58"/>
      <c r="C87" s="65"/>
      <c r="D87" s="15"/>
      <c r="E87" s="15"/>
      <c r="F87" s="15"/>
      <c r="G87" s="424"/>
      <c r="H87" s="743" t="str">
        <f t="shared" si="11"/>
        <v/>
      </c>
      <c r="I87" s="63"/>
      <c r="J87" s="61"/>
      <c r="K87" s="399" t="str">
        <f>IF(D87="","",ROUND(Labour_perc_roads*G87,1))</f>
        <v/>
      </c>
      <c r="L87" s="420" t="str">
        <f t="shared" si="18"/>
        <v/>
      </c>
      <c r="M87" s="401" t="str">
        <f t="shared" si="19"/>
        <v/>
      </c>
    </row>
    <row r="88" spans="2:13" ht="12" customHeight="1" x14ac:dyDescent="0.25">
      <c r="B88" s="58"/>
      <c r="C88" s="65"/>
      <c r="D88" s="15"/>
      <c r="E88" s="15"/>
      <c r="F88" s="15"/>
      <c r="G88" s="424"/>
      <c r="H88" s="743" t="str">
        <f t="shared" si="11"/>
        <v/>
      </c>
      <c r="I88" s="63"/>
      <c r="J88" s="61"/>
      <c r="K88" s="399"/>
      <c r="L88" s="420" t="str">
        <f t="shared" si="18"/>
        <v/>
      </c>
      <c r="M88" s="401" t="str">
        <f t="shared" si="19"/>
        <v/>
      </c>
    </row>
    <row r="89" spans="2:13" ht="12" customHeight="1" x14ac:dyDescent="0.25">
      <c r="B89" s="58"/>
      <c r="C89" s="65"/>
      <c r="D89" s="15"/>
      <c r="E89" s="15"/>
      <c r="F89" s="15"/>
      <c r="G89" s="424"/>
      <c r="H89" s="743" t="str">
        <f t="shared" si="11"/>
        <v/>
      </c>
      <c r="I89" s="63"/>
      <c r="J89" s="61"/>
      <c r="K89" s="399" t="str">
        <f>IF(D89="","",ROUND(Labour_perc_roads*G89,1))</f>
        <v/>
      </c>
      <c r="L89" s="420" t="str">
        <f t="shared" si="18"/>
        <v/>
      </c>
      <c r="M89" s="401" t="str">
        <f t="shared" si="19"/>
        <v/>
      </c>
    </row>
    <row r="90" spans="2:13" ht="12" customHeight="1" x14ac:dyDescent="0.25">
      <c r="B90" s="58"/>
      <c r="C90" s="65"/>
      <c r="D90" s="15"/>
      <c r="E90" s="15"/>
      <c r="F90" s="647"/>
      <c r="G90" s="411"/>
      <c r="H90" s="743" t="str">
        <f t="shared" si="11"/>
        <v/>
      </c>
      <c r="I90" s="63"/>
      <c r="J90" s="61"/>
      <c r="K90" s="399"/>
      <c r="L90" s="420" t="str">
        <f t="shared" si="18"/>
        <v/>
      </c>
      <c r="M90" s="401" t="str">
        <f t="shared" si="19"/>
        <v/>
      </c>
    </row>
    <row r="91" spans="2:13" ht="12" customHeight="1" x14ac:dyDescent="0.25">
      <c r="B91" s="58"/>
      <c r="C91" s="65"/>
      <c r="D91" s="15"/>
      <c r="E91" s="15"/>
      <c r="F91" s="647"/>
      <c r="G91" s="411"/>
      <c r="H91" s="743" t="str">
        <f t="shared" si="11"/>
        <v/>
      </c>
      <c r="I91" s="63"/>
      <c r="J91" s="61"/>
      <c r="K91" s="399"/>
      <c r="L91" s="420" t="str">
        <f t="shared" si="18"/>
        <v/>
      </c>
      <c r="M91" s="401" t="str">
        <f t="shared" si="19"/>
        <v/>
      </c>
    </row>
    <row r="92" spans="2:13" ht="12" customHeight="1" x14ac:dyDescent="0.25">
      <c r="B92" s="58"/>
      <c r="C92" s="65"/>
      <c r="D92" s="15"/>
      <c r="E92" s="15"/>
      <c r="F92" s="647"/>
      <c r="G92" s="411"/>
      <c r="H92" s="743" t="str">
        <f t="shared" si="11"/>
        <v/>
      </c>
      <c r="I92" s="63"/>
      <c r="J92" s="61"/>
      <c r="K92" s="399"/>
      <c r="L92" s="420" t="str">
        <f t="shared" si="18"/>
        <v/>
      </c>
      <c r="M92" s="401" t="str">
        <f t="shared" si="19"/>
        <v/>
      </c>
    </row>
    <row r="93" spans="2:13" ht="12" customHeight="1" x14ac:dyDescent="0.25">
      <c r="B93" s="58"/>
      <c r="C93" s="65"/>
      <c r="D93" s="15"/>
      <c r="E93" s="15"/>
      <c r="F93" s="647"/>
      <c r="G93" s="411"/>
      <c r="H93" s="743" t="str">
        <f t="shared" si="11"/>
        <v/>
      </c>
      <c r="I93" s="63"/>
      <c r="J93" s="61"/>
      <c r="K93" s="399"/>
      <c r="L93" s="420" t="str">
        <f t="shared" si="18"/>
        <v/>
      </c>
      <c r="M93" s="401" t="str">
        <f t="shared" si="19"/>
        <v/>
      </c>
    </row>
    <row r="94" spans="2:13" ht="12" customHeight="1" x14ac:dyDescent="0.25">
      <c r="B94" s="58"/>
      <c r="C94" s="65"/>
      <c r="D94" s="15"/>
      <c r="E94" s="15"/>
      <c r="F94" s="647"/>
      <c r="G94" s="411"/>
      <c r="H94" s="743" t="str">
        <f t="shared" si="11"/>
        <v/>
      </c>
      <c r="I94" s="63"/>
      <c r="J94" s="61"/>
      <c r="K94" s="399"/>
      <c r="L94" s="420" t="str">
        <f t="shared" si="18"/>
        <v/>
      </c>
      <c r="M94" s="401" t="str">
        <f t="shared" si="19"/>
        <v/>
      </c>
    </row>
    <row r="95" spans="2:13" ht="12" customHeight="1" x14ac:dyDescent="0.25">
      <c r="B95" s="58"/>
      <c r="C95" s="65"/>
      <c r="D95" s="15"/>
      <c r="E95" s="15"/>
      <c r="F95" s="647"/>
      <c r="G95" s="411"/>
      <c r="H95" s="743" t="str">
        <f t="shared" si="11"/>
        <v/>
      </c>
      <c r="I95" s="63"/>
      <c r="J95" s="61"/>
      <c r="K95" s="399"/>
      <c r="L95" s="420" t="str">
        <f t="shared" si="18"/>
        <v/>
      </c>
      <c r="M95" s="401" t="str">
        <f t="shared" si="19"/>
        <v/>
      </c>
    </row>
    <row r="96" spans="2:13" ht="12" customHeight="1" x14ac:dyDescent="0.25">
      <c r="B96" s="58"/>
      <c r="C96" s="65"/>
      <c r="D96" s="15"/>
      <c r="E96" s="15"/>
      <c r="F96" s="647"/>
      <c r="G96" s="411"/>
      <c r="H96" s="743" t="str">
        <f t="shared" si="11"/>
        <v/>
      </c>
      <c r="I96" s="63"/>
      <c r="J96" s="61"/>
      <c r="K96" s="399"/>
      <c r="L96" s="420" t="str">
        <f t="shared" si="18"/>
        <v/>
      </c>
      <c r="M96" s="401" t="str">
        <f t="shared" si="19"/>
        <v/>
      </c>
    </row>
    <row r="97" spans="2:13" ht="12" customHeight="1" x14ac:dyDescent="0.25">
      <c r="B97" s="58"/>
      <c r="C97" s="65"/>
      <c r="D97" s="15"/>
      <c r="E97" s="15"/>
      <c r="F97" s="647"/>
      <c r="G97" s="411"/>
      <c r="H97" s="743" t="str">
        <f t="shared" si="11"/>
        <v/>
      </c>
      <c r="I97" s="63"/>
      <c r="J97" s="61"/>
      <c r="K97" s="399"/>
      <c r="L97" s="420" t="str">
        <f t="shared" si="18"/>
        <v/>
      </c>
      <c r="M97" s="401" t="str">
        <f t="shared" si="19"/>
        <v/>
      </c>
    </row>
    <row r="98" spans="2:13" ht="12" customHeight="1" x14ac:dyDescent="0.25">
      <c r="B98" s="58"/>
      <c r="C98" s="65"/>
      <c r="D98" s="15"/>
      <c r="E98" s="15"/>
      <c r="F98" s="647"/>
      <c r="G98" s="411"/>
      <c r="H98" s="743" t="str">
        <f t="shared" si="11"/>
        <v/>
      </c>
      <c r="I98" s="63"/>
      <c r="J98" s="61"/>
      <c r="K98" s="399"/>
      <c r="L98" s="420" t="str">
        <f t="shared" si="18"/>
        <v/>
      </c>
      <c r="M98" s="401" t="str">
        <f t="shared" si="19"/>
        <v/>
      </c>
    </row>
    <row r="99" spans="2:13" ht="12" customHeight="1" x14ac:dyDescent="0.25">
      <c r="B99" s="58"/>
      <c r="C99" s="65"/>
      <c r="D99" s="15"/>
      <c r="E99" s="15"/>
      <c r="F99" s="647"/>
      <c r="G99" s="411"/>
      <c r="H99" s="743" t="str">
        <f t="shared" si="11"/>
        <v/>
      </c>
      <c r="I99" s="63"/>
      <c r="J99" s="61"/>
      <c r="K99" s="399"/>
      <c r="L99" s="420" t="str">
        <f t="shared" si="18"/>
        <v/>
      </c>
      <c r="M99" s="401" t="str">
        <f t="shared" si="19"/>
        <v/>
      </c>
    </row>
    <row r="100" spans="2:13" ht="12" customHeight="1" x14ac:dyDescent="0.25">
      <c r="B100" s="58"/>
      <c r="C100" s="65"/>
      <c r="D100" s="15"/>
      <c r="E100" s="15"/>
      <c r="F100" s="647"/>
      <c r="G100" s="411"/>
      <c r="H100" s="743" t="str">
        <f t="shared" si="11"/>
        <v/>
      </c>
      <c r="I100" s="63"/>
      <c r="J100" s="61"/>
      <c r="K100" s="399"/>
      <c r="L100" s="420" t="str">
        <f t="shared" si="18"/>
        <v/>
      </c>
      <c r="M100" s="401" t="str">
        <f t="shared" si="19"/>
        <v/>
      </c>
    </row>
    <row r="101" spans="2:13" ht="12" customHeight="1" x14ac:dyDescent="0.25">
      <c r="B101" s="58"/>
      <c r="C101" s="65"/>
      <c r="D101" s="15"/>
      <c r="E101" s="15"/>
      <c r="F101" s="647"/>
      <c r="G101" s="411"/>
      <c r="H101" s="743" t="str">
        <f t="shared" si="11"/>
        <v/>
      </c>
      <c r="I101" s="63"/>
      <c r="J101" s="61"/>
      <c r="K101" s="399"/>
      <c r="L101" s="420" t="str">
        <f t="shared" si="18"/>
        <v/>
      </c>
      <c r="M101" s="401" t="str">
        <f t="shared" si="19"/>
        <v/>
      </c>
    </row>
    <row r="102" spans="2:13" ht="12" customHeight="1" x14ac:dyDescent="0.25">
      <c r="B102" s="58"/>
      <c r="C102" s="65"/>
      <c r="D102" s="15"/>
      <c r="E102" s="15"/>
      <c r="F102" s="647"/>
      <c r="G102" s="411"/>
      <c r="H102" s="743" t="str">
        <f t="shared" si="11"/>
        <v/>
      </c>
      <c r="I102" s="63"/>
      <c r="J102" s="61"/>
      <c r="K102" s="399"/>
      <c r="L102" s="420" t="str">
        <f t="shared" si="18"/>
        <v/>
      </c>
      <c r="M102" s="401" t="str">
        <f t="shared" si="19"/>
        <v/>
      </c>
    </row>
    <row r="103" spans="2:13" ht="12" customHeight="1" x14ac:dyDescent="0.25">
      <c r="B103" s="58"/>
      <c r="C103" s="65"/>
      <c r="D103" s="15"/>
      <c r="E103" s="15"/>
      <c r="F103" s="647"/>
      <c r="G103" s="411"/>
      <c r="H103" s="743" t="str">
        <f t="shared" si="11"/>
        <v/>
      </c>
      <c r="I103" s="63"/>
      <c r="J103" s="61"/>
      <c r="K103" s="399"/>
      <c r="L103" s="420" t="str">
        <f t="shared" si="18"/>
        <v/>
      </c>
      <c r="M103" s="401" t="str">
        <f t="shared" si="19"/>
        <v/>
      </c>
    </row>
    <row r="104" spans="2:13" ht="12" customHeight="1" x14ac:dyDescent="0.25">
      <c r="B104" s="58"/>
      <c r="C104" s="65"/>
      <c r="D104" s="15"/>
      <c r="E104" s="15"/>
      <c r="F104" s="647"/>
      <c r="G104" s="411"/>
      <c r="H104" s="743" t="str">
        <f t="shared" si="11"/>
        <v/>
      </c>
      <c r="I104" s="63"/>
      <c r="J104" s="61"/>
      <c r="K104" s="399"/>
      <c r="L104" s="420" t="str">
        <f t="shared" si="18"/>
        <v/>
      </c>
      <c r="M104" s="401" t="str">
        <f t="shared" si="19"/>
        <v/>
      </c>
    </row>
    <row r="105" spans="2:13" ht="12" customHeight="1" x14ac:dyDescent="0.25">
      <c r="B105" s="58"/>
      <c r="C105" s="65"/>
      <c r="D105" s="15"/>
      <c r="E105" s="15"/>
      <c r="F105" s="647"/>
      <c r="G105" s="411"/>
      <c r="H105" s="743" t="str">
        <f t="shared" si="11"/>
        <v/>
      </c>
      <c r="I105" s="63"/>
      <c r="J105" s="61"/>
      <c r="K105" s="399"/>
      <c r="L105" s="420" t="str">
        <f t="shared" si="18"/>
        <v/>
      </c>
      <c r="M105" s="401" t="str">
        <f t="shared" si="19"/>
        <v/>
      </c>
    </row>
    <row r="106" spans="2:13" ht="12" customHeight="1" x14ac:dyDescent="0.25">
      <c r="B106" s="58"/>
      <c r="C106" s="65"/>
      <c r="D106" s="15"/>
      <c r="E106" s="15"/>
      <c r="F106" s="647"/>
      <c r="G106" s="411"/>
      <c r="H106" s="743" t="str">
        <f t="shared" si="11"/>
        <v/>
      </c>
      <c r="I106" s="63"/>
      <c r="J106" s="61"/>
      <c r="K106" s="399"/>
      <c r="L106" s="420" t="str">
        <f t="shared" si="18"/>
        <v/>
      </c>
      <c r="M106" s="401" t="str">
        <f t="shared" si="19"/>
        <v/>
      </c>
    </row>
    <row r="107" spans="2:13" ht="12" customHeight="1" x14ac:dyDescent="0.25">
      <c r="B107" s="58"/>
      <c r="C107" s="65"/>
      <c r="D107" s="15"/>
      <c r="E107" s="15"/>
      <c r="F107" s="647"/>
      <c r="G107" s="411"/>
      <c r="H107" s="743" t="str">
        <f t="shared" si="11"/>
        <v/>
      </c>
      <c r="I107" s="63"/>
      <c r="J107" s="61"/>
      <c r="K107" s="399"/>
      <c r="L107" s="420" t="str">
        <f t="shared" si="18"/>
        <v/>
      </c>
      <c r="M107" s="401" t="str">
        <f t="shared" si="19"/>
        <v/>
      </c>
    </row>
    <row r="108" spans="2:13" ht="12" customHeight="1" x14ac:dyDescent="0.25">
      <c r="B108" s="58"/>
      <c r="C108" s="65"/>
      <c r="D108" s="15"/>
      <c r="E108" s="15"/>
      <c r="F108" s="647"/>
      <c r="G108" s="411"/>
      <c r="H108" s="743" t="str">
        <f t="shared" si="11"/>
        <v/>
      </c>
      <c r="I108" s="63"/>
      <c r="J108" s="61"/>
      <c r="K108" s="399"/>
      <c r="L108" s="420" t="str">
        <f t="shared" si="18"/>
        <v/>
      </c>
      <c r="M108" s="401" t="str">
        <f t="shared" si="19"/>
        <v/>
      </c>
    </row>
    <row r="109" spans="2:13" ht="12" customHeight="1" x14ac:dyDescent="0.25">
      <c r="B109" s="58"/>
      <c r="C109" s="65"/>
      <c r="D109" s="15"/>
      <c r="E109" s="15"/>
      <c r="F109" s="647"/>
      <c r="G109" s="411"/>
      <c r="H109" s="743" t="str">
        <f t="shared" si="11"/>
        <v/>
      </c>
      <c r="I109" s="63"/>
      <c r="J109" s="61"/>
      <c r="K109" s="399"/>
      <c r="L109" s="420" t="str">
        <f t="shared" si="18"/>
        <v/>
      </c>
      <c r="M109" s="401" t="str">
        <f t="shared" si="19"/>
        <v/>
      </c>
    </row>
    <row r="110" spans="2:13" ht="12" customHeight="1" x14ac:dyDescent="0.25">
      <c r="B110" s="58"/>
      <c r="C110" s="65"/>
      <c r="D110" s="15"/>
      <c r="E110" s="15"/>
      <c r="F110" s="647"/>
      <c r="G110" s="411"/>
      <c r="H110" s="743" t="str">
        <f t="shared" si="11"/>
        <v/>
      </c>
      <c r="I110" s="63"/>
      <c r="J110" s="61"/>
      <c r="K110" s="399"/>
      <c r="L110" s="420" t="str">
        <f t="shared" si="18"/>
        <v/>
      </c>
      <c r="M110" s="401" t="str">
        <f t="shared" si="19"/>
        <v/>
      </c>
    </row>
    <row r="111" spans="2:13" ht="12" customHeight="1" x14ac:dyDescent="0.25">
      <c r="B111" s="58"/>
      <c r="C111" s="65"/>
      <c r="D111" s="15"/>
      <c r="E111" s="15"/>
      <c r="F111" s="647"/>
      <c r="G111" s="411"/>
      <c r="H111" s="743" t="str">
        <f t="shared" si="11"/>
        <v/>
      </c>
      <c r="I111" s="63"/>
      <c r="J111" s="61"/>
      <c r="K111" s="399"/>
      <c r="L111" s="420" t="str">
        <f t="shared" si="18"/>
        <v/>
      </c>
      <c r="M111" s="401" t="str">
        <f t="shared" si="19"/>
        <v/>
      </c>
    </row>
    <row r="112" spans="2:13" ht="12" customHeight="1" x14ac:dyDescent="0.25">
      <c r="B112" s="58"/>
      <c r="C112" s="65"/>
      <c r="D112" s="15"/>
      <c r="E112" s="15"/>
      <c r="F112" s="647"/>
      <c r="G112" s="411"/>
      <c r="H112" s="743" t="str">
        <f t="shared" si="11"/>
        <v/>
      </c>
      <c r="I112" s="63"/>
      <c r="J112" s="61"/>
      <c r="K112" s="399"/>
      <c r="L112" s="420" t="str">
        <f t="shared" si="18"/>
        <v/>
      </c>
      <c r="M112" s="401" t="str">
        <f t="shared" si="19"/>
        <v/>
      </c>
    </row>
    <row r="113" spans="2:13" ht="13" x14ac:dyDescent="0.25">
      <c r="B113" s="146"/>
      <c r="C113" s="589"/>
      <c r="D113" s="15"/>
      <c r="E113" s="15"/>
      <c r="F113" s="61"/>
      <c r="G113" s="424"/>
      <c r="H113" s="743" t="str">
        <f t="shared" si="11"/>
        <v/>
      </c>
      <c r="I113" s="63"/>
      <c r="J113" s="61"/>
      <c r="K113" s="62"/>
      <c r="L113" s="420" t="str">
        <f t="shared" si="18"/>
        <v/>
      </c>
      <c r="M113" s="401" t="str">
        <f t="shared" si="19"/>
        <v/>
      </c>
    </row>
    <row r="114" spans="2:13" ht="12" customHeight="1" x14ac:dyDescent="0.25">
      <c r="B114" s="58"/>
      <c r="C114" s="65"/>
      <c r="D114" s="15"/>
      <c r="E114" s="15"/>
      <c r="F114" s="15"/>
      <c r="G114" s="424"/>
      <c r="H114" s="743" t="str">
        <f t="shared" si="11"/>
        <v/>
      </c>
      <c r="I114" s="63"/>
      <c r="J114" s="61"/>
      <c r="K114" s="62"/>
      <c r="L114" s="420" t="str">
        <f t="shared" si="18"/>
        <v/>
      </c>
      <c r="M114" s="401" t="str">
        <f t="shared" si="19"/>
        <v/>
      </c>
    </row>
    <row r="115" spans="2:13" x14ac:dyDescent="0.25">
      <c r="B115" s="58"/>
      <c r="C115" s="855"/>
      <c r="D115" s="15"/>
      <c r="E115" s="15"/>
      <c r="F115" s="61"/>
      <c r="G115" s="424"/>
      <c r="H115" s="743" t="str">
        <f t="shared" si="11"/>
        <v/>
      </c>
      <c r="I115" s="63"/>
      <c r="J115" s="61"/>
      <c r="K115" s="399"/>
      <c r="L115" s="420" t="str">
        <f t="shared" si="18"/>
        <v/>
      </c>
      <c r="M115" s="401" t="str">
        <f t="shared" si="19"/>
        <v/>
      </c>
    </row>
    <row r="116" spans="2:13" ht="12" customHeight="1" x14ac:dyDescent="0.25">
      <c r="B116" s="58"/>
      <c r="C116" s="68"/>
      <c r="D116" s="61"/>
      <c r="E116" s="61"/>
      <c r="F116" s="61"/>
      <c r="G116" s="424"/>
      <c r="H116" s="743" t="str">
        <f t="shared" si="11"/>
        <v/>
      </c>
      <c r="I116" s="63"/>
      <c r="J116" s="61"/>
      <c r="K116" s="402"/>
      <c r="L116" s="420" t="str">
        <f t="shared" si="18"/>
        <v/>
      </c>
      <c r="M116" s="401" t="str">
        <f t="shared" si="19"/>
        <v/>
      </c>
    </row>
    <row r="117" spans="2:13" s="5" customFormat="1" x14ac:dyDescent="0.25">
      <c r="B117" s="857"/>
      <c r="C117" s="640"/>
      <c r="D117" s="719"/>
      <c r="E117" s="719"/>
      <c r="F117" s="15"/>
      <c r="G117" s="720"/>
      <c r="H117" s="743" t="str">
        <f t="shared" si="11"/>
        <v/>
      </c>
      <c r="I117" s="63"/>
      <c r="J117" s="61"/>
      <c r="K117" s="399" t="str">
        <f>IF(D117="","",ROUND(Labour_perc_roads*G117,1))</f>
        <v/>
      </c>
      <c r="L117" s="420" t="str">
        <f t="shared" si="18"/>
        <v/>
      </c>
      <c r="M117" s="401" t="str">
        <f t="shared" si="19"/>
        <v/>
      </c>
    </row>
    <row r="118" spans="2:13" s="5" customFormat="1" ht="12" customHeight="1" x14ac:dyDescent="0.25">
      <c r="B118" s="834"/>
      <c r="C118" s="640"/>
      <c r="D118" s="719"/>
      <c r="E118" s="719"/>
      <c r="F118" s="647"/>
      <c r="G118" s="720"/>
      <c r="H118" s="743" t="str">
        <f t="shared" si="11"/>
        <v/>
      </c>
      <c r="I118" s="63"/>
      <c r="J118" s="61"/>
      <c r="K118" s="402"/>
      <c r="L118" s="420" t="str">
        <f t="shared" si="18"/>
        <v/>
      </c>
      <c r="M118" s="401" t="str">
        <f t="shared" si="19"/>
        <v/>
      </c>
    </row>
    <row r="119" spans="2:13" s="5" customFormat="1" x14ac:dyDescent="0.25">
      <c r="B119" s="834"/>
      <c r="C119" s="640"/>
      <c r="D119" s="719"/>
      <c r="E119" s="719"/>
      <c r="F119" s="15"/>
      <c r="G119" s="720"/>
      <c r="H119" s="743" t="str">
        <f t="shared" si="11"/>
        <v/>
      </c>
      <c r="I119" s="63"/>
      <c r="J119" s="61"/>
      <c r="K119" s="62" t="str">
        <f>IF(D119="","",ROUND(Labour_perc_roads*G119,1))</f>
        <v/>
      </c>
      <c r="L119" s="420" t="str">
        <f t="shared" si="18"/>
        <v/>
      </c>
      <c r="M119" s="401" t="str">
        <f t="shared" si="19"/>
        <v/>
      </c>
    </row>
    <row r="120" spans="2:13" s="5" customFormat="1" ht="12" customHeight="1" x14ac:dyDescent="0.25">
      <c r="B120" s="58"/>
      <c r="C120" s="786"/>
      <c r="D120" s="15"/>
      <c r="E120" s="15"/>
      <c r="F120" s="15"/>
      <c r="G120" s="411"/>
      <c r="H120" s="743" t="str">
        <f t="shared" si="11"/>
        <v/>
      </c>
      <c r="I120" s="63"/>
      <c r="J120" s="61"/>
      <c r="K120" s="62"/>
      <c r="L120" s="420" t="str">
        <f t="shared" si="18"/>
        <v/>
      </c>
      <c r="M120" s="401" t="str">
        <f t="shared" si="19"/>
        <v/>
      </c>
    </row>
    <row r="121" spans="2:13" s="5" customFormat="1" ht="12" customHeight="1" x14ac:dyDescent="0.25">
      <c r="B121" s="58"/>
      <c r="C121" s="65"/>
      <c r="D121" s="15"/>
      <c r="E121" s="15"/>
      <c r="F121" s="15"/>
      <c r="G121" s="411"/>
      <c r="H121" s="743" t="str">
        <f t="shared" si="11"/>
        <v/>
      </c>
      <c r="I121" s="63"/>
      <c r="J121" s="592"/>
      <c r="K121" s="711"/>
      <c r="L121" s="420" t="str">
        <f t="shared" si="18"/>
        <v/>
      </c>
      <c r="M121" s="401" t="str">
        <f t="shared" si="19"/>
        <v/>
      </c>
    </row>
    <row r="122" spans="2:13" s="28" customFormat="1" ht="24.75" customHeight="1" x14ac:dyDescent="0.25">
      <c r="B122" s="84" t="str">
        <f>$B$12</f>
        <v>C11.5</v>
      </c>
      <c r="C122" s="30" t="str">
        <f>"TOTAL CARRIED FORWARD"&amp;IF(H122=H$1," TO SUMMARY","")</f>
        <v>TOTAL CARRIED FORWARD TO SUMMARY</v>
      </c>
      <c r="D122" s="31"/>
      <c r="E122" s="31"/>
      <c r="F122" s="32"/>
      <c r="G122" s="31"/>
      <c r="H122" s="33">
        <f>SUM(H61:H121)</f>
        <v>800000</v>
      </c>
      <c r="I122" s="34"/>
      <c r="J122" s="408"/>
      <c r="K122" s="406"/>
      <c r="L122" s="418">
        <f>SUM(L61:L121)</f>
        <v>118100</v>
      </c>
      <c r="M122" s="407" t="str">
        <f t="shared" ref="M122" si="20">IF(J122="","",IF(SUM(H122)=0,"",L122/H122))</f>
        <v/>
      </c>
    </row>
    <row r="123" spans="2:13" ht="13" x14ac:dyDescent="0.25">
      <c r="B123" s="1108" t="str">
        <f>Client1</f>
        <v>Province of KwaZulu-Natal</v>
      </c>
      <c r="C123" s="1108"/>
      <c r="D123" s="1108"/>
      <c r="E123" s="87"/>
      <c r="F123" s="1109" t="str">
        <f>"Contract No. "&amp;ContractNo</f>
        <v>Contract No. ZNB 00399/00000/HOD/INF/21/T</v>
      </c>
      <c r="G123" s="1109"/>
      <c r="H123" s="1109"/>
    </row>
    <row r="124" spans="2:13" ht="13" x14ac:dyDescent="0.25">
      <c r="B124" s="1108" t="str">
        <f>Client2</f>
        <v>Department of Transport</v>
      </c>
      <c r="C124" s="1108"/>
      <c r="D124" s="1108"/>
      <c r="E124" s="87"/>
      <c r="F124" s="1109"/>
      <c r="G124" s="1109"/>
      <c r="H124" s="1109"/>
    </row>
    <row r="125" spans="2:13" x14ac:dyDescent="0.25">
      <c r="B125" s="1111"/>
      <c r="C125" s="1111"/>
      <c r="D125" s="1111"/>
      <c r="E125" s="78"/>
      <c r="F125" s="1110"/>
      <c r="G125" s="1110"/>
      <c r="H125" s="1110"/>
    </row>
    <row r="126" spans="2:13" ht="13" x14ac:dyDescent="0.25">
      <c r="B126" s="1112" t="s">
        <v>8</v>
      </c>
      <c r="C126" s="1113"/>
      <c r="D126" s="1113"/>
      <c r="E126" s="1113"/>
      <c r="F126" s="1113"/>
      <c r="G126" s="1113"/>
      <c r="H126" s="1125" t="str">
        <f>$H$6</f>
        <v>CHAPTER C11.5</v>
      </c>
      <c r="I126" s="6"/>
    </row>
    <row r="127" spans="2:13" ht="13" x14ac:dyDescent="0.25">
      <c r="B127" s="1117" t="str">
        <f>ContractDescription</f>
        <v>THE CONSTRUCTION OF EARTHWORKS, LAYERWORKS, SURFACING, CULVERTS AND CWAKA RIVER BRIDGE FROM KM 11.600 TO KM 14.000 ON MAIN ROAD P494 IN THE KING CETSHWAYO DISTRICT UNDER EMPANGENI REGION</v>
      </c>
      <c r="C127" s="1118"/>
      <c r="D127" s="1118"/>
      <c r="E127" s="1118"/>
      <c r="F127" s="1118"/>
      <c r="G127" s="1118"/>
      <c r="H127" s="1126"/>
      <c r="I127" s="8"/>
    </row>
    <row r="128" spans="2:13" ht="13" x14ac:dyDescent="0.25">
      <c r="B128" s="1117"/>
      <c r="C128" s="1118"/>
      <c r="D128" s="1118"/>
      <c r="E128" s="1118"/>
      <c r="F128" s="1118"/>
      <c r="G128" s="1118"/>
      <c r="H128" s="1126"/>
      <c r="I128" s="8"/>
    </row>
    <row r="129" spans="1:13" ht="13" x14ac:dyDescent="0.25">
      <c r="B129" s="1119"/>
      <c r="C129" s="1120"/>
      <c r="D129" s="1120"/>
      <c r="E129" s="1120"/>
      <c r="F129" s="1120"/>
      <c r="G129" s="1120"/>
      <c r="H129" s="1127"/>
      <c r="I129" s="8"/>
    </row>
    <row r="130" spans="1:13" ht="13" x14ac:dyDescent="0.25">
      <c r="A130" s="9"/>
      <c r="B130" s="74" t="s">
        <v>0</v>
      </c>
      <c r="C130" s="11" t="s">
        <v>1</v>
      </c>
      <c r="D130" s="11" t="s">
        <v>2</v>
      </c>
      <c r="E130" s="11"/>
      <c r="F130" s="11" t="s">
        <v>3</v>
      </c>
      <c r="G130" s="11" t="s">
        <v>4</v>
      </c>
      <c r="H130" s="11" t="s">
        <v>5</v>
      </c>
      <c r="I130" s="12"/>
      <c r="J130" s="408" t="s">
        <v>996</v>
      </c>
      <c r="K130" s="253" t="s">
        <v>997</v>
      </c>
      <c r="L130" s="253" t="s">
        <v>998</v>
      </c>
      <c r="M130" s="253" t="s">
        <v>999</v>
      </c>
    </row>
    <row r="131" spans="1:13" ht="13" x14ac:dyDescent="0.25">
      <c r="A131" s="28"/>
      <c r="B131" s="80"/>
      <c r="C131" s="30" t="s">
        <v>27</v>
      </c>
      <c r="D131" s="31"/>
      <c r="E131" s="31"/>
      <c r="F131" s="32"/>
      <c r="G131" s="31"/>
      <c r="H131" s="33">
        <f>H122</f>
        <v>800000</v>
      </c>
      <c r="I131" s="34"/>
      <c r="J131" s="416"/>
      <c r="K131" s="409"/>
      <c r="L131" s="419">
        <f>L122</f>
        <v>118100</v>
      </c>
      <c r="M131" s="410" t="str">
        <f t="shared" ref="M131:M132" si="21">IF(J131="","",IF(SUM(H131)=0,"",L131/H131))</f>
        <v/>
      </c>
    </row>
    <row r="132" spans="1:13" x14ac:dyDescent="0.25">
      <c r="B132" s="58"/>
      <c r="C132" s="65"/>
      <c r="D132" s="15"/>
      <c r="E132" s="15"/>
      <c r="F132" s="24"/>
      <c r="G132" s="411"/>
      <c r="H132" s="17" t="str">
        <f t="shared" ref="H132:H157" si="22">IFERROR(IF(D132="","",F132*G132),"Rate Only")</f>
        <v/>
      </c>
      <c r="I132" s="63"/>
      <c r="J132" s="61"/>
      <c r="K132" s="399"/>
      <c r="L132" s="420" t="str">
        <f t="shared" ref="L132:L133" si="23">IF(J132="","",F132*K132)</f>
        <v/>
      </c>
      <c r="M132" s="401" t="str">
        <f t="shared" si="21"/>
        <v/>
      </c>
    </row>
    <row r="133" spans="1:13" x14ac:dyDescent="0.25">
      <c r="B133" s="834"/>
      <c r="C133" s="640"/>
      <c r="D133" s="719"/>
      <c r="E133" s="719"/>
      <c r="F133" s="15"/>
      <c r="G133" s="720"/>
      <c r="H133" s="743" t="str">
        <f t="shared" si="22"/>
        <v/>
      </c>
      <c r="I133" s="63"/>
      <c r="J133" s="61"/>
      <c r="K133" s="62" t="str">
        <f>IF(D133="","",ROUND(Labour_perc_roads*G133,1))</f>
        <v/>
      </c>
      <c r="L133" s="420" t="str">
        <f t="shared" si="23"/>
        <v/>
      </c>
      <c r="M133" s="401" t="str">
        <f t="shared" ref="M133" si="24">IF(J133="","",IF(SUM(H133)=0,"",L133/H133))</f>
        <v/>
      </c>
    </row>
    <row r="134" spans="1:13" x14ac:dyDescent="0.25">
      <c r="B134" s="58"/>
      <c r="C134" s="65"/>
      <c r="D134" s="15"/>
      <c r="E134" s="15"/>
      <c r="F134" s="647"/>
      <c r="G134" s="411"/>
      <c r="H134" s="743" t="str">
        <f t="shared" si="22"/>
        <v/>
      </c>
      <c r="I134" s="63"/>
      <c r="J134" s="61"/>
      <c r="K134" s="399"/>
      <c r="L134" s="420" t="str">
        <f t="shared" ref="L134:L135" si="25">IF(J134="","",F134*K134)</f>
        <v/>
      </c>
      <c r="M134" s="401" t="str">
        <f t="shared" ref="M134" si="26">IF(J134="","",IF(SUM(H134)=0,"",L134/H134))</f>
        <v/>
      </c>
    </row>
    <row r="135" spans="1:13" x14ac:dyDescent="0.25">
      <c r="B135" s="834"/>
      <c r="C135" s="640"/>
      <c r="D135" s="719"/>
      <c r="E135" s="719"/>
      <c r="F135" s="15"/>
      <c r="G135" s="720"/>
      <c r="H135" s="743" t="str">
        <f t="shared" si="22"/>
        <v/>
      </c>
      <c r="I135" s="63"/>
      <c r="J135" s="61"/>
      <c r="K135" s="399" t="str">
        <f>IF(D135="","",ROUND(Labour_perc_roads*G135,1))</f>
        <v/>
      </c>
      <c r="L135" s="420" t="str">
        <f t="shared" si="25"/>
        <v/>
      </c>
      <c r="M135" s="401" t="str">
        <f t="shared" ref="M135:M155" si="27">IF(J135="","",IF(SUM(H135)=0,"",L135/H135))</f>
        <v/>
      </c>
    </row>
    <row r="136" spans="1:13" x14ac:dyDescent="0.25">
      <c r="B136" s="58"/>
      <c r="C136" s="65"/>
      <c r="D136" s="15"/>
      <c r="E136" s="15"/>
      <c r="F136" s="647"/>
      <c r="G136" s="411"/>
      <c r="H136" s="743" t="str">
        <f t="shared" si="22"/>
        <v/>
      </c>
      <c r="I136" s="63"/>
      <c r="J136" s="61"/>
      <c r="K136" s="399"/>
      <c r="L136" s="420" t="str">
        <f t="shared" ref="L136:L154" si="28">IF(J136="","",F136*K136)</f>
        <v/>
      </c>
      <c r="M136" s="401" t="str">
        <f t="shared" si="27"/>
        <v/>
      </c>
    </row>
    <row r="137" spans="1:13" x14ac:dyDescent="0.25">
      <c r="B137" s="834"/>
      <c r="C137" s="640"/>
      <c r="D137" s="719"/>
      <c r="E137" s="719"/>
      <c r="F137" s="15"/>
      <c r="G137" s="720"/>
      <c r="H137" s="743" t="str">
        <f t="shared" si="22"/>
        <v/>
      </c>
      <c r="I137" s="63"/>
      <c r="J137" s="61"/>
      <c r="K137" s="399" t="str">
        <f>IF(D137="","",ROUND(Labour_perc_roads*G137,1))</f>
        <v/>
      </c>
      <c r="L137" s="420" t="str">
        <f t="shared" si="28"/>
        <v/>
      </c>
      <c r="M137" s="401" t="str">
        <f t="shared" si="27"/>
        <v/>
      </c>
    </row>
    <row r="138" spans="1:13" x14ac:dyDescent="0.25">
      <c r="B138" s="58"/>
      <c r="C138" s="856"/>
      <c r="D138" s="15"/>
      <c r="E138" s="15"/>
      <c r="F138" s="717"/>
      <c r="G138" s="718"/>
      <c r="H138" s="743" t="str">
        <f t="shared" si="22"/>
        <v/>
      </c>
      <c r="I138" s="63"/>
      <c r="J138" s="61"/>
      <c r="K138" s="399"/>
      <c r="L138" s="420" t="str">
        <f t="shared" si="28"/>
        <v/>
      </c>
      <c r="M138" s="401" t="str">
        <f t="shared" si="27"/>
        <v/>
      </c>
    </row>
    <row r="139" spans="1:13" x14ac:dyDescent="0.25">
      <c r="B139" s="640"/>
      <c r="C139" s="855"/>
      <c r="D139" s="719"/>
      <c r="E139" s="719"/>
      <c r="F139" s="647"/>
      <c r="G139" s="753"/>
      <c r="H139" s="743" t="str">
        <f t="shared" si="22"/>
        <v/>
      </c>
      <c r="I139" s="63"/>
      <c r="J139" s="61"/>
      <c r="K139" s="399"/>
      <c r="L139" s="420" t="str">
        <f t="shared" si="28"/>
        <v/>
      </c>
      <c r="M139" s="401" t="str">
        <f t="shared" si="27"/>
        <v/>
      </c>
    </row>
    <row r="140" spans="1:13" x14ac:dyDescent="0.25">
      <c r="B140" s="640"/>
      <c r="C140" s="640"/>
      <c r="D140" s="719"/>
      <c r="E140" s="719"/>
      <c r="F140" s="647"/>
      <c r="G140" s="411"/>
      <c r="H140" s="743" t="str">
        <f t="shared" si="22"/>
        <v/>
      </c>
      <c r="I140" s="63"/>
      <c r="J140" s="61"/>
      <c r="K140" s="400"/>
      <c r="L140" s="420" t="str">
        <f t="shared" si="28"/>
        <v/>
      </c>
      <c r="M140" s="401" t="str">
        <f t="shared" si="27"/>
        <v/>
      </c>
    </row>
    <row r="141" spans="1:13" x14ac:dyDescent="0.25">
      <c r="A141" s="5"/>
      <c r="B141" s="857"/>
      <c r="C141" s="640"/>
      <c r="D141" s="719"/>
      <c r="E141" s="719"/>
      <c r="F141" s="15"/>
      <c r="G141" s="720"/>
      <c r="H141" s="743" t="str">
        <f t="shared" si="22"/>
        <v/>
      </c>
      <c r="I141" s="63"/>
      <c r="J141" s="61"/>
      <c r="K141" s="399" t="str">
        <f>IF(D141="","",ROUND(Labour_perc_roads*G141,1))</f>
        <v/>
      </c>
      <c r="L141" s="420" t="str">
        <f t="shared" si="28"/>
        <v/>
      </c>
      <c r="M141" s="401" t="str">
        <f t="shared" si="27"/>
        <v/>
      </c>
    </row>
    <row r="142" spans="1:13" x14ac:dyDescent="0.25">
      <c r="A142" s="5"/>
      <c r="B142" s="834"/>
      <c r="C142" s="640"/>
      <c r="D142" s="719"/>
      <c r="E142" s="719"/>
      <c r="F142" s="647"/>
      <c r="G142" s="720"/>
      <c r="H142" s="743" t="str">
        <f t="shared" si="22"/>
        <v/>
      </c>
      <c r="I142" s="63"/>
      <c r="J142" s="61"/>
      <c r="K142" s="577"/>
      <c r="L142" s="420" t="str">
        <f t="shared" si="28"/>
        <v/>
      </c>
      <c r="M142" s="401" t="str">
        <f t="shared" si="27"/>
        <v/>
      </c>
    </row>
    <row r="143" spans="1:13" x14ac:dyDescent="0.25">
      <c r="A143" s="5"/>
      <c r="B143" s="834"/>
      <c r="C143" s="640"/>
      <c r="D143" s="719"/>
      <c r="E143" s="719"/>
      <c r="F143" s="15"/>
      <c r="G143" s="720"/>
      <c r="H143" s="743" t="str">
        <f t="shared" si="22"/>
        <v/>
      </c>
      <c r="I143" s="63"/>
      <c r="J143" s="61"/>
      <c r="K143" s="399" t="str">
        <f>IF(D143="","",ROUND(Labour_perc_roads*G143,1))</f>
        <v/>
      </c>
      <c r="L143" s="420" t="str">
        <f t="shared" si="28"/>
        <v/>
      </c>
      <c r="M143" s="401" t="str">
        <f t="shared" si="27"/>
        <v/>
      </c>
    </row>
    <row r="144" spans="1:13" x14ac:dyDescent="0.25">
      <c r="A144" s="5"/>
      <c r="B144" s="834"/>
      <c r="C144" s="640"/>
      <c r="D144" s="719"/>
      <c r="E144" s="719"/>
      <c r="F144" s="647"/>
      <c r="G144" s="720"/>
      <c r="H144" s="743" t="str">
        <f t="shared" si="22"/>
        <v/>
      </c>
      <c r="I144" s="63"/>
      <c r="J144" s="61"/>
      <c r="K144" s="402"/>
      <c r="L144" s="420" t="str">
        <f t="shared" si="28"/>
        <v/>
      </c>
      <c r="M144" s="401" t="str">
        <f t="shared" si="27"/>
        <v/>
      </c>
    </row>
    <row r="145" spans="1:13" x14ac:dyDescent="0.25">
      <c r="A145" s="5"/>
      <c r="B145" s="834"/>
      <c r="C145" s="640"/>
      <c r="D145" s="719"/>
      <c r="E145" s="719"/>
      <c r="F145" s="15"/>
      <c r="G145" s="720"/>
      <c r="H145" s="743" t="str">
        <f t="shared" si="22"/>
        <v/>
      </c>
      <c r="I145" s="63"/>
      <c r="J145" s="61"/>
      <c r="K145" s="402" t="str">
        <f>IF(D145="","",ROUND(Labour_perc_roads*G145,1))</f>
        <v/>
      </c>
      <c r="L145" s="420" t="str">
        <f t="shared" si="28"/>
        <v/>
      </c>
      <c r="M145" s="401" t="str">
        <f t="shared" si="27"/>
        <v/>
      </c>
    </row>
    <row r="146" spans="1:13" x14ac:dyDescent="0.25">
      <c r="A146" s="5"/>
      <c r="B146" s="834"/>
      <c r="C146" s="640"/>
      <c r="D146" s="719"/>
      <c r="E146" s="719"/>
      <c r="F146" s="15"/>
      <c r="G146" s="720"/>
      <c r="H146" s="743" t="str">
        <f t="shared" si="22"/>
        <v/>
      </c>
      <c r="I146" s="63"/>
      <c r="J146" s="61"/>
      <c r="K146" s="402"/>
      <c r="L146" s="420" t="str">
        <f t="shared" si="28"/>
        <v/>
      </c>
      <c r="M146" s="401" t="str">
        <f t="shared" si="27"/>
        <v/>
      </c>
    </row>
    <row r="147" spans="1:13" x14ac:dyDescent="0.25">
      <c r="A147" s="5"/>
      <c r="B147" s="834"/>
      <c r="C147" s="640"/>
      <c r="D147" s="719"/>
      <c r="E147" s="719"/>
      <c r="F147" s="15"/>
      <c r="G147" s="720"/>
      <c r="H147" s="743" t="str">
        <f t="shared" si="22"/>
        <v/>
      </c>
      <c r="I147" s="63"/>
      <c r="J147" s="61"/>
      <c r="K147" s="402" t="str">
        <f>IF(D147="","",ROUND(Labour_perc_roads*G147,1))</f>
        <v/>
      </c>
      <c r="L147" s="420" t="str">
        <f t="shared" si="28"/>
        <v/>
      </c>
      <c r="M147" s="401" t="str">
        <f t="shared" si="27"/>
        <v/>
      </c>
    </row>
    <row r="148" spans="1:13" x14ac:dyDescent="0.25">
      <c r="A148" s="5"/>
      <c r="B148" s="834"/>
      <c r="C148" s="640"/>
      <c r="D148" s="719"/>
      <c r="E148" s="719"/>
      <c r="F148" s="15"/>
      <c r="G148" s="720"/>
      <c r="H148" s="743" t="str">
        <f t="shared" si="22"/>
        <v/>
      </c>
      <c r="I148" s="63"/>
      <c r="J148" s="61"/>
      <c r="K148" s="399"/>
      <c r="L148" s="420" t="str">
        <f t="shared" si="28"/>
        <v/>
      </c>
      <c r="M148" s="401" t="str">
        <f t="shared" si="27"/>
        <v/>
      </c>
    </row>
    <row r="149" spans="1:13" x14ac:dyDescent="0.25">
      <c r="A149" s="5"/>
      <c r="B149" s="834"/>
      <c r="C149" s="640"/>
      <c r="D149" s="719"/>
      <c r="E149" s="719"/>
      <c r="F149" s="15"/>
      <c r="G149" s="720"/>
      <c r="H149" s="743" t="str">
        <f t="shared" si="22"/>
        <v/>
      </c>
      <c r="I149" s="63"/>
      <c r="J149" s="61"/>
      <c r="K149" s="402" t="str">
        <f>IF(D149="","",ROUND(Labour_perc_roads*G149,1))</f>
        <v/>
      </c>
      <c r="L149" s="420" t="str">
        <f t="shared" si="28"/>
        <v/>
      </c>
      <c r="M149" s="401" t="str">
        <f t="shared" si="27"/>
        <v/>
      </c>
    </row>
    <row r="150" spans="1:13" x14ac:dyDescent="0.25">
      <c r="A150" s="5"/>
      <c r="B150" s="640"/>
      <c r="C150" s="640"/>
      <c r="D150" s="719"/>
      <c r="E150" s="719"/>
      <c r="F150" s="15"/>
      <c r="G150" s="720"/>
      <c r="H150" s="743" t="str">
        <f t="shared" si="22"/>
        <v/>
      </c>
      <c r="I150" s="63"/>
      <c r="J150" s="61"/>
      <c r="K150" s="62"/>
      <c r="L150" s="420" t="str">
        <f t="shared" si="28"/>
        <v/>
      </c>
      <c r="M150" s="401" t="str">
        <f t="shared" si="27"/>
        <v/>
      </c>
    </row>
    <row r="151" spans="1:13" x14ac:dyDescent="0.25">
      <c r="A151" s="5"/>
      <c r="B151" s="834"/>
      <c r="C151" s="640"/>
      <c r="D151" s="719"/>
      <c r="E151" s="719"/>
      <c r="F151" s="15"/>
      <c r="G151" s="720"/>
      <c r="H151" s="743" t="str">
        <f t="shared" si="22"/>
        <v/>
      </c>
      <c r="I151" s="63"/>
      <c r="J151" s="61"/>
      <c r="K151" s="62" t="str">
        <f>IF(D151="","",ROUND(Labour_perc_roads*G151,1))</f>
        <v/>
      </c>
      <c r="L151" s="420" t="str">
        <f t="shared" si="28"/>
        <v/>
      </c>
      <c r="M151" s="401" t="str">
        <f t="shared" si="27"/>
        <v/>
      </c>
    </row>
    <row r="152" spans="1:13" x14ac:dyDescent="0.25">
      <c r="A152" s="5"/>
      <c r="B152" s="834"/>
      <c r="C152" s="640"/>
      <c r="D152" s="719"/>
      <c r="E152" s="719"/>
      <c r="F152" s="15"/>
      <c r="G152" s="720"/>
      <c r="H152" s="743" t="str">
        <f t="shared" si="22"/>
        <v/>
      </c>
      <c r="I152" s="63"/>
      <c r="J152" s="61"/>
      <c r="K152" s="399"/>
      <c r="L152" s="420" t="str">
        <f t="shared" si="28"/>
        <v/>
      </c>
      <c r="M152" s="401" t="str">
        <f t="shared" si="27"/>
        <v/>
      </c>
    </row>
    <row r="153" spans="1:13" x14ac:dyDescent="0.25">
      <c r="A153" s="5"/>
      <c r="B153" s="834"/>
      <c r="C153" s="640"/>
      <c r="D153" s="719"/>
      <c r="E153" s="719"/>
      <c r="F153" s="15"/>
      <c r="G153" s="720"/>
      <c r="H153" s="743" t="str">
        <f t="shared" si="22"/>
        <v/>
      </c>
      <c r="I153" s="63"/>
      <c r="J153" s="61"/>
      <c r="K153" s="62" t="str">
        <f>IF(D153="","",ROUND(Labour_perc_roads*G153,1))</f>
        <v/>
      </c>
      <c r="L153" s="420" t="str">
        <f t="shared" si="28"/>
        <v/>
      </c>
      <c r="M153" s="401" t="str">
        <f t="shared" si="27"/>
        <v/>
      </c>
    </row>
    <row r="154" spans="1:13" x14ac:dyDescent="0.25">
      <c r="A154" s="5"/>
      <c r="B154" s="834"/>
      <c r="C154" s="640"/>
      <c r="D154" s="719"/>
      <c r="E154" s="719"/>
      <c r="F154" s="15"/>
      <c r="G154" s="720"/>
      <c r="H154" s="743" t="str">
        <f t="shared" si="22"/>
        <v/>
      </c>
      <c r="I154" s="63"/>
      <c r="J154" s="61"/>
      <c r="K154" s="399"/>
      <c r="L154" s="420" t="str">
        <f t="shared" si="28"/>
        <v/>
      </c>
      <c r="M154" s="401" t="str">
        <f t="shared" si="27"/>
        <v/>
      </c>
    </row>
    <row r="155" spans="1:13" x14ac:dyDescent="0.25">
      <c r="A155" s="5"/>
      <c r="B155" s="834"/>
      <c r="C155" s="640"/>
      <c r="D155" s="719"/>
      <c r="E155" s="719"/>
      <c r="F155" s="15"/>
      <c r="G155" s="720"/>
      <c r="H155" s="743" t="str">
        <f t="shared" si="22"/>
        <v/>
      </c>
      <c r="I155" s="63"/>
      <c r="J155" s="61"/>
      <c r="K155" s="62" t="str">
        <f>IF(D155="","",ROUND(Labour_perc_roads*G155,1))</f>
        <v/>
      </c>
      <c r="L155" s="420" t="str">
        <f t="shared" ref="L155" si="29">IF(J155="","",F155*K155)</f>
        <v/>
      </c>
      <c r="M155" s="401" t="str">
        <f t="shared" si="27"/>
        <v/>
      </c>
    </row>
    <row r="156" spans="1:13" x14ac:dyDescent="0.25">
      <c r="A156" s="5"/>
      <c r="B156" s="834"/>
      <c r="C156" s="640"/>
      <c r="D156" s="719"/>
      <c r="E156" s="719"/>
      <c r="F156" s="24"/>
      <c r="G156" s="720"/>
      <c r="H156" s="17" t="str">
        <f t="shared" si="22"/>
        <v/>
      </c>
      <c r="I156" s="63"/>
      <c r="J156" s="61"/>
      <c r="K156" s="62"/>
      <c r="L156" s="420" t="str">
        <f t="shared" ref="L156:L157" si="30">IF(J156="","",F156*K156)</f>
        <v/>
      </c>
      <c r="M156" s="401" t="str">
        <f t="shared" ref="M156:M157" si="31">IF(J156="","",IF(SUM(H156)=0,"",L156/H156))</f>
        <v/>
      </c>
    </row>
    <row r="157" spans="1:13" x14ac:dyDescent="0.25">
      <c r="A157" s="5"/>
      <c r="B157" s="58"/>
      <c r="C157" s="65"/>
      <c r="D157" s="15"/>
      <c r="E157" s="15"/>
      <c r="F157" s="15"/>
      <c r="G157" s="411"/>
      <c r="H157" s="17" t="str">
        <f t="shared" si="22"/>
        <v/>
      </c>
      <c r="I157" s="63"/>
      <c r="J157" s="592"/>
      <c r="K157" s="711"/>
      <c r="L157" s="420" t="str">
        <f t="shared" si="30"/>
        <v/>
      </c>
      <c r="M157" s="401" t="str">
        <f t="shared" si="31"/>
        <v/>
      </c>
    </row>
    <row r="158" spans="1:13" ht="24.75" customHeight="1" x14ac:dyDescent="0.25">
      <c r="A158" s="28"/>
      <c r="B158" s="84" t="str">
        <f>$B$12</f>
        <v>C11.5</v>
      </c>
      <c r="C158" s="30" t="str">
        <f>"TOTAL CARRIED FORWARD"&amp;IF(H158=H$1," TO SUMMARY","")</f>
        <v>TOTAL CARRIED FORWARD TO SUMMARY</v>
      </c>
      <c r="D158" s="31"/>
      <c r="E158" s="31"/>
      <c r="F158" s="32"/>
      <c r="G158" s="31"/>
      <c r="H158" s="33">
        <f>SUM(H131:H157)</f>
        <v>800000</v>
      </c>
      <c r="I158" s="34"/>
      <c r="J158" s="408"/>
      <c r="K158" s="406"/>
      <c r="L158" s="418">
        <f>SUM(L131:L157)</f>
        <v>118100</v>
      </c>
      <c r="M158" s="407" t="str">
        <f t="shared" ref="M158" si="32">IF(J158="","",IF(SUM(H158)=0,"",L158/H158))</f>
        <v/>
      </c>
    </row>
  </sheetData>
  <mergeCells count="17">
    <mergeCell ref="B56:G56"/>
    <mergeCell ref="H56:H59"/>
    <mergeCell ref="B57:G59"/>
    <mergeCell ref="F3:H3"/>
    <mergeCell ref="H6:H9"/>
    <mergeCell ref="B7:G9"/>
    <mergeCell ref="B53:D53"/>
    <mergeCell ref="F53:H55"/>
    <mergeCell ref="B54:D54"/>
    <mergeCell ref="B55:D55"/>
    <mergeCell ref="B123:D123"/>
    <mergeCell ref="F123:H125"/>
    <mergeCell ref="B124:D124"/>
    <mergeCell ref="B125:D125"/>
    <mergeCell ref="B126:G126"/>
    <mergeCell ref="H126:H129"/>
    <mergeCell ref="B127:G129"/>
  </mergeCells>
  <conditionalFormatting sqref="G11:H52 G61:H122 G131:H158">
    <cfRule type="expression" dxfId="17" priority="1">
      <formula>_Show_Price=FALSE</formula>
    </cfRule>
  </conditionalFormatting>
  <dataValidations count="1">
    <dataValidation type="custom" allowBlank="1" showInputMessage="1" showErrorMessage="1" errorTitle="Invalid rate" error="A value with an invalid decimal part_x000a_was entered." sqref="G141:G156 G117:G119 G133 G135 G137:G138 G76" xr:uid="{00000000-0002-0000-2E00-000000000000}">
      <formula1>(G76)-TRUNC(G76,2)=0</formula1>
    </dataValidation>
  </dataValidations>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2" manualBreakCount="2">
    <brk id="52" max="7" man="1"/>
    <brk id="122"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13">
    <tabColor rgb="FFFFFF00"/>
  </sheetPr>
  <dimension ref="A1:R256"/>
  <sheetViews>
    <sheetView view="pageBreakPreview" zoomScaleNormal="125" zoomScaleSheetLayoutView="100" zoomScalePageLayoutView="125" workbookViewId="0">
      <pane ySplit="2" topLeftCell="A3" activePane="bottomLeft" state="frozen"/>
      <selection activeCell="B26" sqref="B26:G26"/>
      <selection pane="bottomLeft" activeCell="B26" sqref="B26:G26"/>
    </sheetView>
  </sheetViews>
  <sheetFormatPr defaultColWidth="8.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8.81640625" style="1"/>
    <col min="11" max="11" width="13.54296875" style="1" customWidth="1"/>
    <col min="12" max="12" width="14.1796875" style="1" customWidth="1"/>
    <col min="13" max="13" width="13.7265625" style="1" customWidth="1"/>
    <col min="14" max="14" width="13.54296875" style="1" customWidth="1"/>
    <col min="15" max="16384" width="8.81640625" style="1"/>
  </cols>
  <sheetData>
    <row r="1" spans="1:18" s="242" customFormat="1" ht="11.5" x14ac:dyDescent="0.25">
      <c r="B1" s="243"/>
      <c r="C1" s="244" t="s">
        <v>993</v>
      </c>
      <c r="D1" s="245"/>
      <c r="E1" s="245"/>
      <c r="F1" s="246" t="s">
        <v>994</v>
      </c>
      <c r="G1" s="244">
        <v>1</v>
      </c>
      <c r="H1" s="247">
        <f>MAX(H2:H256)</f>
        <v>105600</v>
      </c>
      <c r="I1" s="247">
        <f>MAX(I2:I212)</f>
        <v>0</v>
      </c>
      <c r="J1" s="248"/>
      <c r="K1" s="255"/>
      <c r="L1" s="247">
        <f>MAX(L2:L256)</f>
        <v>11755.8</v>
      </c>
      <c r="M1" s="249"/>
      <c r="N1" s="250"/>
      <c r="O1" s="256"/>
      <c r="P1" s="257" t="s">
        <v>1001</v>
      </c>
      <c r="Q1" s="255">
        <f>K1</f>
        <v>0</v>
      </c>
      <c r="R1" s="256"/>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18" ht="13" x14ac:dyDescent="0.25">
      <c r="B3" s="2" t="str">
        <f>Client1</f>
        <v>Province of KwaZulu-Natal</v>
      </c>
      <c r="F3" s="1124" t="str">
        <f>"Contract No. "&amp;ContractNo</f>
        <v>Contract No. ZNB 00399/00000/HOD/INF/21/T</v>
      </c>
      <c r="G3" s="1124"/>
      <c r="H3" s="1124"/>
    </row>
    <row r="4" spans="1:18" ht="13" x14ac:dyDescent="0.25">
      <c r="B4" s="87" t="str">
        <f>Client2</f>
        <v>Department of Transport</v>
      </c>
    </row>
    <row r="5" spans="1:18" x14ac:dyDescent="0.25">
      <c r="B5" s="3"/>
    </row>
    <row r="6" spans="1:18" ht="12.75" customHeight="1" x14ac:dyDescent="0.25">
      <c r="B6" s="1112" t="s">
        <v>8</v>
      </c>
      <c r="C6" s="1113"/>
      <c r="D6" s="1113"/>
      <c r="E6" s="1113"/>
      <c r="F6" s="1113"/>
      <c r="G6" s="1113"/>
      <c r="H6" s="1132" t="str">
        <f>"CHAPTER "&amp;B12</f>
        <v>CHAPTER C11.6</v>
      </c>
      <c r="I6" s="6"/>
    </row>
    <row r="7" spans="1:18"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33"/>
      <c r="I7" s="8"/>
    </row>
    <row r="8" spans="1:18" ht="12.75" customHeight="1" x14ac:dyDescent="0.25">
      <c r="B8" s="1117"/>
      <c r="C8" s="1118"/>
      <c r="D8" s="1118"/>
      <c r="E8" s="1118"/>
      <c r="F8" s="1118"/>
      <c r="G8" s="1118"/>
      <c r="H8" s="1133"/>
      <c r="I8" s="8"/>
    </row>
    <row r="9" spans="1:18" s="9" customFormat="1" ht="7.5" customHeight="1" x14ac:dyDescent="0.25">
      <c r="B9" s="1119"/>
      <c r="C9" s="1120"/>
      <c r="D9" s="1120"/>
      <c r="E9" s="1120"/>
      <c r="F9" s="1120"/>
      <c r="G9" s="1120"/>
      <c r="H9" s="1134"/>
      <c r="I9" s="12"/>
    </row>
    <row r="10" spans="1:18"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8" x14ac:dyDescent="0.25">
      <c r="B11" s="58"/>
      <c r="C11" s="65"/>
      <c r="D11" s="15"/>
      <c r="E11" s="15"/>
      <c r="F11" s="15"/>
      <c r="G11" s="411"/>
      <c r="H11" s="17" t="str">
        <f t="shared" ref="H11:H47" si="0">IF(D11="","",F11*G11)</f>
        <v/>
      </c>
      <c r="I11" s="18"/>
      <c r="J11" s="61"/>
      <c r="K11" s="399"/>
      <c r="L11" s="420" t="str">
        <f t="shared" ref="L11" si="1">IF(J11="","",F11*K11)</f>
        <v/>
      </c>
      <c r="M11" s="401" t="str">
        <f t="shared" ref="M11" si="2">IF(J11="","",IF(SUM(H11)=0,"",L11/H11))</f>
        <v/>
      </c>
    </row>
    <row r="12" spans="1:18" ht="13" x14ac:dyDescent="0.25">
      <c r="B12" s="146" t="s">
        <v>719</v>
      </c>
      <c r="C12" s="672" t="s">
        <v>718</v>
      </c>
      <c r="D12" s="15"/>
      <c r="E12" s="15"/>
      <c r="F12" s="15"/>
      <c r="G12" s="411"/>
      <c r="H12" s="17" t="str">
        <f t="shared" si="0"/>
        <v/>
      </c>
      <c r="I12" s="18"/>
      <c r="J12" s="61"/>
      <c r="K12" s="399"/>
      <c r="L12" s="420" t="str">
        <f t="shared" ref="L12:L47" si="3">IF(J12="","",F12*K12)</f>
        <v/>
      </c>
      <c r="M12" s="401" t="str">
        <f t="shared" ref="M12:M47" si="4">IF(J12="","",IF(SUM(H12)=0,"",L12/H12))</f>
        <v/>
      </c>
    </row>
    <row r="13" spans="1:18" x14ac:dyDescent="0.25">
      <c r="B13" s="58"/>
      <c r="C13" s="65"/>
      <c r="D13" s="15"/>
      <c r="E13" s="15"/>
      <c r="F13" s="15"/>
      <c r="G13" s="411"/>
      <c r="H13" s="17" t="str">
        <f t="shared" si="0"/>
        <v/>
      </c>
      <c r="I13" s="18"/>
      <c r="J13" s="61"/>
      <c r="K13" s="399"/>
      <c r="L13" s="420" t="str">
        <f t="shared" si="3"/>
        <v/>
      </c>
      <c r="M13" s="401" t="str">
        <f t="shared" si="4"/>
        <v/>
      </c>
    </row>
    <row r="14" spans="1:18" ht="65" x14ac:dyDescent="0.25">
      <c r="B14" s="146" t="s">
        <v>717</v>
      </c>
      <c r="C14" s="672" t="s">
        <v>716</v>
      </c>
      <c r="D14" s="15"/>
      <c r="E14" s="15"/>
      <c r="F14" s="15"/>
      <c r="G14" s="411"/>
      <c r="H14" s="17" t="str">
        <f t="shared" si="0"/>
        <v/>
      </c>
      <c r="I14" s="18"/>
      <c r="J14" s="61"/>
      <c r="K14" s="399"/>
      <c r="L14" s="420" t="str">
        <f t="shared" si="3"/>
        <v/>
      </c>
      <c r="M14" s="401" t="str">
        <f t="shared" si="4"/>
        <v/>
      </c>
    </row>
    <row r="15" spans="1:18" x14ac:dyDescent="0.25">
      <c r="B15" s="58"/>
      <c r="C15" s="65"/>
      <c r="D15" s="15"/>
      <c r="E15" s="15"/>
      <c r="F15" s="15"/>
      <c r="G15" s="411"/>
      <c r="H15" s="17" t="str">
        <f t="shared" si="0"/>
        <v/>
      </c>
      <c r="I15" s="18"/>
      <c r="J15" s="61"/>
      <c r="K15" s="399"/>
      <c r="L15" s="420" t="str">
        <f t="shared" si="3"/>
        <v/>
      </c>
      <c r="M15" s="401" t="str">
        <f t="shared" si="4"/>
        <v/>
      </c>
    </row>
    <row r="16" spans="1:18" x14ac:dyDescent="0.25">
      <c r="B16" s="58" t="s">
        <v>715</v>
      </c>
      <c r="C16" s="65" t="s">
        <v>2239</v>
      </c>
      <c r="D16" s="15"/>
      <c r="E16" s="15"/>
      <c r="F16" s="24"/>
      <c r="G16" s="703"/>
      <c r="H16" s="17" t="str">
        <f t="shared" si="0"/>
        <v/>
      </c>
      <c r="I16" s="57"/>
      <c r="J16" s="61"/>
      <c r="K16" s="400"/>
      <c r="L16" s="420" t="str">
        <f t="shared" si="3"/>
        <v/>
      </c>
      <c r="M16" s="401" t="str">
        <f t="shared" si="4"/>
        <v/>
      </c>
    </row>
    <row r="17" spans="2:13" x14ac:dyDescent="0.25">
      <c r="B17" s="58"/>
      <c r="C17" s="65"/>
      <c r="D17" s="15"/>
      <c r="E17" s="15"/>
      <c r="F17" s="24"/>
      <c r="G17" s="411"/>
      <c r="H17" s="17" t="str">
        <f t="shared" si="0"/>
        <v/>
      </c>
      <c r="I17" s="18"/>
      <c r="J17" s="61"/>
      <c r="K17" s="399"/>
      <c r="L17" s="420" t="str">
        <f t="shared" si="3"/>
        <v/>
      </c>
      <c r="M17" s="401" t="str">
        <f t="shared" si="4"/>
        <v/>
      </c>
    </row>
    <row r="18" spans="2:13" ht="13" x14ac:dyDescent="0.3">
      <c r="B18" s="58" t="s">
        <v>41</v>
      </c>
      <c r="C18" s="786" t="s">
        <v>813</v>
      </c>
      <c r="D18" s="15" t="s">
        <v>511</v>
      </c>
      <c r="E18" s="15" t="s">
        <v>996</v>
      </c>
      <c r="F18" s="24">
        <v>40</v>
      </c>
      <c r="G18" s="421">
        <v>900</v>
      </c>
      <c r="H18" s="17">
        <f t="shared" si="0"/>
        <v>36000</v>
      </c>
      <c r="I18" s="63"/>
      <c r="J18" s="61" t="s">
        <v>996</v>
      </c>
      <c r="K18" s="577">
        <f>_Sign</f>
        <v>90</v>
      </c>
      <c r="L18" s="420">
        <f t="shared" si="3"/>
        <v>3600</v>
      </c>
      <c r="M18" s="401">
        <f t="shared" si="4"/>
        <v>0.1</v>
      </c>
    </row>
    <row r="19" spans="2:13" x14ac:dyDescent="0.25">
      <c r="B19" s="58"/>
      <c r="C19" s="65"/>
      <c r="D19" s="15"/>
      <c r="E19" s="15"/>
      <c r="F19" s="24"/>
      <c r="G19" s="411"/>
      <c r="H19" s="17" t="str">
        <f t="shared" si="0"/>
        <v/>
      </c>
      <c r="I19" s="60"/>
      <c r="J19" s="61"/>
      <c r="K19" s="399"/>
      <c r="L19" s="420" t="str">
        <f t="shared" si="3"/>
        <v/>
      </c>
      <c r="M19" s="401" t="str">
        <f t="shared" si="4"/>
        <v/>
      </c>
    </row>
    <row r="20" spans="2:13" x14ac:dyDescent="0.25">
      <c r="B20" s="58" t="s">
        <v>712</v>
      </c>
      <c r="C20" s="65" t="s">
        <v>711</v>
      </c>
      <c r="D20" s="15"/>
      <c r="E20" s="15"/>
      <c r="F20" s="24"/>
      <c r="G20" s="422"/>
      <c r="H20" s="17" t="str">
        <f t="shared" si="0"/>
        <v/>
      </c>
      <c r="I20" s="63"/>
      <c r="J20" s="61"/>
      <c r="K20" s="399"/>
      <c r="L20" s="420" t="str">
        <f t="shared" si="3"/>
        <v/>
      </c>
      <c r="M20" s="401" t="str">
        <f t="shared" si="4"/>
        <v/>
      </c>
    </row>
    <row r="21" spans="2:13" x14ac:dyDescent="0.25">
      <c r="B21" s="58"/>
      <c r="C21" s="65"/>
      <c r="D21" s="15"/>
      <c r="E21" s="15"/>
      <c r="F21" s="24"/>
      <c r="G21" s="422"/>
      <c r="H21" s="17" t="str">
        <f t="shared" si="0"/>
        <v/>
      </c>
      <c r="I21" s="63"/>
      <c r="J21" s="61"/>
      <c r="K21" s="399"/>
      <c r="L21" s="420" t="str">
        <f t="shared" si="3"/>
        <v/>
      </c>
      <c r="M21" s="401" t="str">
        <f t="shared" si="4"/>
        <v/>
      </c>
    </row>
    <row r="22" spans="2:13" x14ac:dyDescent="0.25">
      <c r="B22" s="58" t="s">
        <v>39</v>
      </c>
      <c r="C22" s="65" t="s">
        <v>2166</v>
      </c>
      <c r="D22" s="15" t="s">
        <v>34</v>
      </c>
      <c r="E22" s="15" t="s">
        <v>996</v>
      </c>
      <c r="F22" s="24">
        <v>16</v>
      </c>
      <c r="G22" s="422">
        <v>900</v>
      </c>
      <c r="H22" s="17">
        <f t="shared" si="0"/>
        <v>14400</v>
      </c>
      <c r="I22" s="63"/>
      <c r="J22" s="61" t="s">
        <v>996</v>
      </c>
      <c r="K22" s="399">
        <f>_Sign</f>
        <v>90</v>
      </c>
      <c r="L22" s="420">
        <f t="shared" si="3"/>
        <v>1440</v>
      </c>
      <c r="M22" s="401">
        <f t="shared" si="4"/>
        <v>0.1</v>
      </c>
    </row>
    <row r="23" spans="2:13" x14ac:dyDescent="0.25">
      <c r="B23" s="58"/>
      <c r="C23" s="65"/>
      <c r="D23" s="15"/>
      <c r="E23" s="15"/>
      <c r="F23" s="24"/>
      <c r="G23" s="411"/>
      <c r="H23" s="17" t="str">
        <f t="shared" si="0"/>
        <v/>
      </c>
      <c r="I23" s="63"/>
      <c r="J23" s="61"/>
      <c r="K23" s="400"/>
      <c r="L23" s="420" t="str">
        <f t="shared" si="3"/>
        <v/>
      </c>
      <c r="M23" s="401" t="str">
        <f t="shared" si="4"/>
        <v/>
      </c>
    </row>
    <row r="24" spans="2:13" x14ac:dyDescent="0.25">
      <c r="B24" s="58" t="s">
        <v>41</v>
      </c>
      <c r="C24" s="65" t="s">
        <v>1989</v>
      </c>
      <c r="D24" s="15" t="s">
        <v>34</v>
      </c>
      <c r="E24" s="15" t="s">
        <v>996</v>
      </c>
      <c r="F24" s="24">
        <v>16</v>
      </c>
      <c r="G24" s="422">
        <v>1100</v>
      </c>
      <c r="H24" s="17">
        <f t="shared" si="0"/>
        <v>17600</v>
      </c>
      <c r="I24" s="63"/>
      <c r="J24" s="61" t="s">
        <v>996</v>
      </c>
      <c r="K24" s="399">
        <f>_Sign</f>
        <v>90</v>
      </c>
      <c r="L24" s="420">
        <f t="shared" si="3"/>
        <v>1440</v>
      </c>
      <c r="M24" s="401">
        <f t="shared" si="4"/>
        <v>8.1818181818181818E-2</v>
      </c>
    </row>
    <row r="25" spans="2:13" x14ac:dyDescent="0.25">
      <c r="B25" s="58"/>
      <c r="C25" s="70"/>
      <c r="D25" s="15"/>
      <c r="E25" s="15"/>
      <c r="F25" s="24"/>
      <c r="G25" s="411"/>
      <c r="H25" s="17" t="str">
        <f t="shared" si="0"/>
        <v/>
      </c>
      <c r="I25" s="18"/>
      <c r="J25" s="61"/>
      <c r="K25" s="402"/>
      <c r="L25" s="420" t="str">
        <f t="shared" si="3"/>
        <v/>
      </c>
      <c r="M25" s="401" t="str">
        <f t="shared" si="4"/>
        <v/>
      </c>
    </row>
    <row r="26" spans="2:13" ht="12" customHeight="1" x14ac:dyDescent="0.25">
      <c r="B26" s="58" t="s">
        <v>708</v>
      </c>
      <c r="C26" s="70" t="s">
        <v>707</v>
      </c>
      <c r="D26" s="15"/>
      <c r="E26" s="15"/>
      <c r="F26" s="24"/>
      <c r="G26" s="411"/>
      <c r="H26" s="17" t="str">
        <f t="shared" si="0"/>
        <v/>
      </c>
      <c r="I26" s="18"/>
      <c r="J26" s="62"/>
      <c r="K26" s="62"/>
      <c r="L26" s="420" t="str">
        <f t="shared" si="3"/>
        <v/>
      </c>
      <c r="M26" s="401" t="str">
        <f t="shared" si="4"/>
        <v/>
      </c>
    </row>
    <row r="27" spans="2:13" x14ac:dyDescent="0.25">
      <c r="B27" s="58"/>
      <c r="C27" s="65"/>
      <c r="D27" s="15"/>
      <c r="E27" s="15"/>
      <c r="F27" s="24"/>
      <c r="G27" s="411"/>
      <c r="H27" s="17" t="str">
        <f t="shared" si="0"/>
        <v/>
      </c>
      <c r="I27" s="18"/>
      <c r="J27" s="62"/>
      <c r="K27" s="62"/>
      <c r="L27" s="420" t="str">
        <f t="shared" si="3"/>
        <v/>
      </c>
      <c r="M27" s="401" t="str">
        <f t="shared" si="4"/>
        <v/>
      </c>
    </row>
    <row r="28" spans="2:13" x14ac:dyDescent="0.25">
      <c r="B28" s="58" t="s">
        <v>52</v>
      </c>
      <c r="C28" s="65" t="s">
        <v>2167</v>
      </c>
      <c r="D28" s="15" t="s">
        <v>34</v>
      </c>
      <c r="E28" s="15" t="s">
        <v>996</v>
      </c>
      <c r="F28" s="15">
        <v>16</v>
      </c>
      <c r="G28" s="422">
        <v>800</v>
      </c>
      <c r="H28" s="17">
        <f t="shared" si="0"/>
        <v>12800</v>
      </c>
      <c r="I28" s="63"/>
      <c r="J28" s="62" t="s">
        <v>996</v>
      </c>
      <c r="K28" s="399">
        <f>_Sign</f>
        <v>90</v>
      </c>
      <c r="L28" s="420">
        <f t="shared" si="3"/>
        <v>1440</v>
      </c>
      <c r="M28" s="401">
        <f t="shared" si="4"/>
        <v>0.1125</v>
      </c>
    </row>
    <row r="29" spans="2:13" x14ac:dyDescent="0.25">
      <c r="B29" s="58"/>
      <c r="C29" s="65"/>
      <c r="D29" s="15"/>
      <c r="E29" s="15"/>
      <c r="F29" s="24"/>
      <c r="G29" s="422"/>
      <c r="H29" s="17" t="str">
        <f t="shared" si="0"/>
        <v/>
      </c>
      <c r="I29" s="18"/>
      <c r="J29" s="62"/>
      <c r="K29" s="62"/>
      <c r="L29" s="420" t="str">
        <f t="shared" si="3"/>
        <v/>
      </c>
      <c r="M29" s="401" t="str">
        <f t="shared" si="4"/>
        <v/>
      </c>
    </row>
    <row r="30" spans="2:13" ht="26" x14ac:dyDescent="0.25">
      <c r="B30" s="146" t="s">
        <v>703</v>
      </c>
      <c r="C30" s="672" t="s">
        <v>702</v>
      </c>
      <c r="D30" s="15"/>
      <c r="E30" s="15"/>
      <c r="F30" s="24"/>
      <c r="G30" s="423"/>
      <c r="H30" s="17" t="str">
        <f t="shared" si="0"/>
        <v/>
      </c>
      <c r="I30" s="18"/>
      <c r="J30" s="62"/>
      <c r="K30" s="62"/>
      <c r="L30" s="420" t="str">
        <f t="shared" si="3"/>
        <v/>
      </c>
      <c r="M30" s="401" t="str">
        <f t="shared" si="4"/>
        <v/>
      </c>
    </row>
    <row r="31" spans="2:13" x14ac:dyDescent="0.25">
      <c r="B31" s="58"/>
      <c r="C31" s="65"/>
      <c r="D31" s="61"/>
      <c r="E31" s="61"/>
      <c r="F31" s="24"/>
      <c r="G31" s="411"/>
      <c r="H31" s="17" t="str">
        <f t="shared" si="0"/>
        <v/>
      </c>
      <c r="I31" s="18"/>
      <c r="J31" s="62"/>
      <c r="K31" s="62"/>
      <c r="L31" s="420" t="str">
        <f t="shared" si="3"/>
        <v/>
      </c>
      <c r="M31" s="401" t="str">
        <f t="shared" si="4"/>
        <v/>
      </c>
    </row>
    <row r="32" spans="2:13" x14ac:dyDescent="0.25">
      <c r="B32" s="58" t="s">
        <v>701</v>
      </c>
      <c r="C32" s="65" t="s">
        <v>656</v>
      </c>
      <c r="D32" s="15"/>
      <c r="E32" s="15"/>
      <c r="F32" s="15"/>
      <c r="G32" s="424"/>
      <c r="H32" s="17" t="str">
        <f t="shared" si="0"/>
        <v/>
      </c>
      <c r="I32" s="63"/>
      <c r="J32" s="62"/>
      <c r="K32" s="62"/>
      <c r="L32" s="420" t="str">
        <f t="shared" si="3"/>
        <v/>
      </c>
      <c r="M32" s="401" t="str">
        <f t="shared" si="4"/>
        <v/>
      </c>
    </row>
    <row r="33" spans="2:13" x14ac:dyDescent="0.25">
      <c r="B33" s="58"/>
      <c r="C33" s="65"/>
      <c r="D33" s="15"/>
      <c r="E33" s="15"/>
      <c r="F33" s="15"/>
      <c r="G33" s="422"/>
      <c r="H33" s="17" t="str">
        <f t="shared" si="0"/>
        <v/>
      </c>
      <c r="I33" s="63"/>
      <c r="J33" s="62"/>
      <c r="K33" s="62"/>
      <c r="L33" s="420" t="str">
        <f t="shared" si="3"/>
        <v/>
      </c>
      <c r="M33" s="401" t="str">
        <f t="shared" si="4"/>
        <v/>
      </c>
    </row>
    <row r="34" spans="2:13" ht="25" x14ac:dyDescent="0.25">
      <c r="B34" s="58" t="s">
        <v>39</v>
      </c>
      <c r="C34" s="65" t="s">
        <v>1722</v>
      </c>
      <c r="D34" s="15" t="s">
        <v>6</v>
      </c>
      <c r="E34" s="15" t="s">
        <v>996</v>
      </c>
      <c r="F34" s="15">
        <v>60</v>
      </c>
      <c r="G34" s="422">
        <v>180</v>
      </c>
      <c r="H34" s="17">
        <f t="shared" si="0"/>
        <v>10800</v>
      </c>
      <c r="I34" s="63"/>
      <c r="J34" s="62" t="s">
        <v>996</v>
      </c>
      <c r="K34" s="402">
        <f>IF(D34="","",ROUND(Labour_perc_roads*G34,1))</f>
        <v>5.2</v>
      </c>
      <c r="L34" s="420">
        <f t="shared" si="3"/>
        <v>312</v>
      </c>
      <c r="M34" s="401">
        <f t="shared" si="4"/>
        <v>2.8888888888888888E-2</v>
      </c>
    </row>
    <row r="35" spans="2:13" x14ac:dyDescent="0.25">
      <c r="B35" s="58"/>
      <c r="C35" s="65"/>
      <c r="D35" s="15"/>
      <c r="E35" s="15"/>
      <c r="F35" s="24"/>
      <c r="G35" s="411"/>
      <c r="H35" s="17" t="str">
        <f t="shared" si="0"/>
        <v/>
      </c>
      <c r="I35" s="18"/>
      <c r="J35" s="62"/>
      <c r="K35" s="62"/>
      <c r="L35" s="420" t="str">
        <f t="shared" si="3"/>
        <v/>
      </c>
      <c r="M35" s="401" t="str">
        <f t="shared" si="4"/>
        <v/>
      </c>
    </row>
    <row r="36" spans="2:13" ht="26" x14ac:dyDescent="0.25">
      <c r="B36" s="146" t="s">
        <v>699</v>
      </c>
      <c r="C36" s="789" t="s">
        <v>698</v>
      </c>
      <c r="D36" s="15"/>
      <c r="E36" s="15"/>
      <c r="F36" s="24"/>
      <c r="G36" s="423"/>
      <c r="H36" s="17" t="str">
        <f t="shared" si="0"/>
        <v/>
      </c>
      <c r="I36" s="18"/>
      <c r="J36" s="62"/>
      <c r="K36" s="62"/>
      <c r="L36" s="420" t="str">
        <f t="shared" si="3"/>
        <v/>
      </c>
      <c r="M36" s="401" t="str">
        <f t="shared" si="4"/>
        <v/>
      </c>
    </row>
    <row r="37" spans="2:13" x14ac:dyDescent="0.25">
      <c r="B37" s="58"/>
      <c r="C37" s="65"/>
      <c r="D37" s="15"/>
      <c r="E37" s="15"/>
      <c r="F37" s="15"/>
      <c r="G37" s="411"/>
      <c r="H37" s="17" t="str">
        <f t="shared" si="0"/>
        <v/>
      </c>
      <c r="I37" s="18"/>
      <c r="J37" s="62"/>
      <c r="K37" s="62"/>
      <c r="L37" s="420" t="str">
        <f t="shared" si="3"/>
        <v/>
      </c>
      <c r="M37" s="401" t="str">
        <f t="shared" si="4"/>
        <v/>
      </c>
    </row>
    <row r="38" spans="2:13" ht="25" x14ac:dyDescent="0.3">
      <c r="B38" s="58" t="s">
        <v>697</v>
      </c>
      <c r="C38" s="65" t="s">
        <v>696</v>
      </c>
      <c r="D38" s="15" t="s">
        <v>512</v>
      </c>
      <c r="E38" s="15" t="s">
        <v>996</v>
      </c>
      <c r="F38" s="15">
        <v>10</v>
      </c>
      <c r="G38" s="411">
        <v>300</v>
      </c>
      <c r="H38" s="17">
        <f t="shared" si="0"/>
        <v>3000</v>
      </c>
      <c r="I38" s="63"/>
      <c r="J38" s="62" t="s">
        <v>996</v>
      </c>
      <c r="K38" s="402">
        <f>_Excavation+_Backfill</f>
        <v>202</v>
      </c>
      <c r="L38" s="420">
        <f t="shared" si="3"/>
        <v>2020</v>
      </c>
      <c r="M38" s="401">
        <f t="shared" si="4"/>
        <v>0.67333333333333334</v>
      </c>
    </row>
    <row r="39" spans="2:13" x14ac:dyDescent="0.25">
      <c r="B39" s="58"/>
      <c r="C39" s="65"/>
      <c r="D39" s="15"/>
      <c r="E39" s="15"/>
      <c r="F39" s="15"/>
      <c r="G39" s="411"/>
      <c r="H39" s="17" t="str">
        <f t="shared" si="0"/>
        <v/>
      </c>
      <c r="I39" s="63"/>
      <c r="J39" s="138"/>
      <c r="K39" s="402"/>
      <c r="L39" s="420" t="str">
        <f t="shared" si="3"/>
        <v/>
      </c>
      <c r="M39" s="401" t="str">
        <f t="shared" si="4"/>
        <v/>
      </c>
    </row>
    <row r="40" spans="2:13" ht="25" x14ac:dyDescent="0.3">
      <c r="B40" s="58" t="s">
        <v>695</v>
      </c>
      <c r="C40" s="65" t="s">
        <v>694</v>
      </c>
      <c r="D40" s="15" t="s">
        <v>512</v>
      </c>
      <c r="E40" s="15"/>
      <c r="F40" s="15">
        <v>4</v>
      </c>
      <c r="G40" s="411">
        <v>300</v>
      </c>
      <c r="H40" s="17">
        <f t="shared" si="0"/>
        <v>1200</v>
      </c>
      <c r="I40" s="63"/>
      <c r="J40" s="138" t="s">
        <v>996</v>
      </c>
      <c r="K40" s="402">
        <f>IF(D40="","",ROUND(Labour_perc_roads*G40,1))</f>
        <v>8.6999999999999993</v>
      </c>
      <c r="L40" s="420">
        <f t="shared" si="3"/>
        <v>34.799999999999997</v>
      </c>
      <c r="M40" s="401">
        <f t="shared" si="4"/>
        <v>2.8999999999999998E-2</v>
      </c>
    </row>
    <row r="41" spans="2:13" x14ac:dyDescent="0.25">
      <c r="B41" s="58"/>
      <c r="C41" s="65"/>
      <c r="D41" s="15"/>
      <c r="E41" s="15"/>
      <c r="F41" s="15"/>
      <c r="G41" s="411"/>
      <c r="H41" s="17" t="str">
        <f t="shared" si="0"/>
        <v/>
      </c>
      <c r="I41" s="63"/>
      <c r="J41" s="138"/>
      <c r="K41" s="399"/>
      <c r="L41" s="420" t="str">
        <f t="shared" si="3"/>
        <v/>
      </c>
      <c r="M41" s="401" t="str">
        <f t="shared" si="4"/>
        <v/>
      </c>
    </row>
    <row r="42" spans="2:13" ht="13" x14ac:dyDescent="0.3">
      <c r="B42" s="58" t="s">
        <v>693</v>
      </c>
      <c r="C42" s="65" t="s">
        <v>692</v>
      </c>
      <c r="D42" s="15" t="s">
        <v>512</v>
      </c>
      <c r="E42" s="15"/>
      <c r="F42" s="15">
        <v>2</v>
      </c>
      <c r="G42" s="411">
        <v>500</v>
      </c>
      <c r="H42" s="17">
        <f t="shared" si="0"/>
        <v>1000</v>
      </c>
      <c r="I42" s="63"/>
      <c r="J42" s="138" t="s">
        <v>996</v>
      </c>
      <c r="K42" s="402">
        <f>IF(D42="","",ROUND(Labour_perc_roads*G42,1))</f>
        <v>14.5</v>
      </c>
      <c r="L42" s="420">
        <f t="shared" si="3"/>
        <v>29</v>
      </c>
      <c r="M42" s="401">
        <f t="shared" si="4"/>
        <v>2.9000000000000001E-2</v>
      </c>
    </row>
    <row r="43" spans="2:13" x14ac:dyDescent="0.25">
      <c r="B43" s="58"/>
      <c r="C43" s="65"/>
      <c r="D43" s="15"/>
      <c r="E43" s="15"/>
      <c r="F43" s="15"/>
      <c r="G43" s="422"/>
      <c r="H43" s="17" t="str">
        <f t="shared" si="0"/>
        <v/>
      </c>
      <c r="I43" s="18"/>
      <c r="J43" s="62"/>
      <c r="K43" s="62"/>
      <c r="L43" s="420" t="str">
        <f t="shared" si="3"/>
        <v/>
      </c>
      <c r="M43" s="401" t="str">
        <f t="shared" si="4"/>
        <v/>
      </c>
    </row>
    <row r="44" spans="2:13" ht="13" x14ac:dyDescent="0.25">
      <c r="B44" s="146" t="s">
        <v>691</v>
      </c>
      <c r="C44" s="672" t="s">
        <v>690</v>
      </c>
      <c r="D44" s="15"/>
      <c r="E44" s="15"/>
      <c r="F44" s="15"/>
      <c r="G44" s="422"/>
      <c r="H44" s="17" t="str">
        <f t="shared" si="0"/>
        <v/>
      </c>
      <c r="I44" s="18"/>
      <c r="J44" s="62"/>
      <c r="K44" s="62"/>
      <c r="L44" s="420" t="str">
        <f t="shared" si="3"/>
        <v/>
      </c>
      <c r="M44" s="401" t="str">
        <f t="shared" si="4"/>
        <v/>
      </c>
    </row>
    <row r="45" spans="2:13" x14ac:dyDescent="0.25">
      <c r="B45" s="58"/>
      <c r="C45" s="65"/>
      <c r="D45" s="15"/>
      <c r="E45" s="15"/>
      <c r="F45" s="15"/>
      <c r="G45" s="422"/>
      <c r="H45" s="17" t="str">
        <f t="shared" si="0"/>
        <v/>
      </c>
      <c r="I45" s="18"/>
      <c r="J45" s="62"/>
      <c r="K45" s="62"/>
      <c r="L45" s="420" t="str">
        <f t="shared" si="3"/>
        <v/>
      </c>
      <c r="M45" s="401" t="str">
        <f t="shared" si="4"/>
        <v/>
      </c>
    </row>
    <row r="46" spans="2:13" x14ac:dyDescent="0.25">
      <c r="B46" s="58" t="s">
        <v>689</v>
      </c>
      <c r="C46" s="70" t="s">
        <v>2168</v>
      </c>
      <c r="D46" s="15" t="s">
        <v>34</v>
      </c>
      <c r="E46" s="15" t="s">
        <v>996</v>
      </c>
      <c r="F46" s="15">
        <v>16</v>
      </c>
      <c r="G46" s="422">
        <v>550</v>
      </c>
      <c r="H46" s="17">
        <f t="shared" si="0"/>
        <v>8800</v>
      </c>
      <c r="I46" s="63"/>
      <c r="J46" s="62" t="s">
        <v>1721</v>
      </c>
      <c r="K46" s="577">
        <f>_Sign</f>
        <v>90</v>
      </c>
      <c r="L46" s="420">
        <f t="shared" si="3"/>
        <v>1440</v>
      </c>
      <c r="M46" s="401">
        <f t="shared" si="4"/>
        <v>0.16363636363636364</v>
      </c>
    </row>
    <row r="47" spans="2:13" x14ac:dyDescent="0.25">
      <c r="B47" s="58"/>
      <c r="C47" s="65"/>
      <c r="D47" s="15"/>
      <c r="E47" s="15"/>
      <c r="F47" s="15"/>
      <c r="G47" s="422"/>
      <c r="H47" s="17" t="str">
        <f t="shared" si="0"/>
        <v/>
      </c>
      <c r="I47" s="18"/>
      <c r="J47" s="62"/>
      <c r="K47" s="62"/>
      <c r="L47" s="420" t="str">
        <f t="shared" si="3"/>
        <v/>
      </c>
      <c r="M47" s="401" t="str">
        <f t="shared" si="4"/>
        <v/>
      </c>
    </row>
    <row r="48" spans="2:13" ht="13" x14ac:dyDescent="0.25">
      <c r="B48" s="146"/>
      <c r="C48" s="672"/>
      <c r="D48" s="15"/>
      <c r="E48" s="15"/>
      <c r="F48" s="15"/>
      <c r="G48" s="424"/>
      <c r="H48" s="17" t="str">
        <f t="shared" ref="H48:H67" si="5">IF(D48="","",F48*G48)</f>
        <v/>
      </c>
      <c r="I48" s="69"/>
      <c r="J48" s="62"/>
      <c r="K48" s="62"/>
      <c r="L48" s="420" t="str">
        <f t="shared" ref="L48:L67" si="6">IF(J48="","",F48*K48)</f>
        <v/>
      </c>
      <c r="M48" s="401" t="str">
        <f t="shared" ref="M48:M67" si="7">IF(J48="","",IF(SUM(H48)=0,"",L48/H48))</f>
        <v/>
      </c>
    </row>
    <row r="49" spans="2:13" x14ac:dyDescent="0.25">
      <c r="B49" s="58"/>
      <c r="C49" s="65"/>
      <c r="D49" s="15"/>
      <c r="E49" s="15"/>
      <c r="F49" s="15"/>
      <c r="G49" s="424"/>
      <c r="H49" s="17" t="str">
        <f t="shared" si="5"/>
        <v/>
      </c>
      <c r="I49" s="63"/>
      <c r="J49" s="62"/>
      <c r="K49" s="62"/>
      <c r="L49" s="420" t="str">
        <f t="shared" si="6"/>
        <v/>
      </c>
      <c r="M49" s="401" t="str">
        <f t="shared" si="7"/>
        <v/>
      </c>
    </row>
    <row r="50" spans="2:13" x14ac:dyDescent="0.25">
      <c r="B50" s="58"/>
      <c r="C50" s="65"/>
      <c r="D50" s="15"/>
      <c r="E50" s="15"/>
      <c r="F50" s="15"/>
      <c r="G50" s="424"/>
      <c r="H50" s="17" t="str">
        <f t="shared" si="5"/>
        <v/>
      </c>
      <c r="I50" s="18"/>
      <c r="J50" s="62"/>
      <c r="K50" s="62"/>
      <c r="L50" s="420" t="str">
        <f t="shared" si="6"/>
        <v/>
      </c>
      <c r="M50" s="401" t="str">
        <f t="shared" si="7"/>
        <v/>
      </c>
    </row>
    <row r="51" spans="2:13" x14ac:dyDescent="0.25">
      <c r="B51" s="58"/>
      <c r="C51" s="65"/>
      <c r="D51" s="15"/>
      <c r="E51" s="15"/>
      <c r="F51" s="15"/>
      <c r="G51" s="424"/>
      <c r="H51" s="17" t="str">
        <f t="shared" si="5"/>
        <v/>
      </c>
      <c r="I51" s="18"/>
      <c r="J51" s="62"/>
      <c r="K51" s="62"/>
      <c r="L51" s="420" t="str">
        <f t="shared" si="6"/>
        <v/>
      </c>
      <c r="M51" s="401" t="str">
        <f t="shared" si="7"/>
        <v/>
      </c>
    </row>
    <row r="52" spans="2:13" x14ac:dyDescent="0.25">
      <c r="B52" s="58"/>
      <c r="C52" s="65"/>
      <c r="D52" s="15"/>
      <c r="E52" s="15"/>
      <c r="F52" s="15"/>
      <c r="G52" s="424"/>
      <c r="H52" s="17" t="str">
        <f t="shared" si="5"/>
        <v/>
      </c>
      <c r="I52" s="18"/>
      <c r="J52" s="62"/>
      <c r="K52" s="62"/>
      <c r="L52" s="420" t="str">
        <f t="shared" si="6"/>
        <v/>
      </c>
      <c r="M52" s="401" t="str">
        <f t="shared" si="7"/>
        <v/>
      </c>
    </row>
    <row r="53" spans="2:13" x14ac:dyDescent="0.25">
      <c r="B53" s="58"/>
      <c r="C53" s="65"/>
      <c r="D53" s="15"/>
      <c r="E53" s="15"/>
      <c r="F53" s="15"/>
      <c r="G53" s="424"/>
      <c r="H53" s="17" t="str">
        <f t="shared" si="5"/>
        <v/>
      </c>
      <c r="I53" s="18"/>
      <c r="J53" s="62"/>
      <c r="K53" s="62"/>
      <c r="L53" s="420" t="str">
        <f t="shared" si="6"/>
        <v/>
      </c>
      <c r="M53" s="401" t="str">
        <f t="shared" si="7"/>
        <v/>
      </c>
    </row>
    <row r="54" spans="2:13" x14ac:dyDescent="0.25">
      <c r="B54" s="58"/>
      <c r="C54" s="65"/>
      <c r="D54" s="15"/>
      <c r="E54" s="15"/>
      <c r="F54" s="15"/>
      <c r="G54" s="424"/>
      <c r="H54" s="17" t="str">
        <f t="shared" si="5"/>
        <v/>
      </c>
      <c r="I54" s="18"/>
      <c r="J54" s="62"/>
      <c r="K54" s="62"/>
      <c r="L54" s="420" t="str">
        <f t="shared" si="6"/>
        <v/>
      </c>
      <c r="M54" s="401" t="str">
        <f t="shared" si="7"/>
        <v/>
      </c>
    </row>
    <row r="55" spans="2:13" x14ac:dyDescent="0.25">
      <c r="B55" s="58"/>
      <c r="C55" s="65"/>
      <c r="D55" s="15"/>
      <c r="E55" s="15"/>
      <c r="F55" s="15"/>
      <c r="G55" s="424"/>
      <c r="H55" s="17" t="str">
        <f t="shared" si="5"/>
        <v/>
      </c>
      <c r="I55" s="18"/>
      <c r="J55" s="62"/>
      <c r="K55" s="62"/>
      <c r="L55" s="420" t="str">
        <f t="shared" si="6"/>
        <v/>
      </c>
      <c r="M55" s="401" t="str">
        <f t="shared" si="7"/>
        <v/>
      </c>
    </row>
    <row r="56" spans="2:13" x14ac:dyDescent="0.25">
      <c r="B56" s="58"/>
      <c r="C56" s="65"/>
      <c r="D56" s="15"/>
      <c r="E56" s="15"/>
      <c r="F56" s="15"/>
      <c r="G56" s="424"/>
      <c r="H56" s="17" t="str">
        <f t="shared" si="5"/>
        <v/>
      </c>
      <c r="I56" s="18"/>
      <c r="J56" s="62"/>
      <c r="K56" s="62"/>
      <c r="L56" s="420" t="str">
        <f t="shared" si="6"/>
        <v/>
      </c>
      <c r="M56" s="401" t="str">
        <f t="shared" si="7"/>
        <v/>
      </c>
    </row>
    <row r="57" spans="2:13" x14ac:dyDescent="0.25">
      <c r="B57" s="58"/>
      <c r="C57" s="65"/>
      <c r="D57" s="15"/>
      <c r="E57" s="15"/>
      <c r="F57" s="15"/>
      <c r="G57" s="411"/>
      <c r="H57" s="17" t="str">
        <f t="shared" si="5"/>
        <v/>
      </c>
      <c r="I57" s="18"/>
      <c r="J57" s="62"/>
      <c r="K57" s="62"/>
      <c r="L57" s="420" t="str">
        <f t="shared" si="6"/>
        <v/>
      </c>
      <c r="M57" s="401" t="str">
        <f t="shared" si="7"/>
        <v/>
      </c>
    </row>
    <row r="58" spans="2:13" s="5" customFormat="1" x14ac:dyDescent="0.25">
      <c r="B58" s="58"/>
      <c r="C58" s="65"/>
      <c r="D58" s="15"/>
      <c r="E58" s="15"/>
      <c r="F58" s="24"/>
      <c r="G58" s="411"/>
      <c r="H58" s="17" t="str">
        <f t="shared" si="5"/>
        <v/>
      </c>
      <c r="I58" s="63"/>
      <c r="J58" s="138"/>
      <c r="K58" s="138"/>
      <c r="L58" s="420" t="str">
        <f t="shared" si="6"/>
        <v/>
      </c>
      <c r="M58" s="401" t="str">
        <f t="shared" si="7"/>
        <v/>
      </c>
    </row>
    <row r="59" spans="2:13" s="5" customFormat="1" x14ac:dyDescent="0.25">
      <c r="B59" s="58"/>
      <c r="C59" s="65"/>
      <c r="D59" s="15"/>
      <c r="E59" s="15"/>
      <c r="F59" s="24"/>
      <c r="G59" s="411"/>
      <c r="H59" s="17" t="str">
        <f t="shared" si="5"/>
        <v/>
      </c>
      <c r="I59" s="63"/>
      <c r="J59" s="138"/>
      <c r="K59" s="138"/>
      <c r="L59" s="420" t="str">
        <f t="shared" si="6"/>
        <v/>
      </c>
      <c r="M59" s="401" t="str">
        <f t="shared" si="7"/>
        <v/>
      </c>
    </row>
    <row r="60" spans="2:13" s="5" customFormat="1" x14ac:dyDescent="0.25">
      <c r="B60" s="58"/>
      <c r="C60" s="65"/>
      <c r="D60" s="15"/>
      <c r="E60" s="15"/>
      <c r="F60" s="24"/>
      <c r="G60" s="411"/>
      <c r="H60" s="17" t="str">
        <f t="shared" si="5"/>
        <v/>
      </c>
      <c r="I60" s="63"/>
      <c r="J60" s="138"/>
      <c r="K60" s="138"/>
      <c r="L60" s="420" t="str">
        <f t="shared" si="6"/>
        <v/>
      </c>
      <c r="M60" s="401" t="str">
        <f t="shared" si="7"/>
        <v/>
      </c>
    </row>
    <row r="61" spans="2:13" s="5" customFormat="1" x14ac:dyDescent="0.25">
      <c r="B61" s="58"/>
      <c r="C61" s="65"/>
      <c r="D61" s="15"/>
      <c r="E61" s="15"/>
      <c r="F61" s="24"/>
      <c r="G61" s="411"/>
      <c r="H61" s="17" t="str">
        <f t="shared" si="5"/>
        <v/>
      </c>
      <c r="I61" s="63"/>
      <c r="J61" s="138"/>
      <c r="K61" s="138"/>
      <c r="L61" s="420" t="str">
        <f t="shared" si="6"/>
        <v/>
      </c>
      <c r="M61" s="401" t="str">
        <f t="shared" si="7"/>
        <v/>
      </c>
    </row>
    <row r="62" spans="2:13" s="5" customFormat="1" x14ac:dyDescent="0.25">
      <c r="B62" s="58"/>
      <c r="C62" s="65"/>
      <c r="D62" s="15"/>
      <c r="E62" s="15"/>
      <c r="F62" s="24"/>
      <c r="G62" s="411"/>
      <c r="H62" s="17" t="str">
        <f t="shared" si="5"/>
        <v/>
      </c>
      <c r="I62" s="63"/>
      <c r="J62" s="138"/>
      <c r="K62" s="138"/>
      <c r="L62" s="420" t="str">
        <f t="shared" si="6"/>
        <v/>
      </c>
      <c r="M62" s="401" t="str">
        <f t="shared" si="7"/>
        <v/>
      </c>
    </row>
    <row r="63" spans="2:13" s="5" customFormat="1" x14ac:dyDescent="0.25">
      <c r="B63" s="58"/>
      <c r="C63" s="65"/>
      <c r="D63" s="15"/>
      <c r="E63" s="15"/>
      <c r="F63" s="24"/>
      <c r="G63" s="411"/>
      <c r="H63" s="17" t="str">
        <f t="shared" si="5"/>
        <v/>
      </c>
      <c r="I63" s="63"/>
      <c r="J63" s="138"/>
      <c r="K63" s="138"/>
      <c r="L63" s="420" t="str">
        <f t="shared" si="6"/>
        <v/>
      </c>
      <c r="M63" s="401" t="str">
        <f t="shared" si="7"/>
        <v/>
      </c>
    </row>
    <row r="64" spans="2:13" s="5" customFormat="1" x14ac:dyDescent="0.25">
      <c r="B64" s="58"/>
      <c r="C64" s="65"/>
      <c r="D64" s="15"/>
      <c r="E64" s="15"/>
      <c r="F64" s="24"/>
      <c r="G64" s="411"/>
      <c r="H64" s="17" t="str">
        <f t="shared" si="5"/>
        <v/>
      </c>
      <c r="I64" s="63"/>
      <c r="J64" s="138"/>
      <c r="K64" s="138"/>
      <c r="L64" s="420" t="str">
        <f t="shared" si="6"/>
        <v/>
      </c>
      <c r="M64" s="401" t="str">
        <f t="shared" si="7"/>
        <v/>
      </c>
    </row>
    <row r="65" spans="2:13" s="5" customFormat="1" x14ac:dyDescent="0.25">
      <c r="B65" s="58"/>
      <c r="C65" s="65"/>
      <c r="D65" s="15"/>
      <c r="E65" s="15"/>
      <c r="F65" s="24"/>
      <c r="G65" s="411"/>
      <c r="H65" s="17" t="str">
        <f t="shared" si="5"/>
        <v/>
      </c>
      <c r="I65" s="63"/>
      <c r="J65" s="138"/>
      <c r="K65" s="138"/>
      <c r="L65" s="420" t="str">
        <f t="shared" si="6"/>
        <v/>
      </c>
      <c r="M65" s="401" t="str">
        <f t="shared" si="7"/>
        <v/>
      </c>
    </row>
    <row r="66" spans="2:13" s="5" customFormat="1" x14ac:dyDescent="0.25">
      <c r="B66" s="58"/>
      <c r="C66" s="65"/>
      <c r="D66" s="15"/>
      <c r="E66" s="15"/>
      <c r="F66" s="24"/>
      <c r="G66" s="411"/>
      <c r="H66" s="17" t="str">
        <f t="shared" si="5"/>
        <v/>
      </c>
      <c r="I66" s="63"/>
      <c r="J66" s="138"/>
      <c r="K66" s="138"/>
      <c r="L66" s="420" t="str">
        <f t="shared" si="6"/>
        <v/>
      </c>
      <c r="M66" s="401" t="str">
        <f t="shared" si="7"/>
        <v/>
      </c>
    </row>
    <row r="67" spans="2:13" s="5" customFormat="1" x14ac:dyDescent="0.25">
      <c r="B67" s="58"/>
      <c r="C67" s="65" t="s">
        <v>713</v>
      </c>
      <c r="D67" s="15"/>
      <c r="E67" s="15"/>
      <c r="F67" s="24"/>
      <c r="G67" s="411"/>
      <c r="H67" s="17" t="str">
        <f t="shared" si="5"/>
        <v/>
      </c>
      <c r="I67" s="63"/>
      <c r="J67" s="711"/>
      <c r="K67" s="711"/>
      <c r="L67" s="420" t="str">
        <f t="shared" si="6"/>
        <v/>
      </c>
      <c r="M67" s="401" t="str">
        <f t="shared" si="7"/>
        <v/>
      </c>
    </row>
    <row r="68" spans="2:13" s="28" customFormat="1" ht="19.5" customHeight="1" x14ac:dyDescent="0.25">
      <c r="B68" s="135" t="str">
        <f>$B$12</f>
        <v>C11.6</v>
      </c>
      <c r="C68" s="30" t="str">
        <f>"TOTAL CARRIED FORWARD"&amp;IF(H68=H$1," TO SUMMARY","")</f>
        <v>TOTAL CARRIED FORWARD TO SUMMARY</v>
      </c>
      <c r="D68" s="31"/>
      <c r="E68" s="31"/>
      <c r="F68" s="32"/>
      <c r="G68" s="31"/>
      <c r="H68" s="33">
        <f>SUM(H11:H67)</f>
        <v>105600</v>
      </c>
      <c r="I68" s="34"/>
      <c r="J68" s="408"/>
      <c r="K68" s="406"/>
      <c r="L68" s="418">
        <f>SUM(L11:L67)</f>
        <v>11755.8</v>
      </c>
      <c r="M68" s="407" t="str">
        <f t="shared" ref="M68" si="8">IF(J68="","",IF(SUM(H68)=0,"",L68/H68))</f>
        <v/>
      </c>
    </row>
    <row r="69" spans="2:13" ht="13" x14ac:dyDescent="0.25">
      <c r="B69" s="1108" t="str">
        <f>Client1</f>
        <v>Province of KwaZulu-Natal</v>
      </c>
      <c r="C69" s="1108"/>
      <c r="D69" s="1108"/>
      <c r="E69" s="87"/>
      <c r="F69" s="1109" t="str">
        <f>"Contract No. "&amp;ContractNo</f>
        <v>Contract No. ZNB 00399/00000/HOD/INF/21/T</v>
      </c>
      <c r="G69" s="1109"/>
      <c r="H69" s="1109"/>
    </row>
    <row r="70" spans="2:13" ht="13" x14ac:dyDescent="0.25">
      <c r="B70" s="1108" t="str">
        <f>Client2</f>
        <v>Department of Transport</v>
      </c>
      <c r="C70" s="1108"/>
      <c r="D70" s="1108"/>
      <c r="E70" s="87"/>
      <c r="F70" s="1109"/>
      <c r="G70" s="1109"/>
      <c r="H70" s="1109"/>
    </row>
    <row r="71" spans="2:13" x14ac:dyDescent="0.25">
      <c r="B71" s="1111"/>
      <c r="C71" s="1111"/>
      <c r="D71" s="1111"/>
      <c r="E71" s="78"/>
      <c r="F71" s="1110"/>
      <c r="G71" s="1110"/>
      <c r="H71" s="1110"/>
    </row>
    <row r="72" spans="2:13" ht="13" x14ac:dyDescent="0.25">
      <c r="B72" s="1112" t="s">
        <v>8</v>
      </c>
      <c r="C72" s="1113"/>
      <c r="D72" s="1113"/>
      <c r="E72" s="1113"/>
      <c r="F72" s="1113"/>
      <c r="G72" s="1113"/>
      <c r="H72" s="1114" t="str">
        <f>$H$6</f>
        <v>CHAPTER C11.6</v>
      </c>
      <c r="I72" s="6"/>
    </row>
    <row r="73" spans="2:13" ht="13" x14ac:dyDescent="0.25">
      <c r="B73" s="1117" t="str">
        <f>ContractDescription</f>
        <v>THE CONSTRUCTION OF EARTHWORKS, LAYERWORKS, SURFACING, CULVERTS AND CWAKA RIVER BRIDGE FROM KM 11.600 TO KM 14.000 ON MAIN ROAD P494 IN THE KING CETSHWAYO DISTRICT UNDER EMPANGENI REGION</v>
      </c>
      <c r="C73" s="1118"/>
      <c r="D73" s="1118"/>
      <c r="E73" s="1118"/>
      <c r="F73" s="1118"/>
      <c r="G73" s="1118"/>
      <c r="H73" s="1115"/>
      <c r="I73" s="8"/>
    </row>
    <row r="74" spans="2:13" ht="13" x14ac:dyDescent="0.25">
      <c r="B74" s="1117"/>
      <c r="C74" s="1118"/>
      <c r="D74" s="1118"/>
      <c r="E74" s="1118"/>
      <c r="F74" s="1118"/>
      <c r="G74" s="1118"/>
      <c r="H74" s="1115"/>
      <c r="I74" s="8"/>
    </row>
    <row r="75" spans="2:13" ht="13" x14ac:dyDescent="0.25">
      <c r="B75" s="1119"/>
      <c r="C75" s="1120"/>
      <c r="D75" s="1120"/>
      <c r="E75" s="1120"/>
      <c r="F75" s="1120"/>
      <c r="G75" s="1120"/>
      <c r="H75" s="1116"/>
      <c r="I75" s="8"/>
    </row>
    <row r="76" spans="2:13" s="9" customFormat="1" ht="25" customHeight="1" x14ac:dyDescent="0.25">
      <c r="B76" s="74" t="s">
        <v>0</v>
      </c>
      <c r="C76" s="11" t="s">
        <v>1</v>
      </c>
      <c r="D76" s="11" t="s">
        <v>2</v>
      </c>
      <c r="E76" s="11"/>
      <c r="F76" s="11" t="s">
        <v>3</v>
      </c>
      <c r="G76" s="11" t="s">
        <v>4</v>
      </c>
      <c r="H76" s="11" t="s">
        <v>5</v>
      </c>
      <c r="I76" s="12"/>
      <c r="J76" s="408" t="s">
        <v>996</v>
      </c>
      <c r="K76" s="253" t="s">
        <v>997</v>
      </c>
      <c r="L76" s="253" t="s">
        <v>998</v>
      </c>
      <c r="M76" s="253" t="s">
        <v>999</v>
      </c>
    </row>
    <row r="77" spans="2:13" s="28" customFormat="1" ht="19.5" customHeight="1" x14ac:dyDescent="0.25">
      <c r="B77" s="80"/>
      <c r="C77" s="30" t="s">
        <v>27</v>
      </c>
      <c r="D77" s="31"/>
      <c r="E77" s="31"/>
      <c r="F77" s="32"/>
      <c r="G77" s="31"/>
      <c r="H77" s="33">
        <f>H68</f>
        <v>105600</v>
      </c>
      <c r="I77" s="34"/>
      <c r="J77" s="416"/>
      <c r="K77" s="409"/>
      <c r="L77" s="419">
        <f>L68</f>
        <v>11755.8</v>
      </c>
      <c r="M77" s="410" t="str">
        <f>IF(F77="","",IF(SUM(I77)=0,"",L77/I77))</f>
        <v/>
      </c>
    </row>
    <row r="78" spans="2:13" s="5" customFormat="1" x14ac:dyDescent="0.25">
      <c r="B78" s="58"/>
      <c r="C78" s="14"/>
      <c r="D78" s="15"/>
      <c r="E78" s="15"/>
      <c r="F78" s="24"/>
      <c r="G78" s="411"/>
      <c r="H78" s="17" t="str">
        <f t="shared" ref="H78:H121" si="9">IF(D78="","",F78*G78)</f>
        <v/>
      </c>
      <c r="I78" s="63"/>
      <c r="J78" s="61"/>
      <c r="K78" s="399"/>
      <c r="L78" s="420" t="str">
        <f t="shared" ref="L78" si="10">IF(J78="","",F78*K78)</f>
        <v/>
      </c>
      <c r="M78" s="401" t="str">
        <f t="shared" ref="M78:M122" si="11">IF(J78="","",IF(SUM(H78)=0,"",L78/H78))</f>
        <v/>
      </c>
    </row>
    <row r="79" spans="2:13" s="5" customFormat="1" x14ac:dyDescent="0.25">
      <c r="B79" s="46"/>
      <c r="C79" s="14"/>
      <c r="D79" s="15"/>
      <c r="E79" s="15"/>
      <c r="F79" s="24"/>
      <c r="G79" s="422"/>
      <c r="H79" s="17" t="str">
        <f t="shared" si="9"/>
        <v/>
      </c>
      <c r="I79" s="63"/>
      <c r="J79" s="61"/>
      <c r="K79" s="399"/>
      <c r="L79" s="420" t="str">
        <f t="shared" ref="L79:L121" si="12">IF(J79="","",F79*K79)</f>
        <v/>
      </c>
      <c r="M79" s="401" t="str">
        <f t="shared" ref="M79:M121" si="13">IF(J79="","",IF(SUM(H79)=0,"",L79/H79))</f>
        <v/>
      </c>
    </row>
    <row r="80" spans="2:13" s="5" customFormat="1" x14ac:dyDescent="0.25">
      <c r="B80" s="58"/>
      <c r="C80" s="14"/>
      <c r="D80" s="15"/>
      <c r="E80" s="15"/>
      <c r="F80" s="24"/>
      <c r="G80" s="422"/>
      <c r="H80" s="17" t="str">
        <f t="shared" si="9"/>
        <v/>
      </c>
      <c r="I80" s="63"/>
      <c r="J80" s="61"/>
      <c r="K80" s="399"/>
      <c r="L80" s="420" t="str">
        <f t="shared" si="12"/>
        <v/>
      </c>
      <c r="M80" s="401" t="str">
        <f t="shared" si="13"/>
        <v/>
      </c>
    </row>
    <row r="81" spans="2:13" s="5" customFormat="1" x14ac:dyDescent="0.25">
      <c r="B81" s="46"/>
      <c r="C81" s="14"/>
      <c r="D81" s="15"/>
      <c r="E81" s="15"/>
      <c r="F81" s="24"/>
      <c r="G81" s="422"/>
      <c r="H81" s="17" t="str">
        <f t="shared" si="9"/>
        <v/>
      </c>
      <c r="I81" s="63"/>
      <c r="J81" s="61"/>
      <c r="K81" s="399"/>
      <c r="L81" s="420" t="str">
        <f t="shared" si="12"/>
        <v/>
      </c>
      <c r="M81" s="401" t="str">
        <f t="shared" si="13"/>
        <v/>
      </c>
    </row>
    <row r="82" spans="2:13" s="5" customFormat="1" x14ac:dyDescent="0.25">
      <c r="B82" s="58"/>
      <c r="C82" s="14"/>
      <c r="D82" s="15"/>
      <c r="E82" s="15"/>
      <c r="F82" s="24"/>
      <c r="G82" s="411"/>
      <c r="H82" s="17" t="str">
        <f t="shared" si="9"/>
        <v/>
      </c>
      <c r="I82" s="63"/>
      <c r="J82" s="61"/>
      <c r="K82" s="400"/>
      <c r="L82" s="420" t="str">
        <f t="shared" si="12"/>
        <v/>
      </c>
      <c r="M82" s="401" t="str">
        <f t="shared" si="13"/>
        <v/>
      </c>
    </row>
    <row r="83" spans="2:13" s="5" customFormat="1" x14ac:dyDescent="0.25">
      <c r="B83" s="46"/>
      <c r="C83" s="14"/>
      <c r="D83" s="15"/>
      <c r="E83" s="15"/>
      <c r="F83" s="24"/>
      <c r="G83" s="422"/>
      <c r="H83" s="17" t="str">
        <f t="shared" si="9"/>
        <v/>
      </c>
      <c r="I83" s="63"/>
      <c r="J83" s="61"/>
      <c r="K83" s="399"/>
      <c r="L83" s="420" t="str">
        <f t="shared" si="12"/>
        <v/>
      </c>
      <c r="M83" s="401" t="str">
        <f t="shared" si="13"/>
        <v/>
      </c>
    </row>
    <row r="84" spans="2:13" s="5" customFormat="1" x14ac:dyDescent="0.25">
      <c r="B84" s="58"/>
      <c r="C84" s="14"/>
      <c r="D84" s="15"/>
      <c r="E84" s="15"/>
      <c r="F84" s="24"/>
      <c r="G84" s="411"/>
      <c r="H84" s="17" t="str">
        <f t="shared" si="9"/>
        <v/>
      </c>
      <c r="I84" s="63"/>
      <c r="J84" s="61"/>
      <c r="K84" s="399"/>
      <c r="L84" s="420" t="str">
        <f t="shared" si="12"/>
        <v/>
      </c>
      <c r="M84" s="401" t="str">
        <f t="shared" si="13"/>
        <v/>
      </c>
    </row>
    <row r="85" spans="2:13" s="5" customFormat="1" x14ac:dyDescent="0.25">
      <c r="B85" s="46"/>
      <c r="C85" s="14"/>
      <c r="D85" s="15"/>
      <c r="E85" s="15"/>
      <c r="F85" s="24"/>
      <c r="G85" s="422"/>
      <c r="H85" s="17" t="str">
        <f t="shared" si="9"/>
        <v/>
      </c>
      <c r="I85" s="63"/>
      <c r="J85" s="61"/>
      <c r="K85" s="399"/>
      <c r="L85" s="420" t="str">
        <f t="shared" si="12"/>
        <v/>
      </c>
      <c r="M85" s="401" t="str">
        <f t="shared" si="13"/>
        <v/>
      </c>
    </row>
    <row r="86" spans="2:13" s="5" customFormat="1" x14ac:dyDescent="0.25">
      <c r="B86" s="58"/>
      <c r="C86" s="14"/>
      <c r="D86" s="15"/>
      <c r="E86" s="15"/>
      <c r="F86" s="24"/>
      <c r="G86" s="411"/>
      <c r="H86" s="17" t="str">
        <f t="shared" si="9"/>
        <v/>
      </c>
      <c r="I86" s="63"/>
      <c r="J86" s="61"/>
      <c r="K86" s="402"/>
      <c r="L86" s="420" t="str">
        <f t="shared" si="12"/>
        <v/>
      </c>
      <c r="M86" s="401" t="str">
        <f t="shared" si="13"/>
        <v/>
      </c>
    </row>
    <row r="87" spans="2:13" s="5" customFormat="1" x14ac:dyDescent="0.25">
      <c r="B87" s="46"/>
      <c r="C87" s="14"/>
      <c r="D87" s="15"/>
      <c r="E87" s="15"/>
      <c r="F87" s="24"/>
      <c r="G87" s="423"/>
      <c r="H87" s="17" t="str">
        <f t="shared" si="9"/>
        <v/>
      </c>
      <c r="I87" s="63"/>
      <c r="J87" s="61"/>
      <c r="K87" s="402"/>
      <c r="L87" s="420" t="str">
        <f t="shared" si="12"/>
        <v/>
      </c>
      <c r="M87" s="401" t="str">
        <f t="shared" si="13"/>
        <v/>
      </c>
    </row>
    <row r="88" spans="2:13" s="5" customFormat="1" x14ac:dyDescent="0.25">
      <c r="B88" s="58"/>
      <c r="C88" s="14"/>
      <c r="D88" s="15"/>
      <c r="E88" s="15"/>
      <c r="F88" s="15"/>
      <c r="G88" s="411"/>
      <c r="H88" s="17" t="str">
        <f t="shared" si="9"/>
        <v/>
      </c>
      <c r="I88" s="63"/>
      <c r="J88" s="61"/>
      <c r="K88" s="402"/>
      <c r="L88" s="420" t="str">
        <f t="shared" si="12"/>
        <v/>
      </c>
      <c r="M88" s="401" t="str">
        <f t="shared" si="13"/>
        <v/>
      </c>
    </row>
    <row r="89" spans="2:13" s="5" customFormat="1" x14ac:dyDescent="0.25">
      <c r="B89" s="46"/>
      <c r="C89" s="26"/>
      <c r="D89" s="61"/>
      <c r="E89" s="61"/>
      <c r="F89" s="15"/>
      <c r="G89" s="422"/>
      <c r="H89" s="17" t="str">
        <f t="shared" si="9"/>
        <v/>
      </c>
      <c r="I89" s="63"/>
      <c r="J89" s="61"/>
      <c r="K89" s="402"/>
      <c r="L89" s="420" t="str">
        <f t="shared" si="12"/>
        <v/>
      </c>
      <c r="M89" s="401" t="str">
        <f t="shared" si="13"/>
        <v/>
      </c>
    </row>
    <row r="90" spans="2:13" s="5" customFormat="1" x14ac:dyDescent="0.25">
      <c r="B90" s="58"/>
      <c r="C90" s="25"/>
      <c r="D90" s="61"/>
      <c r="E90" s="61"/>
      <c r="F90" s="15"/>
      <c r="G90" s="422"/>
      <c r="H90" s="17" t="str">
        <f t="shared" si="9"/>
        <v/>
      </c>
      <c r="I90" s="63"/>
      <c r="J90" s="61"/>
      <c r="K90" s="402"/>
      <c r="L90" s="420" t="str">
        <f t="shared" si="12"/>
        <v/>
      </c>
      <c r="M90" s="401" t="str">
        <f t="shared" si="13"/>
        <v/>
      </c>
    </row>
    <row r="91" spans="2:13" s="5" customFormat="1" x14ac:dyDescent="0.25">
      <c r="B91" s="58"/>
      <c r="C91" s="14"/>
      <c r="D91" s="15"/>
      <c r="E91" s="15"/>
      <c r="F91" s="15"/>
      <c r="G91" s="422"/>
      <c r="H91" s="17" t="str">
        <f t="shared" si="9"/>
        <v/>
      </c>
      <c r="I91" s="63"/>
      <c r="J91" s="61"/>
      <c r="K91" s="402"/>
      <c r="L91" s="420" t="str">
        <f t="shared" si="12"/>
        <v/>
      </c>
      <c r="M91" s="401" t="str">
        <f t="shared" si="13"/>
        <v/>
      </c>
    </row>
    <row r="92" spans="2:13" s="5" customFormat="1" x14ac:dyDescent="0.25">
      <c r="B92" s="58"/>
      <c r="C92" s="14"/>
      <c r="D92" s="15"/>
      <c r="E92" s="15"/>
      <c r="F92" s="15"/>
      <c r="G92" s="422"/>
      <c r="H92" s="17" t="str">
        <f t="shared" si="9"/>
        <v/>
      </c>
      <c r="I92" s="63"/>
      <c r="J92" s="62"/>
      <c r="K92" s="62"/>
      <c r="L92" s="420" t="str">
        <f t="shared" si="12"/>
        <v/>
      </c>
      <c r="M92" s="401" t="str">
        <f t="shared" si="13"/>
        <v/>
      </c>
    </row>
    <row r="93" spans="2:13" s="5" customFormat="1" x14ac:dyDescent="0.25">
      <c r="B93" s="85"/>
      <c r="C93" s="14"/>
      <c r="D93" s="15"/>
      <c r="E93" s="15"/>
      <c r="F93" s="15"/>
      <c r="G93" s="424"/>
      <c r="H93" s="17" t="str">
        <f t="shared" si="9"/>
        <v/>
      </c>
      <c r="I93" s="63"/>
      <c r="J93" s="62"/>
      <c r="K93" s="62"/>
      <c r="L93" s="420" t="str">
        <f t="shared" si="12"/>
        <v/>
      </c>
      <c r="M93" s="401" t="str">
        <f t="shared" si="13"/>
        <v/>
      </c>
    </row>
    <row r="94" spans="2:13" s="5" customFormat="1" x14ac:dyDescent="0.25">
      <c r="B94" s="58"/>
      <c r="C94" s="14"/>
      <c r="D94" s="15"/>
      <c r="E94" s="15"/>
      <c r="F94" s="15"/>
      <c r="G94" s="422"/>
      <c r="H94" s="17" t="str">
        <f t="shared" si="9"/>
        <v/>
      </c>
      <c r="I94" s="63"/>
      <c r="J94" s="62"/>
      <c r="K94" s="62"/>
      <c r="L94" s="420" t="str">
        <f t="shared" si="12"/>
        <v/>
      </c>
      <c r="M94" s="401" t="str">
        <f t="shared" si="13"/>
        <v/>
      </c>
    </row>
    <row r="95" spans="2:13" s="5" customFormat="1" x14ac:dyDescent="0.25">
      <c r="B95" s="46"/>
      <c r="C95" s="26"/>
      <c r="D95" s="61"/>
      <c r="E95" s="61"/>
      <c r="F95" s="15"/>
      <c r="G95" s="422"/>
      <c r="H95" s="17" t="str">
        <f t="shared" si="9"/>
        <v/>
      </c>
      <c r="I95" s="63"/>
      <c r="J95" s="62"/>
      <c r="K95" s="62"/>
      <c r="L95" s="420" t="str">
        <f t="shared" si="12"/>
        <v/>
      </c>
      <c r="M95" s="401" t="str">
        <f t="shared" si="13"/>
        <v/>
      </c>
    </row>
    <row r="96" spans="2:13" s="5" customFormat="1" x14ac:dyDescent="0.25">
      <c r="B96" s="58"/>
      <c r="C96" s="25"/>
      <c r="D96" s="61"/>
      <c r="E96" s="61"/>
      <c r="F96" s="15"/>
      <c r="G96" s="422"/>
      <c r="H96" s="17" t="str">
        <f t="shared" si="9"/>
        <v/>
      </c>
      <c r="I96" s="63"/>
      <c r="J96" s="62"/>
      <c r="K96" s="62"/>
      <c r="L96" s="420" t="str">
        <f t="shared" si="12"/>
        <v/>
      </c>
      <c r="M96" s="401" t="str">
        <f t="shared" si="13"/>
        <v/>
      </c>
    </row>
    <row r="97" spans="2:13" s="5" customFormat="1" x14ac:dyDescent="0.25">
      <c r="B97" s="58"/>
      <c r="C97" s="14"/>
      <c r="D97" s="15"/>
      <c r="E97" s="15"/>
      <c r="F97" s="61"/>
      <c r="G97" s="422"/>
      <c r="H97" s="17" t="str">
        <f t="shared" si="9"/>
        <v/>
      </c>
      <c r="I97" s="63"/>
      <c r="J97" s="62"/>
      <c r="K97" s="62"/>
      <c r="L97" s="420" t="str">
        <f t="shared" si="12"/>
        <v/>
      </c>
      <c r="M97" s="401" t="str">
        <f t="shared" si="13"/>
        <v/>
      </c>
    </row>
    <row r="98" spans="2:13" s="5" customFormat="1" x14ac:dyDescent="0.25">
      <c r="B98" s="58"/>
      <c r="C98" s="14"/>
      <c r="D98" s="15"/>
      <c r="E98" s="15"/>
      <c r="F98" s="15"/>
      <c r="G98" s="422"/>
      <c r="H98" s="17" t="str">
        <f t="shared" si="9"/>
        <v/>
      </c>
      <c r="I98" s="63"/>
      <c r="J98" s="62"/>
      <c r="K98" s="62"/>
      <c r="L98" s="420" t="str">
        <f t="shared" si="12"/>
        <v/>
      </c>
      <c r="M98" s="401" t="str">
        <f t="shared" si="13"/>
        <v/>
      </c>
    </row>
    <row r="99" spans="2:13" s="5" customFormat="1" x14ac:dyDescent="0.25">
      <c r="B99" s="85"/>
      <c r="C99" s="14"/>
      <c r="D99" s="15"/>
      <c r="E99" s="15"/>
      <c r="F99" s="61"/>
      <c r="G99" s="422"/>
      <c r="H99" s="17" t="str">
        <f t="shared" si="9"/>
        <v/>
      </c>
      <c r="I99" s="63"/>
      <c r="J99" s="62"/>
      <c r="K99" s="62"/>
      <c r="L99" s="420" t="str">
        <f t="shared" si="12"/>
        <v/>
      </c>
      <c r="M99" s="401" t="str">
        <f t="shared" si="13"/>
        <v/>
      </c>
    </row>
    <row r="100" spans="2:13" s="5" customFormat="1" x14ac:dyDescent="0.25">
      <c r="B100" s="58"/>
      <c r="C100" s="25"/>
      <c r="D100" s="61"/>
      <c r="E100" s="61"/>
      <c r="F100" s="61"/>
      <c r="G100" s="422"/>
      <c r="H100" s="17" t="str">
        <f t="shared" si="9"/>
        <v/>
      </c>
      <c r="I100" s="63"/>
      <c r="J100" s="62"/>
      <c r="K100" s="62"/>
      <c r="L100" s="420" t="str">
        <f t="shared" si="12"/>
        <v/>
      </c>
      <c r="M100" s="401" t="str">
        <f t="shared" si="13"/>
        <v/>
      </c>
    </row>
    <row r="101" spans="2:13" s="5" customFormat="1" x14ac:dyDescent="0.25">
      <c r="B101" s="58"/>
      <c r="C101" s="14"/>
      <c r="D101" s="15"/>
      <c r="E101" s="15"/>
      <c r="F101" s="15"/>
      <c r="G101" s="422"/>
      <c r="H101" s="17" t="str">
        <f t="shared" si="9"/>
        <v/>
      </c>
      <c r="I101" s="63"/>
      <c r="J101" s="62"/>
      <c r="K101" s="399"/>
      <c r="L101" s="420" t="str">
        <f t="shared" si="12"/>
        <v/>
      </c>
      <c r="M101" s="401" t="str">
        <f t="shared" si="13"/>
        <v/>
      </c>
    </row>
    <row r="102" spans="2:13" s="5" customFormat="1" x14ac:dyDescent="0.25">
      <c r="B102" s="58"/>
      <c r="C102" s="14"/>
      <c r="D102" s="15"/>
      <c r="E102" s="15"/>
      <c r="F102" s="15"/>
      <c r="G102" s="422"/>
      <c r="H102" s="17" t="str">
        <f t="shared" si="9"/>
        <v/>
      </c>
      <c r="I102" s="63"/>
      <c r="J102" s="62"/>
      <c r="K102" s="62"/>
      <c r="L102" s="420" t="str">
        <f t="shared" si="12"/>
        <v/>
      </c>
      <c r="M102" s="401" t="str">
        <f t="shared" si="13"/>
        <v/>
      </c>
    </row>
    <row r="103" spans="2:13" s="5" customFormat="1" x14ac:dyDescent="0.25">
      <c r="B103" s="85"/>
      <c r="C103" s="14"/>
      <c r="D103" s="15"/>
      <c r="E103" s="15"/>
      <c r="F103" s="15"/>
      <c r="G103" s="411"/>
      <c r="H103" s="17" t="str">
        <f t="shared" si="9"/>
        <v/>
      </c>
      <c r="I103" s="63"/>
      <c r="J103" s="62"/>
      <c r="K103" s="62"/>
      <c r="L103" s="420" t="str">
        <f t="shared" si="12"/>
        <v/>
      </c>
      <c r="M103" s="401" t="str">
        <f t="shared" si="13"/>
        <v/>
      </c>
    </row>
    <row r="104" spans="2:13" s="5" customFormat="1" x14ac:dyDescent="0.25">
      <c r="B104" s="46"/>
      <c r="C104" s="14"/>
      <c r="D104" s="15"/>
      <c r="E104" s="15"/>
      <c r="F104" s="15"/>
      <c r="G104" s="411"/>
      <c r="H104" s="17" t="str">
        <f t="shared" si="9"/>
        <v/>
      </c>
      <c r="I104" s="63"/>
      <c r="J104" s="62"/>
      <c r="K104" s="62"/>
      <c r="L104" s="420" t="str">
        <f t="shared" si="12"/>
        <v/>
      </c>
      <c r="M104" s="401" t="str">
        <f t="shared" si="13"/>
        <v/>
      </c>
    </row>
    <row r="105" spans="2:13" s="5" customFormat="1" x14ac:dyDescent="0.25">
      <c r="B105" s="46"/>
      <c r="C105" s="26"/>
      <c r="D105" s="15"/>
      <c r="E105" s="15"/>
      <c r="F105" s="15"/>
      <c r="G105" s="411"/>
      <c r="H105" s="17" t="str">
        <f t="shared" si="9"/>
        <v/>
      </c>
      <c r="I105" s="63"/>
      <c r="J105" s="62"/>
      <c r="K105" s="62"/>
      <c r="L105" s="420" t="str">
        <f t="shared" si="12"/>
        <v/>
      </c>
      <c r="M105" s="401" t="str">
        <f t="shared" si="13"/>
        <v/>
      </c>
    </row>
    <row r="106" spans="2:13" s="5" customFormat="1" x14ac:dyDescent="0.25">
      <c r="B106" s="46"/>
      <c r="C106" s="14"/>
      <c r="D106" s="15"/>
      <c r="E106" s="15"/>
      <c r="F106" s="15"/>
      <c r="G106" s="411"/>
      <c r="H106" s="17" t="str">
        <f t="shared" si="9"/>
        <v/>
      </c>
      <c r="I106" s="63"/>
      <c r="J106" s="62"/>
      <c r="K106" s="62"/>
      <c r="L106" s="420" t="str">
        <f t="shared" si="12"/>
        <v/>
      </c>
      <c r="M106" s="401" t="str">
        <f t="shared" si="13"/>
        <v/>
      </c>
    </row>
    <row r="107" spans="2:13" s="5" customFormat="1" x14ac:dyDescent="0.25">
      <c r="B107" s="58"/>
      <c r="C107" s="14"/>
      <c r="D107" s="15"/>
      <c r="E107" s="15"/>
      <c r="F107" s="15"/>
      <c r="G107" s="411"/>
      <c r="H107" s="17" t="str">
        <f t="shared" si="9"/>
        <v/>
      </c>
      <c r="I107" s="63"/>
      <c r="J107" s="62"/>
      <c r="K107" s="62"/>
      <c r="L107" s="420" t="str">
        <f t="shared" si="12"/>
        <v/>
      </c>
      <c r="M107" s="401" t="str">
        <f t="shared" si="13"/>
        <v/>
      </c>
    </row>
    <row r="108" spans="2:13" s="5" customFormat="1" x14ac:dyDescent="0.25">
      <c r="B108" s="58"/>
      <c r="C108" s="14"/>
      <c r="D108" s="15"/>
      <c r="E108" s="15"/>
      <c r="F108" s="15"/>
      <c r="G108" s="411"/>
      <c r="H108" s="17" t="str">
        <f t="shared" si="9"/>
        <v/>
      </c>
      <c r="I108" s="63"/>
      <c r="J108" s="62"/>
      <c r="K108" s="62"/>
      <c r="L108" s="420" t="str">
        <f t="shared" si="12"/>
        <v/>
      </c>
      <c r="M108" s="401" t="str">
        <f t="shared" si="13"/>
        <v/>
      </c>
    </row>
    <row r="109" spans="2:13" s="5" customFormat="1" x14ac:dyDescent="0.25">
      <c r="B109" s="85"/>
      <c r="C109" s="14"/>
      <c r="D109" s="15"/>
      <c r="E109" s="15"/>
      <c r="F109" s="24"/>
      <c r="G109" s="703"/>
      <c r="H109" s="17" t="str">
        <f t="shared" si="9"/>
        <v/>
      </c>
      <c r="I109" s="63"/>
      <c r="J109" s="62"/>
      <c r="K109" s="62"/>
      <c r="L109" s="420" t="str">
        <f t="shared" si="12"/>
        <v/>
      </c>
      <c r="M109" s="401" t="str">
        <f t="shared" si="13"/>
        <v/>
      </c>
    </row>
    <row r="110" spans="2:13" s="5" customFormat="1" x14ac:dyDescent="0.25">
      <c r="B110" s="58"/>
      <c r="C110" s="14"/>
      <c r="D110" s="15"/>
      <c r="E110" s="15"/>
      <c r="F110" s="24"/>
      <c r="G110" s="411"/>
      <c r="H110" s="17" t="str">
        <f t="shared" si="9"/>
        <v/>
      </c>
      <c r="I110" s="63"/>
      <c r="J110" s="62"/>
      <c r="K110" s="62"/>
      <c r="L110" s="420" t="str">
        <f t="shared" si="12"/>
        <v/>
      </c>
      <c r="M110" s="401" t="str">
        <f t="shared" si="13"/>
        <v/>
      </c>
    </row>
    <row r="111" spans="2:13" s="5" customFormat="1" x14ac:dyDescent="0.25">
      <c r="B111" s="58"/>
      <c r="C111" s="14"/>
      <c r="D111" s="15"/>
      <c r="E111" s="15"/>
      <c r="F111" s="24"/>
      <c r="G111" s="423"/>
      <c r="H111" s="17" t="str">
        <f t="shared" si="9"/>
        <v/>
      </c>
      <c r="I111" s="63"/>
      <c r="J111" s="62"/>
      <c r="K111" s="62"/>
      <c r="L111" s="420" t="str">
        <f t="shared" si="12"/>
        <v/>
      </c>
      <c r="M111" s="401" t="str">
        <f t="shared" si="13"/>
        <v/>
      </c>
    </row>
    <row r="112" spans="2:13" s="5" customFormat="1" x14ac:dyDescent="0.25">
      <c r="B112" s="58"/>
      <c r="C112" s="14"/>
      <c r="D112" s="15"/>
      <c r="E112" s="15"/>
      <c r="F112" s="24"/>
      <c r="G112" s="411"/>
      <c r="H112" s="17" t="str">
        <f t="shared" si="9"/>
        <v/>
      </c>
      <c r="I112" s="63"/>
      <c r="J112" s="62"/>
      <c r="K112" s="62"/>
      <c r="L112" s="420" t="str">
        <f t="shared" si="12"/>
        <v/>
      </c>
      <c r="M112" s="401" t="str">
        <f t="shared" si="13"/>
        <v/>
      </c>
    </row>
    <row r="113" spans="2:13" s="5" customFormat="1" x14ac:dyDescent="0.25">
      <c r="B113" s="85"/>
      <c r="C113" s="26"/>
      <c r="D113" s="15"/>
      <c r="E113" s="15"/>
      <c r="F113" s="24"/>
      <c r="G113" s="421"/>
      <c r="H113" s="17" t="str">
        <f t="shared" si="9"/>
        <v/>
      </c>
      <c r="I113" s="63"/>
      <c r="J113" s="62"/>
      <c r="K113" s="62"/>
      <c r="L113" s="420" t="str">
        <f t="shared" si="12"/>
        <v/>
      </c>
      <c r="M113" s="401" t="str">
        <f t="shared" si="13"/>
        <v/>
      </c>
    </row>
    <row r="114" spans="2:13" s="5" customFormat="1" x14ac:dyDescent="0.25">
      <c r="B114" s="46"/>
      <c r="C114" s="14"/>
      <c r="D114" s="15"/>
      <c r="E114" s="15"/>
      <c r="F114" s="24"/>
      <c r="G114" s="421"/>
      <c r="H114" s="17" t="str">
        <f t="shared" si="9"/>
        <v/>
      </c>
      <c r="I114" s="63"/>
      <c r="J114" s="62"/>
      <c r="K114" s="62"/>
      <c r="L114" s="420" t="str">
        <f t="shared" si="12"/>
        <v/>
      </c>
      <c r="M114" s="401" t="str">
        <f t="shared" si="13"/>
        <v/>
      </c>
    </row>
    <row r="115" spans="2:13" s="5" customFormat="1" x14ac:dyDescent="0.25">
      <c r="B115" s="46"/>
      <c r="C115" s="26"/>
      <c r="D115" s="15"/>
      <c r="E115" s="15"/>
      <c r="F115" s="24"/>
      <c r="G115" s="422"/>
      <c r="H115" s="17" t="str">
        <f t="shared" si="9"/>
        <v/>
      </c>
      <c r="I115" s="63"/>
      <c r="J115" s="138"/>
      <c r="K115" s="138"/>
      <c r="L115" s="420" t="str">
        <f t="shared" si="12"/>
        <v/>
      </c>
      <c r="M115" s="401" t="str">
        <f t="shared" si="13"/>
        <v/>
      </c>
    </row>
    <row r="116" spans="2:13" s="5" customFormat="1" x14ac:dyDescent="0.25">
      <c r="B116" s="46"/>
      <c r="C116" s="26"/>
      <c r="D116" s="15"/>
      <c r="E116" s="15"/>
      <c r="F116" s="24"/>
      <c r="G116" s="422"/>
      <c r="H116" s="17" t="str">
        <f t="shared" si="9"/>
        <v/>
      </c>
      <c r="I116" s="63"/>
      <c r="J116" s="138"/>
      <c r="K116" s="138"/>
      <c r="L116" s="420" t="str">
        <f t="shared" si="12"/>
        <v/>
      </c>
      <c r="M116" s="401" t="str">
        <f t="shared" si="13"/>
        <v/>
      </c>
    </row>
    <row r="117" spans="2:13" s="5" customFormat="1" x14ac:dyDescent="0.25">
      <c r="B117" s="46"/>
      <c r="C117" s="26"/>
      <c r="D117" s="15"/>
      <c r="E117" s="15"/>
      <c r="F117" s="24"/>
      <c r="G117" s="422"/>
      <c r="H117" s="17" t="str">
        <f t="shared" si="9"/>
        <v/>
      </c>
      <c r="I117" s="63"/>
      <c r="J117" s="138"/>
      <c r="K117" s="138"/>
      <c r="L117" s="420" t="str">
        <f t="shared" si="12"/>
        <v/>
      </c>
      <c r="M117" s="401" t="str">
        <f t="shared" si="13"/>
        <v/>
      </c>
    </row>
    <row r="118" spans="2:13" s="5" customFormat="1" x14ac:dyDescent="0.25">
      <c r="B118" s="46"/>
      <c r="C118" s="134"/>
      <c r="D118" s="15"/>
      <c r="E118" s="15"/>
      <c r="F118" s="24"/>
      <c r="G118" s="422"/>
      <c r="H118" s="17" t="str">
        <f t="shared" si="9"/>
        <v/>
      </c>
      <c r="I118" s="63"/>
      <c r="J118" s="138"/>
      <c r="K118" s="138"/>
      <c r="L118" s="420" t="str">
        <f t="shared" si="12"/>
        <v/>
      </c>
      <c r="M118" s="401" t="str">
        <f t="shared" si="13"/>
        <v/>
      </c>
    </row>
    <row r="119" spans="2:13" s="5" customFormat="1" x14ac:dyDescent="0.25">
      <c r="B119" s="58"/>
      <c r="C119" s="14"/>
      <c r="D119" s="15"/>
      <c r="E119" s="15"/>
      <c r="F119" s="24"/>
      <c r="G119" s="421"/>
      <c r="H119" s="17" t="str">
        <f t="shared" si="9"/>
        <v/>
      </c>
      <c r="I119" s="63"/>
      <c r="J119" s="138"/>
      <c r="K119" s="138"/>
      <c r="L119" s="420" t="str">
        <f t="shared" si="12"/>
        <v/>
      </c>
      <c r="M119" s="401" t="str">
        <f t="shared" si="13"/>
        <v/>
      </c>
    </row>
    <row r="120" spans="2:13" s="5" customFormat="1" x14ac:dyDescent="0.25">
      <c r="B120" s="58"/>
      <c r="C120" s="14"/>
      <c r="D120" s="15"/>
      <c r="E120" s="15"/>
      <c r="F120" s="24"/>
      <c r="G120" s="421"/>
      <c r="H120" s="17" t="str">
        <f t="shared" si="9"/>
        <v/>
      </c>
      <c r="I120" s="63"/>
      <c r="J120" s="62"/>
      <c r="K120" s="62"/>
      <c r="L120" s="420" t="str">
        <f t="shared" si="12"/>
        <v/>
      </c>
      <c r="M120" s="401" t="str">
        <f t="shared" si="13"/>
        <v/>
      </c>
    </row>
    <row r="121" spans="2:13" s="5" customFormat="1" x14ac:dyDescent="0.25">
      <c r="B121" s="58"/>
      <c r="C121" s="14"/>
      <c r="D121" s="15"/>
      <c r="E121" s="15"/>
      <c r="F121" s="24"/>
      <c r="G121" s="421"/>
      <c r="H121" s="17" t="str">
        <f t="shared" si="9"/>
        <v/>
      </c>
      <c r="I121" s="63"/>
      <c r="J121" s="711"/>
      <c r="K121" s="711"/>
      <c r="L121" s="420" t="str">
        <f t="shared" si="12"/>
        <v/>
      </c>
      <c r="M121" s="401" t="str">
        <f t="shared" si="13"/>
        <v/>
      </c>
    </row>
    <row r="122" spans="2:13" s="28" customFormat="1" ht="19.5" customHeight="1" x14ac:dyDescent="0.25">
      <c r="B122" s="135" t="str">
        <f>$B$12</f>
        <v>C11.6</v>
      </c>
      <c r="C122" s="30" t="str">
        <f>"TOTAL CARRIED FORWARD"&amp;IF(H122=H$1," TO SUMMARY","")</f>
        <v>TOTAL CARRIED FORWARD TO SUMMARY</v>
      </c>
      <c r="D122" s="31"/>
      <c r="E122" s="31"/>
      <c r="F122" s="32"/>
      <c r="G122" s="31"/>
      <c r="H122" s="33">
        <f>SUM(H77:H121)</f>
        <v>105600</v>
      </c>
      <c r="I122" s="34"/>
      <c r="J122" s="408"/>
      <c r="K122" s="406"/>
      <c r="L122" s="418">
        <f>SUM(L77:L121)</f>
        <v>11755.8</v>
      </c>
      <c r="M122" s="407" t="str">
        <f t="shared" si="11"/>
        <v/>
      </c>
    </row>
    <row r="123" spans="2:13" ht="13" x14ac:dyDescent="0.25">
      <c r="B123" s="1108" t="str">
        <f>Client1</f>
        <v>Province of KwaZulu-Natal</v>
      </c>
      <c r="C123" s="1108"/>
      <c r="D123" s="1108"/>
      <c r="E123" s="87"/>
      <c r="F123" s="1109" t="str">
        <f>"Contract No. "&amp;ContractNo</f>
        <v>Contract No. ZNB 00399/00000/HOD/INF/21/T</v>
      </c>
      <c r="G123" s="1109"/>
      <c r="H123" s="1109"/>
    </row>
    <row r="124" spans="2:13" ht="13" x14ac:dyDescent="0.25">
      <c r="B124" s="1108" t="str">
        <f>Client2</f>
        <v>Department of Transport</v>
      </c>
      <c r="C124" s="1108"/>
      <c r="D124" s="1108"/>
      <c r="E124" s="87"/>
      <c r="F124" s="1109"/>
      <c r="G124" s="1109"/>
      <c r="H124" s="1109"/>
    </row>
    <row r="125" spans="2:13" x14ac:dyDescent="0.25">
      <c r="B125" s="1111"/>
      <c r="C125" s="1111"/>
      <c r="D125" s="1111"/>
      <c r="E125" s="78"/>
      <c r="F125" s="1110"/>
      <c r="G125" s="1110"/>
      <c r="H125" s="1110"/>
    </row>
    <row r="126" spans="2:13" ht="13" x14ac:dyDescent="0.25">
      <c r="B126" s="1112" t="s">
        <v>8</v>
      </c>
      <c r="C126" s="1113"/>
      <c r="D126" s="1113"/>
      <c r="E126" s="1113"/>
      <c r="F126" s="1113"/>
      <c r="G126" s="1113"/>
      <c r="H126" s="1114" t="str">
        <f>$H$6</f>
        <v>CHAPTER C11.6</v>
      </c>
      <c r="I126" s="6"/>
    </row>
    <row r="127" spans="2:13" ht="13" x14ac:dyDescent="0.25">
      <c r="B127" s="1117" t="str">
        <f>ContractDescription</f>
        <v>THE CONSTRUCTION OF EARTHWORKS, LAYERWORKS, SURFACING, CULVERTS AND CWAKA RIVER BRIDGE FROM KM 11.600 TO KM 14.000 ON MAIN ROAD P494 IN THE KING CETSHWAYO DISTRICT UNDER EMPANGENI REGION</v>
      </c>
      <c r="C127" s="1118"/>
      <c r="D127" s="1118"/>
      <c r="E127" s="1118"/>
      <c r="F127" s="1118"/>
      <c r="G127" s="1118"/>
      <c r="H127" s="1115"/>
      <c r="I127" s="8"/>
    </row>
    <row r="128" spans="2:13" ht="13" x14ac:dyDescent="0.25">
      <c r="B128" s="1117"/>
      <c r="C128" s="1118"/>
      <c r="D128" s="1118"/>
      <c r="E128" s="1118"/>
      <c r="F128" s="1118"/>
      <c r="G128" s="1118"/>
      <c r="H128" s="1115"/>
      <c r="I128" s="8"/>
    </row>
    <row r="129" spans="2:13" ht="13" x14ac:dyDescent="0.25">
      <c r="B129" s="1119"/>
      <c r="C129" s="1120"/>
      <c r="D129" s="1120"/>
      <c r="E129" s="1120"/>
      <c r="F129" s="1120"/>
      <c r="G129" s="1120"/>
      <c r="H129" s="1116"/>
      <c r="I129" s="8"/>
    </row>
    <row r="130" spans="2:13" s="9" customFormat="1" ht="25" customHeight="1" x14ac:dyDescent="0.25">
      <c r="B130" s="74" t="s">
        <v>0</v>
      </c>
      <c r="C130" s="11" t="s">
        <v>1</v>
      </c>
      <c r="D130" s="11" t="s">
        <v>2</v>
      </c>
      <c r="E130" s="11"/>
      <c r="F130" s="11" t="s">
        <v>3</v>
      </c>
      <c r="G130" s="11" t="s">
        <v>4</v>
      </c>
      <c r="H130" s="11" t="s">
        <v>5</v>
      </c>
      <c r="I130" s="12"/>
      <c r="J130" s="408" t="s">
        <v>996</v>
      </c>
      <c r="K130" s="253" t="s">
        <v>997</v>
      </c>
      <c r="L130" s="253" t="s">
        <v>998</v>
      </c>
      <c r="M130" s="253" t="s">
        <v>999</v>
      </c>
    </row>
    <row r="131" spans="2:13" s="28" customFormat="1" ht="19.5" customHeight="1" x14ac:dyDescent="0.25">
      <c r="B131" s="80"/>
      <c r="C131" s="30" t="s">
        <v>27</v>
      </c>
      <c r="D131" s="31"/>
      <c r="E131" s="31"/>
      <c r="F131" s="32"/>
      <c r="G131" s="31"/>
      <c r="H131" s="33">
        <f>H122</f>
        <v>105600</v>
      </c>
      <c r="I131" s="34"/>
      <c r="J131" s="416"/>
      <c r="K131" s="409"/>
      <c r="L131" s="419">
        <f>L122</f>
        <v>11755.8</v>
      </c>
      <c r="M131" s="410" t="str">
        <f>IF(F131="","",IF(SUM(I131)=0,"",L131/I131))</f>
        <v/>
      </c>
    </row>
    <row r="132" spans="2:13" s="5" customFormat="1" x14ac:dyDescent="0.25">
      <c r="B132" s="58"/>
      <c r="C132" s="14"/>
      <c r="D132" s="15"/>
      <c r="E132" s="15"/>
      <c r="F132" s="24"/>
      <c r="G132" s="421"/>
      <c r="H132" s="17" t="str">
        <f t="shared" ref="H132:H133" si="14">IF(D132="","",F132*G132)</f>
        <v/>
      </c>
      <c r="I132" s="63"/>
      <c r="J132" s="61"/>
      <c r="K132" s="399"/>
      <c r="L132" s="420" t="str">
        <f t="shared" ref="L132" si="15">IF(J132="","",F132*K132)</f>
        <v/>
      </c>
      <c r="M132" s="401" t="str">
        <f t="shared" ref="M132:M189" si="16">IF(J132="","",IF(SUM(H132)=0,"",L132/H132))</f>
        <v/>
      </c>
    </row>
    <row r="133" spans="2:13" s="5" customFormat="1" x14ac:dyDescent="0.25">
      <c r="B133" s="46"/>
      <c r="C133" s="14"/>
      <c r="D133" s="15"/>
      <c r="E133" s="15"/>
      <c r="F133" s="24"/>
      <c r="G133" s="423"/>
      <c r="H133" s="17" t="str">
        <f t="shared" si="14"/>
        <v/>
      </c>
      <c r="I133" s="63"/>
      <c r="J133" s="61"/>
      <c r="K133" s="399"/>
      <c r="L133" s="420" t="str">
        <f t="shared" ref="L133:L188" si="17">IF(J133="","",F133*K133)</f>
        <v/>
      </c>
      <c r="M133" s="401" t="str">
        <f t="shared" ref="M133:M188" si="18">IF(J133="","",IF(SUM(H133)=0,"",L133/H133))</f>
        <v/>
      </c>
    </row>
    <row r="134" spans="2:13" s="5" customFormat="1" x14ac:dyDescent="0.25">
      <c r="B134" s="58"/>
      <c r="C134" s="14"/>
      <c r="D134" s="15"/>
      <c r="E134" s="15"/>
      <c r="F134" s="24"/>
      <c r="G134" s="421"/>
      <c r="H134" s="17" t="str">
        <f>IF(D134="","",F134*G134)</f>
        <v/>
      </c>
      <c r="I134" s="63"/>
      <c r="J134" s="61"/>
      <c r="K134" s="399"/>
      <c r="L134" s="420" t="str">
        <f t="shared" si="17"/>
        <v/>
      </c>
      <c r="M134" s="401" t="str">
        <f t="shared" si="18"/>
        <v/>
      </c>
    </row>
    <row r="135" spans="2:13" s="5" customFormat="1" x14ac:dyDescent="0.25">
      <c r="B135" s="58"/>
      <c r="C135" s="14"/>
      <c r="D135" s="15"/>
      <c r="E135" s="15"/>
      <c r="F135" s="24"/>
      <c r="G135" s="421"/>
      <c r="H135" s="17" t="str">
        <f t="shared" ref="H135:H188" si="19">IF(D135="","",F135*G135)</f>
        <v/>
      </c>
      <c r="I135" s="63"/>
      <c r="J135" s="61"/>
      <c r="K135" s="399"/>
      <c r="L135" s="420" t="str">
        <f t="shared" si="17"/>
        <v/>
      </c>
      <c r="M135" s="401" t="str">
        <f t="shared" si="18"/>
        <v/>
      </c>
    </row>
    <row r="136" spans="2:13" s="5" customFormat="1" x14ac:dyDescent="0.25">
      <c r="B136" s="46"/>
      <c r="C136" s="14"/>
      <c r="D136" s="15"/>
      <c r="E136" s="15"/>
      <c r="F136" s="24"/>
      <c r="G136" s="411"/>
      <c r="H136" s="17" t="str">
        <f t="shared" si="19"/>
        <v/>
      </c>
      <c r="I136" s="63"/>
      <c r="J136" s="61"/>
      <c r="K136" s="400"/>
      <c r="L136" s="420" t="str">
        <f t="shared" si="17"/>
        <v/>
      </c>
      <c r="M136" s="401" t="str">
        <f t="shared" si="18"/>
        <v/>
      </c>
    </row>
    <row r="137" spans="2:13" s="5" customFormat="1" x14ac:dyDescent="0.25">
      <c r="B137" s="58"/>
      <c r="C137" s="14"/>
      <c r="D137" s="15"/>
      <c r="E137" s="15"/>
      <c r="F137" s="24"/>
      <c r="G137" s="411"/>
      <c r="H137" s="17" t="str">
        <f t="shared" si="19"/>
        <v/>
      </c>
      <c r="I137" s="63"/>
      <c r="J137" s="61"/>
      <c r="K137" s="399"/>
      <c r="L137" s="420" t="str">
        <f t="shared" si="17"/>
        <v/>
      </c>
      <c r="M137" s="401" t="str">
        <f t="shared" si="18"/>
        <v/>
      </c>
    </row>
    <row r="138" spans="2:13" s="5" customFormat="1" x14ac:dyDescent="0.25">
      <c r="B138" s="46"/>
      <c r="C138" s="14"/>
      <c r="D138" s="15"/>
      <c r="E138" s="15"/>
      <c r="F138" s="24"/>
      <c r="G138" s="422"/>
      <c r="H138" s="17" t="str">
        <f t="shared" si="19"/>
        <v/>
      </c>
      <c r="I138" s="63"/>
      <c r="J138" s="61"/>
      <c r="K138" s="399"/>
      <c r="L138" s="420" t="str">
        <f t="shared" si="17"/>
        <v/>
      </c>
      <c r="M138" s="401" t="str">
        <f t="shared" si="18"/>
        <v/>
      </c>
    </row>
    <row r="139" spans="2:13" s="5" customFormat="1" x14ac:dyDescent="0.25">
      <c r="B139" s="58"/>
      <c r="C139" s="14"/>
      <c r="D139" s="15"/>
      <c r="E139" s="15"/>
      <c r="F139" s="24"/>
      <c r="G139" s="422"/>
      <c r="H139" s="17" t="str">
        <f t="shared" si="19"/>
        <v/>
      </c>
      <c r="I139" s="63"/>
      <c r="J139" s="61"/>
      <c r="K139" s="399"/>
      <c r="L139" s="420" t="str">
        <f t="shared" si="17"/>
        <v/>
      </c>
      <c r="M139" s="401" t="str">
        <f t="shared" si="18"/>
        <v/>
      </c>
    </row>
    <row r="140" spans="2:13" s="5" customFormat="1" x14ac:dyDescent="0.25">
      <c r="B140" s="46"/>
      <c r="C140" s="14"/>
      <c r="D140" s="15"/>
      <c r="E140" s="15"/>
      <c r="F140" s="24"/>
      <c r="G140" s="423"/>
      <c r="H140" s="17" t="str">
        <f t="shared" si="19"/>
        <v/>
      </c>
      <c r="I140" s="63"/>
      <c r="J140" s="61"/>
      <c r="K140" s="402"/>
      <c r="L140" s="420" t="str">
        <f t="shared" si="17"/>
        <v/>
      </c>
      <c r="M140" s="401" t="str">
        <f t="shared" si="18"/>
        <v/>
      </c>
    </row>
    <row r="141" spans="2:13" s="5" customFormat="1" x14ac:dyDescent="0.25">
      <c r="B141" s="58"/>
      <c r="C141" s="14"/>
      <c r="D141" s="15"/>
      <c r="E141" s="15"/>
      <c r="F141" s="24"/>
      <c r="G141" s="411"/>
      <c r="H141" s="17" t="str">
        <f t="shared" si="19"/>
        <v/>
      </c>
      <c r="I141" s="63"/>
      <c r="J141" s="61"/>
      <c r="K141" s="402"/>
      <c r="L141" s="420" t="str">
        <f t="shared" si="17"/>
        <v/>
      </c>
      <c r="M141" s="401" t="str">
        <f t="shared" si="18"/>
        <v/>
      </c>
    </row>
    <row r="142" spans="2:13" s="5" customFormat="1" x14ac:dyDescent="0.25">
      <c r="B142" s="46"/>
      <c r="C142" s="14"/>
      <c r="D142" s="15"/>
      <c r="E142" s="15"/>
      <c r="F142" s="24"/>
      <c r="G142" s="411"/>
      <c r="H142" s="17" t="str">
        <f t="shared" si="19"/>
        <v/>
      </c>
      <c r="I142" s="63"/>
      <c r="J142" s="61"/>
      <c r="K142" s="402"/>
      <c r="L142" s="420" t="str">
        <f t="shared" si="17"/>
        <v/>
      </c>
      <c r="M142" s="401" t="str">
        <f t="shared" si="18"/>
        <v/>
      </c>
    </row>
    <row r="143" spans="2:13" s="5" customFormat="1" x14ac:dyDescent="0.25">
      <c r="B143" s="58"/>
      <c r="C143" s="14"/>
      <c r="D143" s="15"/>
      <c r="E143" s="15"/>
      <c r="F143" s="24"/>
      <c r="G143" s="411"/>
      <c r="H143" s="17" t="str">
        <f t="shared" si="19"/>
        <v/>
      </c>
      <c r="I143" s="63"/>
      <c r="J143" s="61"/>
      <c r="K143" s="402"/>
      <c r="L143" s="420" t="str">
        <f t="shared" si="17"/>
        <v/>
      </c>
      <c r="M143" s="401" t="str">
        <f t="shared" si="18"/>
        <v/>
      </c>
    </row>
    <row r="144" spans="2:13" s="5" customFormat="1" x14ac:dyDescent="0.25">
      <c r="B144" s="46"/>
      <c r="C144" s="14"/>
      <c r="D144" s="15"/>
      <c r="E144" s="15"/>
      <c r="F144" s="24"/>
      <c r="G144" s="422"/>
      <c r="H144" s="17" t="str">
        <f t="shared" si="19"/>
        <v/>
      </c>
      <c r="I144" s="63"/>
      <c r="J144" s="61"/>
      <c r="K144" s="402"/>
      <c r="L144" s="420" t="str">
        <f t="shared" si="17"/>
        <v/>
      </c>
      <c r="M144" s="401" t="str">
        <f t="shared" si="18"/>
        <v/>
      </c>
    </row>
    <row r="145" spans="2:13" s="5" customFormat="1" x14ac:dyDescent="0.25">
      <c r="B145" s="58"/>
      <c r="C145" s="14"/>
      <c r="D145" s="15"/>
      <c r="E145" s="15"/>
      <c r="F145" s="24"/>
      <c r="G145" s="411"/>
      <c r="H145" s="17" t="str">
        <f t="shared" si="19"/>
        <v/>
      </c>
      <c r="I145" s="63"/>
      <c r="J145" s="61"/>
      <c r="K145" s="402"/>
      <c r="L145" s="420" t="str">
        <f t="shared" si="17"/>
        <v/>
      </c>
      <c r="M145" s="401" t="str">
        <f t="shared" si="18"/>
        <v/>
      </c>
    </row>
    <row r="146" spans="2:13" s="5" customFormat="1" x14ac:dyDescent="0.25">
      <c r="B146" s="46"/>
      <c r="C146" s="14"/>
      <c r="D146" s="15"/>
      <c r="E146" s="15"/>
      <c r="F146" s="24"/>
      <c r="G146" s="423"/>
      <c r="H146" s="17" t="str">
        <f t="shared" si="19"/>
        <v/>
      </c>
      <c r="I146" s="63"/>
      <c r="J146" s="62"/>
      <c r="K146" s="62"/>
      <c r="L146" s="420" t="str">
        <f t="shared" si="17"/>
        <v/>
      </c>
      <c r="M146" s="401" t="str">
        <f t="shared" si="18"/>
        <v/>
      </c>
    </row>
    <row r="147" spans="2:13" s="5" customFormat="1" x14ac:dyDescent="0.25">
      <c r="B147" s="58"/>
      <c r="C147" s="14"/>
      <c r="D147" s="15"/>
      <c r="E147" s="15"/>
      <c r="F147" s="15"/>
      <c r="G147" s="411"/>
      <c r="H147" s="17" t="str">
        <f t="shared" si="19"/>
        <v/>
      </c>
      <c r="I147" s="63"/>
      <c r="J147" s="62"/>
      <c r="K147" s="62"/>
      <c r="L147" s="420" t="str">
        <f t="shared" si="17"/>
        <v/>
      </c>
      <c r="M147" s="401" t="str">
        <f t="shared" si="18"/>
        <v/>
      </c>
    </row>
    <row r="148" spans="2:13" s="5" customFormat="1" x14ac:dyDescent="0.25">
      <c r="B148" s="46"/>
      <c r="C148" s="14"/>
      <c r="D148" s="15"/>
      <c r="E148" s="15"/>
      <c r="F148" s="15"/>
      <c r="G148" s="422"/>
      <c r="H148" s="17" t="str">
        <f t="shared" si="19"/>
        <v/>
      </c>
      <c r="I148" s="63"/>
      <c r="J148" s="62"/>
      <c r="K148" s="62"/>
      <c r="L148" s="420" t="str">
        <f t="shared" si="17"/>
        <v/>
      </c>
      <c r="M148" s="401" t="str">
        <f t="shared" si="18"/>
        <v/>
      </c>
    </row>
    <row r="149" spans="2:13" s="5" customFormat="1" x14ac:dyDescent="0.25">
      <c r="B149" s="58"/>
      <c r="C149" s="14"/>
      <c r="D149" s="15"/>
      <c r="E149" s="15"/>
      <c r="F149" s="15"/>
      <c r="G149" s="422"/>
      <c r="H149" s="17" t="str">
        <f t="shared" si="19"/>
        <v/>
      </c>
      <c r="I149" s="63"/>
      <c r="J149" s="62"/>
      <c r="K149" s="62"/>
      <c r="L149" s="420" t="str">
        <f t="shared" si="17"/>
        <v/>
      </c>
      <c r="M149" s="401" t="str">
        <f t="shared" si="18"/>
        <v/>
      </c>
    </row>
    <row r="150" spans="2:13" s="5" customFormat="1" x14ac:dyDescent="0.25">
      <c r="B150" s="46"/>
      <c r="C150" s="14"/>
      <c r="D150" s="15"/>
      <c r="E150" s="15"/>
      <c r="F150" s="15"/>
      <c r="G150" s="422"/>
      <c r="H150" s="17" t="str">
        <f t="shared" si="19"/>
        <v/>
      </c>
      <c r="I150" s="63"/>
      <c r="J150" s="62"/>
      <c r="K150" s="62"/>
      <c r="L150" s="420" t="str">
        <f t="shared" si="17"/>
        <v/>
      </c>
      <c r="M150" s="401" t="str">
        <f t="shared" si="18"/>
        <v/>
      </c>
    </row>
    <row r="151" spans="2:13" s="5" customFormat="1" x14ac:dyDescent="0.25">
      <c r="B151" s="58"/>
      <c r="C151" s="14"/>
      <c r="D151" s="15"/>
      <c r="E151" s="15"/>
      <c r="F151" s="15"/>
      <c r="G151" s="422"/>
      <c r="H151" s="17" t="str">
        <f t="shared" si="19"/>
        <v/>
      </c>
      <c r="I151" s="63"/>
      <c r="J151" s="62"/>
      <c r="K151" s="62"/>
      <c r="L151" s="420" t="str">
        <f t="shared" si="17"/>
        <v/>
      </c>
      <c r="M151" s="401" t="str">
        <f t="shared" si="18"/>
        <v/>
      </c>
    </row>
    <row r="152" spans="2:13" s="5" customFormat="1" x14ac:dyDescent="0.25">
      <c r="B152" s="46"/>
      <c r="C152" s="14"/>
      <c r="D152" s="15"/>
      <c r="E152" s="15"/>
      <c r="F152" s="15"/>
      <c r="G152" s="424"/>
      <c r="H152" s="17" t="str">
        <f t="shared" si="19"/>
        <v/>
      </c>
      <c r="I152" s="63"/>
      <c r="J152" s="62"/>
      <c r="K152" s="62"/>
      <c r="L152" s="420" t="str">
        <f t="shared" si="17"/>
        <v/>
      </c>
      <c r="M152" s="401" t="str">
        <f t="shared" si="18"/>
        <v/>
      </c>
    </row>
    <row r="153" spans="2:13" s="5" customFormat="1" x14ac:dyDescent="0.25">
      <c r="B153" s="58"/>
      <c r="C153" s="14"/>
      <c r="D153" s="15"/>
      <c r="E153" s="15"/>
      <c r="F153" s="15"/>
      <c r="G153" s="422"/>
      <c r="H153" s="17" t="str">
        <f t="shared" si="19"/>
        <v/>
      </c>
      <c r="I153" s="63"/>
      <c r="J153" s="62"/>
      <c r="K153" s="62"/>
      <c r="L153" s="420" t="str">
        <f t="shared" si="17"/>
        <v/>
      </c>
      <c r="M153" s="401" t="str">
        <f t="shared" si="18"/>
        <v/>
      </c>
    </row>
    <row r="154" spans="2:13" s="5" customFormat="1" x14ac:dyDescent="0.25">
      <c r="B154" s="395"/>
      <c r="C154" s="238"/>
      <c r="D154" s="15"/>
      <c r="E154" s="15"/>
      <c r="F154" s="15"/>
      <c r="G154" s="422"/>
      <c r="H154" s="17" t="str">
        <f t="shared" si="19"/>
        <v/>
      </c>
      <c r="I154" s="63"/>
      <c r="J154" s="62"/>
      <c r="K154" s="402"/>
      <c r="L154" s="420" t="str">
        <f t="shared" si="17"/>
        <v/>
      </c>
      <c r="M154" s="401" t="str">
        <f t="shared" si="18"/>
        <v/>
      </c>
    </row>
    <row r="155" spans="2:13" s="5" customFormat="1" x14ac:dyDescent="0.25">
      <c r="B155" s="58"/>
      <c r="C155" s="14"/>
      <c r="D155" s="15"/>
      <c r="E155" s="15"/>
      <c r="F155" s="15"/>
      <c r="G155" s="422"/>
      <c r="H155" s="17" t="str">
        <f t="shared" si="19"/>
        <v/>
      </c>
      <c r="I155" s="63"/>
      <c r="J155" s="62"/>
      <c r="K155" s="62"/>
      <c r="L155" s="420" t="str">
        <f t="shared" si="17"/>
        <v/>
      </c>
      <c r="M155" s="401" t="str">
        <f t="shared" si="18"/>
        <v/>
      </c>
    </row>
    <row r="156" spans="2:13" s="5" customFormat="1" x14ac:dyDescent="0.25">
      <c r="B156" s="395"/>
      <c r="C156" s="238"/>
      <c r="D156" s="15"/>
      <c r="E156" s="15"/>
      <c r="F156" s="15"/>
      <c r="G156" s="422"/>
      <c r="H156" s="17" t="str">
        <f t="shared" si="19"/>
        <v/>
      </c>
      <c r="I156" s="63"/>
      <c r="J156" s="62"/>
      <c r="K156" s="62"/>
      <c r="L156" s="420" t="str">
        <f t="shared" si="17"/>
        <v/>
      </c>
      <c r="M156" s="401" t="str">
        <f t="shared" si="18"/>
        <v/>
      </c>
    </row>
    <row r="157" spans="2:13" s="5" customFormat="1" x14ac:dyDescent="0.25">
      <c r="B157" s="58"/>
      <c r="C157" s="14"/>
      <c r="D157" s="15"/>
      <c r="E157" s="15"/>
      <c r="F157" s="15"/>
      <c r="G157" s="422"/>
      <c r="H157" s="17" t="str">
        <f t="shared" si="19"/>
        <v/>
      </c>
      <c r="I157" s="63"/>
      <c r="J157" s="62"/>
      <c r="K157" s="62"/>
      <c r="L157" s="420" t="str">
        <f t="shared" si="17"/>
        <v/>
      </c>
      <c r="M157" s="401" t="str">
        <f t="shared" si="18"/>
        <v/>
      </c>
    </row>
    <row r="158" spans="2:13" s="5" customFormat="1" x14ac:dyDescent="0.25">
      <c r="B158" s="46"/>
      <c r="C158" s="14"/>
      <c r="D158" s="15"/>
      <c r="E158" s="15"/>
      <c r="F158" s="15"/>
      <c r="G158" s="422"/>
      <c r="H158" s="17" t="str">
        <f t="shared" si="19"/>
        <v/>
      </c>
      <c r="I158" s="63"/>
      <c r="J158" s="62"/>
      <c r="K158" s="62"/>
      <c r="L158" s="420" t="str">
        <f t="shared" si="17"/>
        <v/>
      </c>
      <c r="M158" s="401" t="str">
        <f t="shared" si="18"/>
        <v/>
      </c>
    </row>
    <row r="159" spans="2:13" s="5" customFormat="1" x14ac:dyDescent="0.25">
      <c r="B159" s="58"/>
      <c r="C159" s="14"/>
      <c r="D159" s="15"/>
      <c r="E159" s="15"/>
      <c r="F159" s="15"/>
      <c r="G159" s="422"/>
      <c r="H159" s="17" t="str">
        <f t="shared" si="19"/>
        <v/>
      </c>
      <c r="I159" s="63"/>
      <c r="J159" s="62"/>
      <c r="K159" s="62"/>
      <c r="L159" s="420" t="str">
        <f t="shared" si="17"/>
        <v/>
      </c>
      <c r="M159" s="401" t="str">
        <f t="shared" si="18"/>
        <v/>
      </c>
    </row>
    <row r="160" spans="2:13" s="5" customFormat="1" x14ac:dyDescent="0.25">
      <c r="B160" s="46"/>
      <c r="C160" s="14"/>
      <c r="D160" s="15"/>
      <c r="E160" s="15"/>
      <c r="F160" s="61"/>
      <c r="G160" s="422"/>
      <c r="H160" s="17" t="str">
        <f t="shared" si="19"/>
        <v/>
      </c>
      <c r="I160" s="63"/>
      <c r="J160" s="62"/>
      <c r="K160" s="62"/>
      <c r="L160" s="420" t="str">
        <f t="shared" si="17"/>
        <v/>
      </c>
      <c r="M160" s="401" t="str">
        <f t="shared" si="18"/>
        <v/>
      </c>
    </row>
    <row r="161" spans="2:13" s="5" customFormat="1" x14ac:dyDescent="0.25">
      <c r="B161" s="58"/>
      <c r="C161" s="14"/>
      <c r="D161" s="15"/>
      <c r="E161" s="15"/>
      <c r="F161" s="15"/>
      <c r="G161" s="422"/>
      <c r="H161" s="17" t="str">
        <f t="shared" si="19"/>
        <v/>
      </c>
      <c r="I161" s="63"/>
      <c r="J161" s="62"/>
      <c r="K161" s="62"/>
      <c r="L161" s="420" t="str">
        <f t="shared" si="17"/>
        <v/>
      </c>
      <c r="M161" s="401" t="str">
        <f t="shared" si="18"/>
        <v/>
      </c>
    </row>
    <row r="162" spans="2:13" s="5" customFormat="1" x14ac:dyDescent="0.25">
      <c r="B162" s="46"/>
      <c r="C162" s="14"/>
      <c r="D162" s="15"/>
      <c r="E162" s="15"/>
      <c r="F162" s="61"/>
      <c r="G162" s="422"/>
      <c r="H162" s="17" t="str">
        <f t="shared" si="19"/>
        <v/>
      </c>
      <c r="I162" s="63"/>
      <c r="J162" s="62"/>
      <c r="K162" s="62"/>
      <c r="L162" s="420" t="str">
        <f t="shared" si="17"/>
        <v/>
      </c>
      <c r="M162" s="401" t="str">
        <f t="shared" si="18"/>
        <v/>
      </c>
    </row>
    <row r="163" spans="2:13" s="5" customFormat="1" x14ac:dyDescent="0.25">
      <c r="B163" s="58"/>
      <c r="C163" s="25"/>
      <c r="D163" s="61"/>
      <c r="E163" s="61"/>
      <c r="F163" s="61"/>
      <c r="G163" s="422"/>
      <c r="H163" s="17" t="str">
        <f t="shared" si="19"/>
        <v/>
      </c>
      <c r="I163" s="63"/>
      <c r="J163" s="62"/>
      <c r="K163" s="62"/>
      <c r="L163" s="420" t="str">
        <f t="shared" si="17"/>
        <v/>
      </c>
      <c r="M163" s="401" t="str">
        <f t="shared" si="18"/>
        <v/>
      </c>
    </row>
    <row r="164" spans="2:13" s="5" customFormat="1" x14ac:dyDescent="0.25">
      <c r="B164" s="46"/>
      <c r="C164" s="26"/>
      <c r="D164" s="61"/>
      <c r="E164" s="61"/>
      <c r="F164" s="15"/>
      <c r="G164" s="422"/>
      <c r="H164" s="17" t="str">
        <f t="shared" si="19"/>
        <v/>
      </c>
      <c r="I164" s="63"/>
      <c r="J164" s="62"/>
      <c r="K164" s="62"/>
      <c r="L164" s="420" t="str">
        <f t="shared" si="17"/>
        <v/>
      </c>
      <c r="M164" s="401" t="str">
        <f t="shared" si="18"/>
        <v/>
      </c>
    </row>
    <row r="165" spans="2:13" s="5" customFormat="1" x14ac:dyDescent="0.25">
      <c r="B165" s="58"/>
      <c r="C165" s="25"/>
      <c r="D165" s="61"/>
      <c r="E165" s="61"/>
      <c r="F165" s="15"/>
      <c r="G165" s="422"/>
      <c r="H165" s="17" t="str">
        <f t="shared" si="19"/>
        <v/>
      </c>
      <c r="I165" s="63"/>
      <c r="J165" s="62"/>
      <c r="K165" s="62"/>
      <c r="L165" s="420" t="str">
        <f t="shared" si="17"/>
        <v/>
      </c>
      <c r="M165" s="401" t="str">
        <f t="shared" si="18"/>
        <v/>
      </c>
    </row>
    <row r="166" spans="2:13" s="5" customFormat="1" x14ac:dyDescent="0.25">
      <c r="B166" s="58"/>
      <c r="C166" s="14"/>
      <c r="D166" s="15"/>
      <c r="E166" s="15"/>
      <c r="F166" s="15"/>
      <c r="G166" s="422"/>
      <c r="H166" s="17" t="str">
        <f t="shared" si="19"/>
        <v/>
      </c>
      <c r="I166" s="63"/>
      <c r="J166" s="62"/>
      <c r="K166" s="62"/>
      <c r="L166" s="420" t="str">
        <f t="shared" si="17"/>
        <v/>
      </c>
      <c r="M166" s="401" t="str">
        <f t="shared" si="18"/>
        <v/>
      </c>
    </row>
    <row r="167" spans="2:13" s="5" customFormat="1" x14ac:dyDescent="0.25">
      <c r="B167" s="58"/>
      <c r="C167" s="14"/>
      <c r="D167" s="15"/>
      <c r="E167" s="15"/>
      <c r="F167" s="15"/>
      <c r="G167" s="422"/>
      <c r="H167" s="17" t="str">
        <f t="shared" si="19"/>
        <v/>
      </c>
      <c r="I167" s="63"/>
      <c r="J167" s="62"/>
      <c r="K167" s="62"/>
      <c r="L167" s="420" t="str">
        <f t="shared" si="17"/>
        <v/>
      </c>
      <c r="M167" s="401" t="str">
        <f t="shared" si="18"/>
        <v/>
      </c>
    </row>
    <row r="168" spans="2:13" s="5" customFormat="1" x14ac:dyDescent="0.25">
      <c r="B168" s="85"/>
      <c r="C168" s="14"/>
      <c r="D168" s="15"/>
      <c r="E168" s="15"/>
      <c r="F168" s="15"/>
      <c r="G168" s="411"/>
      <c r="H168" s="17" t="str">
        <f t="shared" si="19"/>
        <v/>
      </c>
      <c r="I168" s="63"/>
      <c r="J168" s="62"/>
      <c r="K168" s="402"/>
      <c r="L168" s="420" t="str">
        <f t="shared" si="17"/>
        <v/>
      </c>
      <c r="M168" s="401" t="str">
        <f t="shared" si="18"/>
        <v/>
      </c>
    </row>
    <row r="169" spans="2:13" s="5" customFormat="1" x14ac:dyDescent="0.25">
      <c r="B169" s="46"/>
      <c r="C169" s="14"/>
      <c r="D169" s="15"/>
      <c r="E169" s="15"/>
      <c r="F169" s="15"/>
      <c r="G169" s="411"/>
      <c r="H169" s="17" t="str">
        <f t="shared" si="19"/>
        <v/>
      </c>
      <c r="I169" s="63"/>
      <c r="J169" s="138"/>
      <c r="K169" s="402"/>
      <c r="L169" s="420" t="str">
        <f t="shared" si="17"/>
        <v/>
      </c>
      <c r="M169" s="401" t="str">
        <f t="shared" si="18"/>
        <v/>
      </c>
    </row>
    <row r="170" spans="2:13" s="5" customFormat="1" x14ac:dyDescent="0.25">
      <c r="B170" s="85"/>
      <c r="C170" s="14"/>
      <c r="D170" s="15"/>
      <c r="E170" s="15"/>
      <c r="F170" s="15"/>
      <c r="G170" s="411"/>
      <c r="H170" s="17" t="str">
        <f t="shared" si="19"/>
        <v/>
      </c>
      <c r="I170" s="63"/>
      <c r="J170" s="138"/>
      <c r="K170" s="402"/>
      <c r="L170" s="420" t="str">
        <f t="shared" si="17"/>
        <v/>
      </c>
      <c r="M170" s="401" t="str">
        <f t="shared" si="18"/>
        <v/>
      </c>
    </row>
    <row r="171" spans="2:13" s="5" customFormat="1" x14ac:dyDescent="0.25">
      <c r="B171" s="46"/>
      <c r="C171" s="14"/>
      <c r="D171" s="15"/>
      <c r="E171" s="15"/>
      <c r="F171" s="15"/>
      <c r="G171" s="411"/>
      <c r="H171" s="17" t="str">
        <f t="shared" si="19"/>
        <v/>
      </c>
      <c r="I171" s="63"/>
      <c r="J171" s="138"/>
      <c r="K171" s="399"/>
      <c r="L171" s="420" t="str">
        <f t="shared" si="17"/>
        <v/>
      </c>
      <c r="M171" s="401" t="str">
        <f t="shared" si="18"/>
        <v/>
      </c>
    </row>
    <row r="172" spans="2:13" s="5" customFormat="1" x14ac:dyDescent="0.25">
      <c r="B172" s="46"/>
      <c r="C172" s="14"/>
      <c r="D172" s="15"/>
      <c r="E172" s="15"/>
      <c r="F172" s="15"/>
      <c r="G172" s="411"/>
      <c r="H172" s="17" t="str">
        <f t="shared" si="19"/>
        <v/>
      </c>
      <c r="I172" s="63"/>
      <c r="J172" s="138"/>
      <c r="K172" s="402"/>
      <c r="L172" s="420" t="str">
        <f t="shared" si="17"/>
        <v/>
      </c>
      <c r="M172" s="401" t="str">
        <f t="shared" si="18"/>
        <v/>
      </c>
    </row>
    <row r="173" spans="2:13" s="5" customFormat="1" x14ac:dyDescent="0.25">
      <c r="B173" s="58"/>
      <c r="C173" s="14"/>
      <c r="D173" s="15"/>
      <c r="E173" s="15"/>
      <c r="F173" s="15"/>
      <c r="G173" s="411"/>
      <c r="H173" s="17" t="str">
        <f t="shared" si="19"/>
        <v/>
      </c>
      <c r="I173" s="63"/>
      <c r="J173" s="138"/>
      <c r="K173" s="138"/>
      <c r="L173" s="420" t="str">
        <f t="shared" si="17"/>
        <v/>
      </c>
      <c r="M173" s="401" t="str">
        <f t="shared" si="18"/>
        <v/>
      </c>
    </row>
    <row r="174" spans="2:13" s="5" customFormat="1" x14ac:dyDescent="0.25">
      <c r="B174" s="46"/>
      <c r="C174" s="14"/>
      <c r="D174" s="15"/>
      <c r="E174" s="15"/>
      <c r="F174" s="24"/>
      <c r="G174" s="703"/>
      <c r="H174" s="17" t="str">
        <f t="shared" si="19"/>
        <v/>
      </c>
      <c r="I174" s="63"/>
      <c r="J174" s="138"/>
      <c r="K174" s="138"/>
      <c r="L174" s="420" t="str">
        <f t="shared" si="17"/>
        <v/>
      </c>
      <c r="M174" s="401" t="str">
        <f t="shared" si="18"/>
        <v/>
      </c>
    </row>
    <row r="175" spans="2:13" s="5" customFormat="1" x14ac:dyDescent="0.25">
      <c r="B175" s="58"/>
      <c r="C175" s="14"/>
      <c r="D175" s="15"/>
      <c r="E175" s="15"/>
      <c r="F175" s="24"/>
      <c r="G175" s="411"/>
      <c r="H175" s="17" t="str">
        <f t="shared" si="19"/>
        <v/>
      </c>
      <c r="I175" s="63"/>
      <c r="J175" s="138"/>
      <c r="K175" s="138"/>
      <c r="L175" s="420" t="str">
        <f t="shared" si="17"/>
        <v/>
      </c>
      <c r="M175" s="401" t="str">
        <f t="shared" si="18"/>
        <v/>
      </c>
    </row>
    <row r="176" spans="2:13" s="5" customFormat="1" x14ac:dyDescent="0.25">
      <c r="B176" s="46"/>
      <c r="C176" s="14"/>
      <c r="D176" s="15"/>
      <c r="E176" s="15"/>
      <c r="F176" s="24"/>
      <c r="G176" s="423"/>
      <c r="H176" s="17" t="str">
        <f t="shared" si="19"/>
        <v/>
      </c>
      <c r="I176" s="63"/>
      <c r="J176" s="138"/>
      <c r="K176" s="138"/>
      <c r="L176" s="420" t="str">
        <f t="shared" si="17"/>
        <v/>
      </c>
      <c r="M176" s="401" t="str">
        <f t="shared" si="18"/>
        <v/>
      </c>
    </row>
    <row r="177" spans="2:13" s="5" customFormat="1" x14ac:dyDescent="0.25">
      <c r="B177" s="58"/>
      <c r="C177" s="14"/>
      <c r="D177" s="15"/>
      <c r="E177" s="15"/>
      <c r="F177" s="24"/>
      <c r="G177" s="411"/>
      <c r="H177" s="17" t="str">
        <f t="shared" si="19"/>
        <v/>
      </c>
      <c r="I177" s="63"/>
      <c r="J177" s="138"/>
      <c r="K177" s="138"/>
      <c r="L177" s="420" t="str">
        <f t="shared" si="17"/>
        <v/>
      </c>
      <c r="M177" s="401" t="str">
        <f t="shared" si="18"/>
        <v/>
      </c>
    </row>
    <row r="178" spans="2:13" s="5" customFormat="1" x14ac:dyDescent="0.25">
      <c r="B178" s="46"/>
      <c r="C178" s="14"/>
      <c r="D178" s="15"/>
      <c r="E178" s="15"/>
      <c r="F178" s="24"/>
      <c r="G178" s="421"/>
      <c r="H178" s="17" t="str">
        <f t="shared" si="19"/>
        <v/>
      </c>
      <c r="I178" s="63"/>
      <c r="J178" s="138"/>
      <c r="K178" s="138"/>
      <c r="L178" s="420" t="str">
        <f t="shared" si="17"/>
        <v/>
      </c>
      <c r="M178" s="401" t="str">
        <f t="shared" si="18"/>
        <v/>
      </c>
    </row>
    <row r="179" spans="2:13" s="5" customFormat="1" x14ac:dyDescent="0.25">
      <c r="B179" s="46"/>
      <c r="C179" s="14"/>
      <c r="D179" s="15"/>
      <c r="E179" s="15"/>
      <c r="F179" s="24"/>
      <c r="G179" s="421"/>
      <c r="H179" s="17" t="str">
        <f t="shared" si="19"/>
        <v/>
      </c>
      <c r="I179" s="63"/>
      <c r="J179" s="138"/>
      <c r="K179" s="138"/>
      <c r="L179" s="420" t="str">
        <f t="shared" si="17"/>
        <v/>
      </c>
      <c r="M179" s="401" t="str">
        <f t="shared" si="18"/>
        <v/>
      </c>
    </row>
    <row r="180" spans="2:13" s="5" customFormat="1" x14ac:dyDescent="0.25">
      <c r="B180" s="46"/>
      <c r="C180" s="26"/>
      <c r="D180" s="15"/>
      <c r="E180" s="15"/>
      <c r="F180" s="24"/>
      <c r="G180" s="422"/>
      <c r="H180" s="17" t="str">
        <f t="shared" si="19"/>
        <v/>
      </c>
      <c r="I180" s="63"/>
      <c r="J180" s="138"/>
      <c r="K180" s="138"/>
      <c r="L180" s="420" t="str">
        <f t="shared" si="17"/>
        <v/>
      </c>
      <c r="M180" s="401" t="str">
        <f t="shared" si="18"/>
        <v/>
      </c>
    </row>
    <row r="181" spans="2:13" s="5" customFormat="1" x14ac:dyDescent="0.25">
      <c r="B181" s="58"/>
      <c r="C181" s="14"/>
      <c r="D181" s="15"/>
      <c r="E181" s="15"/>
      <c r="F181" s="24"/>
      <c r="G181" s="421"/>
      <c r="H181" s="17" t="str">
        <f t="shared" si="19"/>
        <v/>
      </c>
      <c r="I181" s="63"/>
      <c r="J181" s="138"/>
      <c r="K181" s="138"/>
      <c r="L181" s="420" t="str">
        <f t="shared" si="17"/>
        <v/>
      </c>
      <c r="M181" s="401" t="str">
        <f t="shared" si="18"/>
        <v/>
      </c>
    </row>
    <row r="182" spans="2:13" s="5" customFormat="1" x14ac:dyDescent="0.25">
      <c r="B182" s="46"/>
      <c r="C182" s="14"/>
      <c r="D182" s="15"/>
      <c r="E182" s="15"/>
      <c r="F182" s="24"/>
      <c r="G182" s="423"/>
      <c r="H182" s="17" t="str">
        <f t="shared" si="19"/>
        <v/>
      </c>
      <c r="I182" s="63"/>
      <c r="J182" s="138"/>
      <c r="K182" s="138"/>
      <c r="L182" s="420" t="str">
        <f t="shared" si="17"/>
        <v/>
      </c>
      <c r="M182" s="401" t="str">
        <f t="shared" si="18"/>
        <v/>
      </c>
    </row>
    <row r="183" spans="2:13" s="5" customFormat="1" x14ac:dyDescent="0.25">
      <c r="B183" s="58"/>
      <c r="C183" s="14"/>
      <c r="D183" s="15"/>
      <c r="E183" s="15"/>
      <c r="F183" s="24"/>
      <c r="G183" s="421"/>
      <c r="H183" s="17" t="str">
        <f t="shared" si="19"/>
        <v/>
      </c>
      <c r="I183" s="63"/>
      <c r="J183" s="138"/>
      <c r="K183" s="138"/>
      <c r="L183" s="420" t="str">
        <f t="shared" si="17"/>
        <v/>
      </c>
      <c r="M183" s="401" t="str">
        <f t="shared" si="18"/>
        <v/>
      </c>
    </row>
    <row r="184" spans="2:13" s="5" customFormat="1" x14ac:dyDescent="0.25">
      <c r="B184" s="46"/>
      <c r="C184" s="14"/>
      <c r="D184" s="15"/>
      <c r="E184" s="15"/>
      <c r="F184" s="24"/>
      <c r="G184" s="411"/>
      <c r="H184" s="17" t="str">
        <f t="shared" si="19"/>
        <v/>
      </c>
      <c r="I184" s="63"/>
      <c r="J184" s="138"/>
      <c r="K184" s="138"/>
      <c r="L184" s="420" t="str">
        <f t="shared" si="17"/>
        <v/>
      </c>
      <c r="M184" s="401" t="str">
        <f t="shared" si="18"/>
        <v/>
      </c>
    </row>
    <row r="185" spans="2:13" s="5" customFormat="1" x14ac:dyDescent="0.25">
      <c r="B185" s="46"/>
      <c r="C185" s="14"/>
      <c r="D185" s="15"/>
      <c r="E185" s="15"/>
      <c r="F185" s="24"/>
      <c r="G185" s="411"/>
      <c r="H185" s="17" t="str">
        <f t="shared" si="19"/>
        <v/>
      </c>
      <c r="I185" s="63"/>
      <c r="J185" s="138"/>
      <c r="K185" s="138"/>
      <c r="L185" s="420" t="str">
        <f t="shared" si="17"/>
        <v/>
      </c>
      <c r="M185" s="401" t="str">
        <f t="shared" si="18"/>
        <v/>
      </c>
    </row>
    <row r="186" spans="2:13" s="5" customFormat="1" x14ac:dyDescent="0.25">
      <c r="B186" s="46"/>
      <c r="C186" s="14"/>
      <c r="D186" s="15"/>
      <c r="E186" s="15"/>
      <c r="F186" s="24"/>
      <c r="G186" s="411"/>
      <c r="H186" s="17" t="str">
        <f t="shared" si="19"/>
        <v/>
      </c>
      <c r="I186" s="63"/>
      <c r="J186" s="138"/>
      <c r="K186" s="138"/>
      <c r="L186" s="420" t="str">
        <f t="shared" si="17"/>
        <v/>
      </c>
      <c r="M186" s="401" t="str">
        <f t="shared" si="18"/>
        <v/>
      </c>
    </row>
    <row r="187" spans="2:13" s="5" customFormat="1" x14ac:dyDescent="0.25">
      <c r="B187" s="46"/>
      <c r="C187" s="14"/>
      <c r="D187" s="15"/>
      <c r="E187" s="15"/>
      <c r="F187" s="24"/>
      <c r="G187" s="411"/>
      <c r="H187" s="17" t="str">
        <f t="shared" si="19"/>
        <v/>
      </c>
      <c r="I187" s="63"/>
      <c r="J187" s="62"/>
      <c r="K187" s="62"/>
      <c r="L187" s="420" t="str">
        <f t="shared" si="17"/>
        <v/>
      </c>
      <c r="M187" s="401" t="str">
        <f t="shared" si="18"/>
        <v/>
      </c>
    </row>
    <row r="188" spans="2:13" s="5" customFormat="1" x14ac:dyDescent="0.25">
      <c r="B188" s="58"/>
      <c r="C188" s="14"/>
      <c r="D188" s="15"/>
      <c r="E188" s="15"/>
      <c r="F188" s="24"/>
      <c r="G188" s="411"/>
      <c r="H188" s="17" t="str">
        <f t="shared" si="19"/>
        <v/>
      </c>
      <c r="I188" s="63"/>
      <c r="J188" s="711"/>
      <c r="K188" s="711"/>
      <c r="L188" s="420" t="str">
        <f t="shared" si="17"/>
        <v/>
      </c>
      <c r="M188" s="401" t="str">
        <f t="shared" si="18"/>
        <v/>
      </c>
    </row>
    <row r="189" spans="2:13" s="28" customFormat="1" ht="19.5" customHeight="1" x14ac:dyDescent="0.25">
      <c r="B189" s="135" t="str">
        <f>$B$12</f>
        <v>C11.6</v>
      </c>
      <c r="C189" s="30" t="str">
        <f>"TOTAL CARRIED FORWARD"&amp;IF(H189=H$1," TO SUMMARY","")</f>
        <v>TOTAL CARRIED FORWARD TO SUMMARY</v>
      </c>
      <c r="D189" s="31"/>
      <c r="E189" s="31"/>
      <c r="F189" s="32"/>
      <c r="G189" s="31"/>
      <c r="H189" s="33">
        <f>SUM(H131:H188)</f>
        <v>105600</v>
      </c>
      <c r="I189" s="34"/>
      <c r="J189" s="408"/>
      <c r="K189" s="406"/>
      <c r="L189" s="418">
        <f>SUM(L131:L188)</f>
        <v>11755.8</v>
      </c>
      <c r="M189" s="407" t="str">
        <f t="shared" si="16"/>
        <v/>
      </c>
    </row>
    <row r="190" spans="2:13" ht="13" x14ac:dyDescent="0.25">
      <c r="B190" s="1108" t="str">
        <f>Client1</f>
        <v>Province of KwaZulu-Natal</v>
      </c>
      <c r="C190" s="1108"/>
      <c r="D190" s="1108"/>
      <c r="E190" s="87"/>
      <c r="F190" s="1109" t="str">
        <f>"Contract No. "&amp;ContractNo</f>
        <v>Contract No. ZNB 00399/00000/HOD/INF/21/T</v>
      </c>
      <c r="G190" s="1109"/>
      <c r="H190" s="1109"/>
    </row>
    <row r="191" spans="2:13" ht="13" x14ac:dyDescent="0.25">
      <c r="B191" s="1108" t="str">
        <f>Client2</f>
        <v>Department of Transport</v>
      </c>
      <c r="C191" s="1108"/>
      <c r="D191" s="1108"/>
      <c r="E191" s="87"/>
      <c r="F191" s="1109"/>
      <c r="G191" s="1109"/>
      <c r="H191" s="1109"/>
    </row>
    <row r="192" spans="2:13" x14ac:dyDescent="0.25">
      <c r="B192" s="1111"/>
      <c r="C192" s="1111"/>
      <c r="D192" s="1111"/>
      <c r="E192" s="78"/>
      <c r="F192" s="1110"/>
      <c r="G192" s="1110"/>
      <c r="H192" s="1110"/>
    </row>
    <row r="193" spans="2:13" ht="13" x14ac:dyDescent="0.25">
      <c r="B193" s="1112" t="s">
        <v>8</v>
      </c>
      <c r="C193" s="1113"/>
      <c r="D193" s="1113"/>
      <c r="E193" s="1113"/>
      <c r="F193" s="1113"/>
      <c r="G193" s="1113"/>
      <c r="H193" s="1114" t="str">
        <f>$H$6</f>
        <v>CHAPTER C11.6</v>
      </c>
      <c r="I193" s="6"/>
    </row>
    <row r="194" spans="2:13" ht="13" x14ac:dyDescent="0.25">
      <c r="B194" s="1117" t="str">
        <f>ContractDescription</f>
        <v>THE CONSTRUCTION OF EARTHWORKS, LAYERWORKS, SURFACING, CULVERTS AND CWAKA RIVER BRIDGE FROM KM 11.600 TO KM 14.000 ON MAIN ROAD P494 IN THE KING CETSHWAYO DISTRICT UNDER EMPANGENI REGION</v>
      </c>
      <c r="C194" s="1118"/>
      <c r="D194" s="1118"/>
      <c r="E194" s="1118"/>
      <c r="F194" s="1118"/>
      <c r="G194" s="1118"/>
      <c r="H194" s="1115"/>
      <c r="I194" s="8"/>
    </row>
    <row r="195" spans="2:13" ht="13" x14ac:dyDescent="0.25">
      <c r="B195" s="1117"/>
      <c r="C195" s="1118"/>
      <c r="D195" s="1118"/>
      <c r="E195" s="1118"/>
      <c r="F195" s="1118"/>
      <c r="G195" s="1118"/>
      <c r="H195" s="1115"/>
      <c r="I195" s="8"/>
    </row>
    <row r="196" spans="2:13" ht="13" x14ac:dyDescent="0.25">
      <c r="B196" s="1119"/>
      <c r="C196" s="1120"/>
      <c r="D196" s="1120"/>
      <c r="E196" s="1120"/>
      <c r="F196" s="1120"/>
      <c r="G196" s="1120"/>
      <c r="H196" s="1116"/>
      <c r="I196" s="8"/>
    </row>
    <row r="197" spans="2:13" s="9" customFormat="1" ht="25" customHeight="1" x14ac:dyDescent="0.25">
      <c r="B197" s="74" t="s">
        <v>0</v>
      </c>
      <c r="C197" s="11" t="s">
        <v>1</v>
      </c>
      <c r="D197" s="11" t="s">
        <v>2</v>
      </c>
      <c r="E197" s="11"/>
      <c r="F197" s="11" t="s">
        <v>3</v>
      </c>
      <c r="G197" s="11" t="s">
        <v>4</v>
      </c>
      <c r="H197" s="11" t="s">
        <v>5</v>
      </c>
      <c r="I197" s="12"/>
      <c r="J197" s="408" t="s">
        <v>996</v>
      </c>
      <c r="K197" s="253" t="s">
        <v>997</v>
      </c>
      <c r="L197" s="253" t="s">
        <v>998</v>
      </c>
      <c r="M197" s="253" t="s">
        <v>999</v>
      </c>
    </row>
    <row r="198" spans="2:13" s="28" customFormat="1" ht="19.5" customHeight="1" x14ac:dyDescent="0.25">
      <c r="B198" s="80"/>
      <c r="C198" s="30" t="s">
        <v>27</v>
      </c>
      <c r="D198" s="31"/>
      <c r="E198" s="31"/>
      <c r="F198" s="32"/>
      <c r="G198" s="31"/>
      <c r="H198" s="33">
        <f>H189</f>
        <v>105600</v>
      </c>
      <c r="I198" s="34"/>
      <c r="J198" s="416"/>
      <c r="K198" s="409"/>
      <c r="L198" s="419">
        <f>L189</f>
        <v>11755.8</v>
      </c>
      <c r="M198" s="410" t="str">
        <f>IF(F198="","",IF(SUM(I198)=0,"",L198/I198))</f>
        <v/>
      </c>
    </row>
    <row r="199" spans="2:13" s="5" customFormat="1" x14ac:dyDescent="0.25">
      <c r="B199" s="58"/>
      <c r="C199" s="14"/>
      <c r="D199" s="15"/>
      <c r="E199" s="15"/>
      <c r="F199" s="24"/>
      <c r="G199" s="411"/>
      <c r="H199" s="17" t="str">
        <f t="shared" ref="H199:H255" si="20">IF(D199="","",F199*G199)</f>
        <v/>
      </c>
      <c r="I199" s="63"/>
      <c r="J199" s="61"/>
      <c r="K199" s="399"/>
      <c r="L199" s="420" t="str">
        <f t="shared" ref="L199" si="21">IF(J199="","",F199*K199)</f>
        <v/>
      </c>
      <c r="M199" s="401" t="str">
        <f t="shared" ref="M199:M256" si="22">IF(J199="","",IF(SUM(H199)=0,"",L199/H199))</f>
        <v/>
      </c>
    </row>
    <row r="200" spans="2:13" s="5" customFormat="1" x14ac:dyDescent="0.25">
      <c r="B200" s="46"/>
      <c r="C200" s="14"/>
      <c r="D200" s="15"/>
      <c r="E200" s="15"/>
      <c r="F200" s="24"/>
      <c r="G200" s="422"/>
      <c r="H200" s="17" t="str">
        <f t="shared" si="20"/>
        <v/>
      </c>
      <c r="I200" s="63"/>
      <c r="J200" s="61"/>
      <c r="K200" s="399"/>
      <c r="L200" s="420" t="str">
        <f t="shared" ref="L200:L255" si="23">IF(J200="","",F200*K200)</f>
        <v/>
      </c>
      <c r="M200" s="401" t="str">
        <f t="shared" ref="M200:M255" si="24">IF(J200="","",IF(SUM(H200)=0,"",L200/H200))</f>
        <v/>
      </c>
    </row>
    <row r="201" spans="2:13" s="5" customFormat="1" x14ac:dyDescent="0.25">
      <c r="B201" s="58"/>
      <c r="C201" s="14"/>
      <c r="D201" s="15"/>
      <c r="E201" s="15"/>
      <c r="F201" s="24"/>
      <c r="G201" s="422"/>
      <c r="H201" s="17" t="str">
        <f t="shared" si="20"/>
        <v/>
      </c>
      <c r="I201" s="63"/>
      <c r="J201" s="61"/>
      <c r="K201" s="399"/>
      <c r="L201" s="420" t="str">
        <f t="shared" si="23"/>
        <v/>
      </c>
      <c r="M201" s="401" t="str">
        <f t="shared" si="24"/>
        <v/>
      </c>
    </row>
    <row r="202" spans="2:13" s="5" customFormat="1" x14ac:dyDescent="0.25">
      <c r="B202" s="46"/>
      <c r="C202" s="14"/>
      <c r="D202" s="15"/>
      <c r="E202" s="15"/>
      <c r="F202" s="24"/>
      <c r="G202" s="423"/>
      <c r="H202" s="17" t="str">
        <f t="shared" si="20"/>
        <v/>
      </c>
      <c r="I202" s="63"/>
      <c r="J202" s="61"/>
      <c r="K202" s="399"/>
      <c r="L202" s="420" t="str">
        <f t="shared" si="23"/>
        <v/>
      </c>
      <c r="M202" s="401" t="str">
        <f t="shared" si="24"/>
        <v/>
      </c>
    </row>
    <row r="203" spans="2:13" s="5" customFormat="1" x14ac:dyDescent="0.25">
      <c r="B203" s="58"/>
      <c r="C203" s="14"/>
      <c r="D203" s="15"/>
      <c r="E203" s="15"/>
      <c r="F203" s="24"/>
      <c r="G203" s="411"/>
      <c r="H203" s="17" t="str">
        <f t="shared" si="20"/>
        <v/>
      </c>
      <c r="I203" s="63"/>
      <c r="J203" s="61"/>
      <c r="K203" s="400"/>
      <c r="L203" s="420" t="str">
        <f t="shared" si="23"/>
        <v/>
      </c>
      <c r="M203" s="401" t="str">
        <f t="shared" si="24"/>
        <v/>
      </c>
    </row>
    <row r="204" spans="2:13" s="5" customFormat="1" x14ac:dyDescent="0.25">
      <c r="B204" s="46"/>
      <c r="C204" s="14"/>
      <c r="D204" s="15"/>
      <c r="E204" s="15"/>
      <c r="F204" s="24"/>
      <c r="G204" s="411"/>
      <c r="H204" s="17" t="str">
        <f t="shared" si="20"/>
        <v/>
      </c>
      <c r="I204" s="63"/>
      <c r="J204" s="61"/>
      <c r="K204" s="399"/>
      <c r="L204" s="420" t="str">
        <f t="shared" si="23"/>
        <v/>
      </c>
      <c r="M204" s="401" t="str">
        <f t="shared" si="24"/>
        <v/>
      </c>
    </row>
    <row r="205" spans="2:13" s="5" customFormat="1" x14ac:dyDescent="0.25">
      <c r="B205" s="58"/>
      <c r="C205" s="14"/>
      <c r="D205" s="15"/>
      <c r="E205" s="15"/>
      <c r="F205" s="24"/>
      <c r="G205" s="411"/>
      <c r="H205" s="17" t="str">
        <f t="shared" si="20"/>
        <v/>
      </c>
      <c r="I205" s="63"/>
      <c r="J205" s="61"/>
      <c r="K205" s="399"/>
      <c r="L205" s="420" t="str">
        <f t="shared" si="23"/>
        <v/>
      </c>
      <c r="M205" s="401" t="str">
        <f t="shared" si="24"/>
        <v/>
      </c>
    </row>
    <row r="206" spans="2:13" s="5" customFormat="1" x14ac:dyDescent="0.25">
      <c r="B206" s="46"/>
      <c r="C206" s="14"/>
      <c r="D206" s="15"/>
      <c r="E206" s="15"/>
      <c r="F206" s="24"/>
      <c r="G206" s="422"/>
      <c r="H206" s="17" t="str">
        <f t="shared" si="20"/>
        <v/>
      </c>
      <c r="I206" s="63"/>
      <c r="J206" s="61"/>
      <c r="K206" s="399"/>
      <c r="L206" s="420" t="str">
        <f t="shared" si="23"/>
        <v/>
      </c>
      <c r="M206" s="401" t="str">
        <f t="shared" si="24"/>
        <v/>
      </c>
    </row>
    <row r="207" spans="2:13" s="5" customFormat="1" x14ac:dyDescent="0.25">
      <c r="B207" s="58"/>
      <c r="C207" s="14"/>
      <c r="D207" s="15"/>
      <c r="E207" s="15"/>
      <c r="F207" s="24"/>
      <c r="G207" s="411"/>
      <c r="H207" s="17" t="str">
        <f t="shared" si="20"/>
        <v/>
      </c>
      <c r="I207" s="63"/>
      <c r="J207" s="61"/>
      <c r="K207" s="402"/>
      <c r="L207" s="420" t="str">
        <f t="shared" si="23"/>
        <v/>
      </c>
      <c r="M207" s="401" t="str">
        <f t="shared" si="24"/>
        <v/>
      </c>
    </row>
    <row r="208" spans="2:13" s="5" customFormat="1" x14ac:dyDescent="0.25">
      <c r="B208" s="46"/>
      <c r="C208" s="14"/>
      <c r="D208" s="15"/>
      <c r="E208" s="15"/>
      <c r="F208" s="24"/>
      <c r="G208" s="423"/>
      <c r="H208" s="17" t="str">
        <f t="shared" si="20"/>
        <v/>
      </c>
      <c r="I208" s="63"/>
      <c r="J208" s="61"/>
      <c r="K208" s="402"/>
      <c r="L208" s="420" t="str">
        <f t="shared" si="23"/>
        <v/>
      </c>
      <c r="M208" s="401" t="str">
        <f t="shared" si="24"/>
        <v/>
      </c>
    </row>
    <row r="209" spans="2:13" s="5" customFormat="1" x14ac:dyDescent="0.25">
      <c r="B209" s="58"/>
      <c r="C209" s="14"/>
      <c r="D209" s="15"/>
      <c r="E209" s="15"/>
      <c r="F209" s="15"/>
      <c r="G209" s="411"/>
      <c r="H209" s="17" t="str">
        <f t="shared" si="20"/>
        <v/>
      </c>
      <c r="I209" s="63"/>
      <c r="J209" s="61"/>
      <c r="K209" s="402"/>
      <c r="L209" s="420" t="str">
        <f t="shared" si="23"/>
        <v/>
      </c>
      <c r="M209" s="401" t="str">
        <f t="shared" si="24"/>
        <v/>
      </c>
    </row>
    <row r="210" spans="2:13" s="5" customFormat="1" x14ac:dyDescent="0.25">
      <c r="B210" s="46"/>
      <c r="C210" s="14"/>
      <c r="D210" s="15"/>
      <c r="E210" s="15"/>
      <c r="F210" s="15"/>
      <c r="G210" s="422"/>
      <c r="H210" s="17" t="str">
        <f t="shared" si="20"/>
        <v/>
      </c>
      <c r="I210" s="63"/>
      <c r="J210" s="61"/>
      <c r="K210" s="402"/>
      <c r="L210" s="420" t="str">
        <f t="shared" si="23"/>
        <v/>
      </c>
      <c r="M210" s="401" t="str">
        <f t="shared" si="24"/>
        <v/>
      </c>
    </row>
    <row r="211" spans="2:13" s="5" customFormat="1" x14ac:dyDescent="0.25">
      <c r="B211" s="58"/>
      <c r="C211" s="14"/>
      <c r="D211" s="15"/>
      <c r="E211" s="15"/>
      <c r="F211" s="15"/>
      <c r="G211" s="422"/>
      <c r="H211" s="17" t="str">
        <f t="shared" si="20"/>
        <v/>
      </c>
      <c r="I211" s="63"/>
      <c r="J211" s="61"/>
      <c r="K211" s="402"/>
      <c r="L211" s="420" t="str">
        <f t="shared" si="23"/>
        <v/>
      </c>
      <c r="M211" s="401" t="str">
        <f t="shared" si="24"/>
        <v/>
      </c>
    </row>
    <row r="212" spans="2:13" s="5" customFormat="1" x14ac:dyDescent="0.25">
      <c r="B212" s="46"/>
      <c r="C212" s="14"/>
      <c r="D212" s="15"/>
      <c r="E212" s="15"/>
      <c r="F212" s="15"/>
      <c r="G212" s="422"/>
      <c r="H212" s="17" t="str">
        <f t="shared" si="20"/>
        <v/>
      </c>
      <c r="I212" s="63"/>
      <c r="J212" s="61"/>
      <c r="K212" s="402"/>
      <c r="L212" s="420" t="str">
        <f t="shared" si="23"/>
        <v/>
      </c>
      <c r="M212" s="401" t="str">
        <f t="shared" si="24"/>
        <v/>
      </c>
    </row>
    <row r="213" spans="2:13" s="5" customFormat="1" x14ac:dyDescent="0.25">
      <c r="B213" s="58"/>
      <c r="C213" s="14"/>
      <c r="D213" s="15"/>
      <c r="E213" s="15"/>
      <c r="F213" s="15"/>
      <c r="G213" s="422"/>
      <c r="H213" s="17" t="str">
        <f t="shared" si="20"/>
        <v/>
      </c>
      <c r="I213" s="63"/>
      <c r="J213" s="62"/>
      <c r="K213" s="62"/>
      <c r="L213" s="420" t="str">
        <f t="shared" si="23"/>
        <v/>
      </c>
      <c r="M213" s="401" t="str">
        <f t="shared" si="24"/>
        <v/>
      </c>
    </row>
    <row r="214" spans="2:13" s="5" customFormat="1" x14ac:dyDescent="0.25">
      <c r="B214" s="46"/>
      <c r="C214" s="14"/>
      <c r="D214" s="15"/>
      <c r="E214" s="15"/>
      <c r="F214" s="15"/>
      <c r="G214" s="424"/>
      <c r="H214" s="17" t="str">
        <f t="shared" si="20"/>
        <v/>
      </c>
      <c r="I214" s="63"/>
      <c r="J214" s="62"/>
      <c r="K214" s="62"/>
      <c r="L214" s="420" t="str">
        <f t="shared" si="23"/>
        <v/>
      </c>
      <c r="M214" s="401" t="str">
        <f t="shared" si="24"/>
        <v/>
      </c>
    </row>
    <row r="215" spans="2:13" s="5" customFormat="1" x14ac:dyDescent="0.25">
      <c r="B215" s="58"/>
      <c r="C215" s="14"/>
      <c r="D215" s="15"/>
      <c r="E215" s="15"/>
      <c r="F215" s="15"/>
      <c r="G215" s="422"/>
      <c r="H215" s="17" t="str">
        <f t="shared" si="20"/>
        <v/>
      </c>
      <c r="I215" s="63"/>
      <c r="J215" s="62"/>
      <c r="K215" s="62"/>
      <c r="L215" s="420" t="str">
        <f t="shared" si="23"/>
        <v/>
      </c>
      <c r="M215" s="401" t="str">
        <f t="shared" si="24"/>
        <v/>
      </c>
    </row>
    <row r="216" spans="2:13" s="5" customFormat="1" x14ac:dyDescent="0.25">
      <c r="B216" s="46"/>
      <c r="C216" s="14"/>
      <c r="D216" s="15"/>
      <c r="E216" s="15"/>
      <c r="F216" s="15"/>
      <c r="G216" s="422"/>
      <c r="H216" s="17" t="str">
        <f t="shared" si="20"/>
        <v/>
      </c>
      <c r="I216" s="63"/>
      <c r="J216" s="62"/>
      <c r="K216" s="62"/>
      <c r="L216" s="420" t="str">
        <f t="shared" si="23"/>
        <v/>
      </c>
      <c r="M216" s="401" t="str">
        <f t="shared" si="24"/>
        <v/>
      </c>
    </row>
    <row r="217" spans="2:13" s="5" customFormat="1" x14ac:dyDescent="0.25">
      <c r="B217" s="58"/>
      <c r="C217" s="14"/>
      <c r="D217" s="15"/>
      <c r="E217" s="15"/>
      <c r="F217" s="15"/>
      <c r="G217" s="422"/>
      <c r="H217" s="17" t="str">
        <f t="shared" si="20"/>
        <v/>
      </c>
      <c r="I217" s="63"/>
      <c r="J217" s="62"/>
      <c r="K217" s="62"/>
      <c r="L217" s="420" t="str">
        <f t="shared" si="23"/>
        <v/>
      </c>
      <c r="M217" s="401" t="str">
        <f t="shared" si="24"/>
        <v/>
      </c>
    </row>
    <row r="218" spans="2:13" s="5" customFormat="1" x14ac:dyDescent="0.25">
      <c r="B218" s="46"/>
      <c r="C218" s="26"/>
      <c r="D218" s="15"/>
      <c r="E218" s="15"/>
      <c r="F218" s="61"/>
      <c r="G218" s="422"/>
      <c r="H218" s="17" t="str">
        <f t="shared" si="20"/>
        <v/>
      </c>
      <c r="I218" s="63"/>
      <c r="J218" s="62"/>
      <c r="K218" s="62"/>
      <c r="L218" s="420" t="str">
        <f t="shared" si="23"/>
        <v/>
      </c>
      <c r="M218" s="401" t="str">
        <f t="shared" si="24"/>
        <v/>
      </c>
    </row>
    <row r="219" spans="2:13" s="5" customFormat="1" x14ac:dyDescent="0.25">
      <c r="B219" s="58"/>
      <c r="C219" s="14"/>
      <c r="D219" s="15"/>
      <c r="E219" s="15"/>
      <c r="F219" s="15"/>
      <c r="G219" s="422"/>
      <c r="H219" s="17" t="str">
        <f t="shared" si="20"/>
        <v/>
      </c>
      <c r="I219" s="63"/>
      <c r="J219" s="62"/>
      <c r="K219" s="62"/>
      <c r="L219" s="420" t="str">
        <f t="shared" si="23"/>
        <v/>
      </c>
      <c r="M219" s="401" t="str">
        <f t="shared" si="24"/>
        <v/>
      </c>
    </row>
    <row r="220" spans="2:13" s="5" customFormat="1" x14ac:dyDescent="0.25">
      <c r="B220" s="46"/>
      <c r="C220" s="14"/>
      <c r="D220" s="15"/>
      <c r="E220" s="15"/>
      <c r="F220" s="61"/>
      <c r="G220" s="422"/>
      <c r="H220" s="17" t="str">
        <f t="shared" si="20"/>
        <v/>
      </c>
      <c r="I220" s="63"/>
      <c r="J220" s="62"/>
      <c r="K220" s="62"/>
      <c r="L220" s="420" t="str">
        <f t="shared" si="23"/>
        <v/>
      </c>
      <c r="M220" s="401" t="str">
        <f t="shared" si="24"/>
        <v/>
      </c>
    </row>
    <row r="221" spans="2:13" s="5" customFormat="1" x14ac:dyDescent="0.25">
      <c r="B221" s="58"/>
      <c r="C221" s="25"/>
      <c r="D221" s="61"/>
      <c r="E221" s="61"/>
      <c r="F221" s="61"/>
      <c r="G221" s="422"/>
      <c r="H221" s="17" t="str">
        <f t="shared" si="20"/>
        <v/>
      </c>
      <c r="I221" s="63"/>
      <c r="J221" s="62"/>
      <c r="K221" s="62"/>
      <c r="L221" s="420" t="str">
        <f t="shared" si="23"/>
        <v/>
      </c>
      <c r="M221" s="401" t="str">
        <f t="shared" si="24"/>
        <v/>
      </c>
    </row>
    <row r="222" spans="2:13" s="5" customFormat="1" x14ac:dyDescent="0.25">
      <c r="B222" s="46"/>
      <c r="C222" s="14"/>
      <c r="D222" s="15"/>
      <c r="E222" s="15"/>
      <c r="F222" s="15"/>
      <c r="G222" s="422"/>
      <c r="H222" s="17" t="str">
        <f t="shared" si="20"/>
        <v/>
      </c>
      <c r="I222" s="63"/>
      <c r="J222" s="62"/>
      <c r="K222" s="62"/>
      <c r="L222" s="420" t="str">
        <f t="shared" si="23"/>
        <v/>
      </c>
      <c r="M222" s="401" t="str">
        <f t="shared" si="24"/>
        <v/>
      </c>
    </row>
    <row r="223" spans="2:13" s="5" customFormat="1" x14ac:dyDescent="0.25">
      <c r="B223" s="58"/>
      <c r="C223" s="25"/>
      <c r="D223" s="61"/>
      <c r="E223" s="61"/>
      <c r="F223" s="15"/>
      <c r="G223" s="422"/>
      <c r="H223" s="17" t="str">
        <f t="shared" si="20"/>
        <v/>
      </c>
      <c r="I223" s="63"/>
      <c r="J223" s="62"/>
      <c r="K223" s="62"/>
      <c r="L223" s="420" t="str">
        <f t="shared" si="23"/>
        <v/>
      </c>
      <c r="M223" s="401" t="str">
        <f t="shared" si="24"/>
        <v/>
      </c>
    </row>
    <row r="224" spans="2:13" s="5" customFormat="1" x14ac:dyDescent="0.25">
      <c r="B224" s="46"/>
      <c r="C224" s="26"/>
      <c r="D224" s="15"/>
      <c r="E224" s="15"/>
      <c r="F224" s="15"/>
      <c r="G224" s="422"/>
      <c r="H224" s="17" t="str">
        <f t="shared" si="20"/>
        <v/>
      </c>
      <c r="I224" s="63"/>
      <c r="J224" s="62"/>
      <c r="K224" s="577"/>
      <c r="L224" s="420" t="str">
        <f t="shared" si="23"/>
        <v/>
      </c>
      <c r="M224" s="401" t="str">
        <f t="shared" si="24"/>
        <v/>
      </c>
    </row>
    <row r="225" spans="2:13" s="5" customFormat="1" x14ac:dyDescent="0.25">
      <c r="B225" s="58"/>
      <c r="C225" s="14"/>
      <c r="D225" s="15"/>
      <c r="E225" s="15"/>
      <c r="F225" s="15"/>
      <c r="G225" s="422"/>
      <c r="H225" s="17" t="str">
        <f t="shared" si="20"/>
        <v/>
      </c>
      <c r="I225" s="63"/>
      <c r="J225" s="62"/>
      <c r="K225" s="62"/>
      <c r="L225" s="420" t="str">
        <f t="shared" si="23"/>
        <v/>
      </c>
      <c r="M225" s="401" t="str">
        <f t="shared" si="24"/>
        <v/>
      </c>
    </row>
    <row r="226" spans="2:13" s="5" customFormat="1" x14ac:dyDescent="0.25">
      <c r="B226" s="46"/>
      <c r="C226" s="14"/>
      <c r="D226" s="15"/>
      <c r="E226" s="15"/>
      <c r="F226" s="15"/>
      <c r="G226" s="411"/>
      <c r="H226" s="17" t="str">
        <f t="shared" si="20"/>
        <v/>
      </c>
      <c r="I226" s="63"/>
      <c r="J226" s="62"/>
      <c r="K226" s="62"/>
      <c r="L226" s="420" t="str">
        <f t="shared" si="23"/>
        <v/>
      </c>
      <c r="M226" s="401" t="str">
        <f t="shared" si="24"/>
        <v/>
      </c>
    </row>
    <row r="227" spans="2:13" s="5" customFormat="1" x14ac:dyDescent="0.25">
      <c r="B227" s="46"/>
      <c r="C227" s="14"/>
      <c r="D227" s="15"/>
      <c r="E227" s="15"/>
      <c r="F227" s="15"/>
      <c r="G227" s="411"/>
      <c r="H227" s="17" t="str">
        <f t="shared" si="20"/>
        <v/>
      </c>
      <c r="I227" s="63"/>
      <c r="J227" s="62"/>
      <c r="K227" s="62"/>
      <c r="L227" s="420" t="str">
        <f t="shared" si="23"/>
        <v/>
      </c>
      <c r="M227" s="401" t="str">
        <f t="shared" si="24"/>
        <v/>
      </c>
    </row>
    <row r="228" spans="2:13" s="5" customFormat="1" x14ac:dyDescent="0.25">
      <c r="B228" s="46"/>
      <c r="C228" s="14"/>
      <c r="D228" s="15"/>
      <c r="E228" s="15"/>
      <c r="F228" s="15"/>
      <c r="G228" s="411"/>
      <c r="H228" s="17" t="str">
        <f t="shared" si="20"/>
        <v/>
      </c>
      <c r="I228" s="63"/>
      <c r="J228" s="62"/>
      <c r="K228" s="62"/>
      <c r="L228" s="420" t="str">
        <f t="shared" si="23"/>
        <v/>
      </c>
      <c r="M228" s="401" t="str">
        <f t="shared" si="24"/>
        <v/>
      </c>
    </row>
    <row r="229" spans="2:13" s="5" customFormat="1" x14ac:dyDescent="0.25">
      <c r="B229" s="46"/>
      <c r="C229" s="14"/>
      <c r="D229" s="15"/>
      <c r="E229" s="15"/>
      <c r="F229" s="15"/>
      <c r="G229" s="411"/>
      <c r="H229" s="17" t="str">
        <f t="shared" si="20"/>
        <v/>
      </c>
      <c r="I229" s="63"/>
      <c r="J229" s="62"/>
      <c r="K229" s="62"/>
      <c r="L229" s="420" t="str">
        <f t="shared" si="23"/>
        <v/>
      </c>
      <c r="M229" s="401" t="str">
        <f t="shared" si="24"/>
        <v/>
      </c>
    </row>
    <row r="230" spans="2:13" s="5" customFormat="1" x14ac:dyDescent="0.25">
      <c r="B230" s="46"/>
      <c r="C230" s="14"/>
      <c r="D230" s="15"/>
      <c r="E230" s="15"/>
      <c r="F230" s="15"/>
      <c r="G230" s="411"/>
      <c r="H230" s="17" t="str">
        <f t="shared" si="20"/>
        <v/>
      </c>
      <c r="I230" s="63"/>
      <c r="J230" s="62"/>
      <c r="K230" s="62"/>
      <c r="L230" s="420" t="str">
        <f t="shared" si="23"/>
        <v/>
      </c>
      <c r="M230" s="401" t="str">
        <f t="shared" si="24"/>
        <v/>
      </c>
    </row>
    <row r="231" spans="2:13" s="5" customFormat="1" x14ac:dyDescent="0.25">
      <c r="B231" s="58"/>
      <c r="C231" s="14"/>
      <c r="D231" s="15"/>
      <c r="E231" s="15"/>
      <c r="F231" s="15"/>
      <c r="G231" s="411"/>
      <c r="H231" s="17" t="str">
        <f t="shared" si="20"/>
        <v/>
      </c>
      <c r="I231" s="63"/>
      <c r="J231" s="62"/>
      <c r="K231" s="62"/>
      <c r="L231" s="420" t="str">
        <f t="shared" si="23"/>
        <v/>
      </c>
      <c r="M231" s="401" t="str">
        <f t="shared" si="24"/>
        <v/>
      </c>
    </row>
    <row r="232" spans="2:13" s="5" customFormat="1" x14ac:dyDescent="0.25">
      <c r="B232" s="46"/>
      <c r="C232" s="14"/>
      <c r="D232" s="15"/>
      <c r="E232" s="15"/>
      <c r="F232" s="24"/>
      <c r="G232" s="703"/>
      <c r="H232" s="17" t="str">
        <f t="shared" si="20"/>
        <v/>
      </c>
      <c r="I232" s="63"/>
      <c r="J232" s="62"/>
      <c r="K232" s="62"/>
      <c r="L232" s="420" t="str">
        <f t="shared" si="23"/>
        <v/>
      </c>
      <c r="M232" s="401" t="str">
        <f t="shared" si="24"/>
        <v/>
      </c>
    </row>
    <row r="233" spans="2:13" s="5" customFormat="1" x14ac:dyDescent="0.25">
      <c r="B233" s="58"/>
      <c r="C233" s="14"/>
      <c r="D233" s="15"/>
      <c r="E233" s="15"/>
      <c r="F233" s="24"/>
      <c r="G233" s="411"/>
      <c r="H233" s="17" t="str">
        <f t="shared" si="20"/>
        <v/>
      </c>
      <c r="I233" s="63"/>
      <c r="J233" s="62"/>
      <c r="K233" s="62"/>
      <c r="L233" s="420" t="str">
        <f t="shared" si="23"/>
        <v/>
      </c>
      <c r="M233" s="401" t="str">
        <f t="shared" si="24"/>
        <v/>
      </c>
    </row>
    <row r="234" spans="2:13" s="5" customFormat="1" x14ac:dyDescent="0.25">
      <c r="B234" s="46"/>
      <c r="C234" s="14"/>
      <c r="D234" s="15"/>
      <c r="E234" s="15"/>
      <c r="F234" s="24"/>
      <c r="G234" s="423"/>
      <c r="H234" s="17" t="str">
        <f t="shared" si="20"/>
        <v/>
      </c>
      <c r="I234" s="63"/>
      <c r="J234" s="62"/>
      <c r="K234" s="62"/>
      <c r="L234" s="420" t="str">
        <f t="shared" si="23"/>
        <v/>
      </c>
      <c r="M234" s="401" t="str">
        <f t="shared" si="24"/>
        <v/>
      </c>
    </row>
    <row r="235" spans="2:13" s="5" customFormat="1" x14ac:dyDescent="0.25">
      <c r="B235" s="58"/>
      <c r="C235" s="14"/>
      <c r="D235" s="15"/>
      <c r="E235" s="15"/>
      <c r="F235" s="24"/>
      <c r="G235" s="411"/>
      <c r="H235" s="17" t="str">
        <f t="shared" si="20"/>
        <v/>
      </c>
      <c r="I235" s="63"/>
      <c r="J235" s="62"/>
      <c r="K235" s="62"/>
      <c r="L235" s="420" t="str">
        <f t="shared" si="23"/>
        <v/>
      </c>
      <c r="M235" s="401" t="str">
        <f t="shared" si="24"/>
        <v/>
      </c>
    </row>
    <row r="236" spans="2:13" s="5" customFormat="1" x14ac:dyDescent="0.25">
      <c r="B236" s="46"/>
      <c r="C236" s="14"/>
      <c r="D236" s="15"/>
      <c r="E236" s="15"/>
      <c r="F236" s="24"/>
      <c r="G236" s="421"/>
      <c r="H236" s="17" t="str">
        <f t="shared" si="20"/>
        <v/>
      </c>
      <c r="I236" s="63"/>
      <c r="J236" s="138"/>
      <c r="K236" s="138"/>
      <c r="L236" s="420" t="str">
        <f t="shared" si="23"/>
        <v/>
      </c>
      <c r="M236" s="401" t="str">
        <f t="shared" si="24"/>
        <v/>
      </c>
    </row>
    <row r="237" spans="2:13" s="5" customFormat="1" x14ac:dyDescent="0.25">
      <c r="B237" s="46"/>
      <c r="C237" s="14"/>
      <c r="D237" s="15"/>
      <c r="E237" s="15"/>
      <c r="F237" s="24"/>
      <c r="G237" s="421"/>
      <c r="H237" s="17" t="str">
        <f t="shared" si="20"/>
        <v/>
      </c>
      <c r="I237" s="63"/>
      <c r="J237" s="138"/>
      <c r="K237" s="138"/>
      <c r="L237" s="420" t="str">
        <f t="shared" si="23"/>
        <v/>
      </c>
      <c r="M237" s="401" t="str">
        <f t="shared" si="24"/>
        <v/>
      </c>
    </row>
    <row r="238" spans="2:13" s="5" customFormat="1" x14ac:dyDescent="0.25">
      <c r="B238" s="46"/>
      <c r="C238" s="26"/>
      <c r="D238" s="15"/>
      <c r="E238" s="15"/>
      <c r="F238" s="24"/>
      <c r="G238" s="422"/>
      <c r="H238" s="17" t="str">
        <f t="shared" si="20"/>
        <v/>
      </c>
      <c r="I238" s="63"/>
      <c r="J238" s="138"/>
      <c r="K238" s="138"/>
      <c r="L238" s="420" t="str">
        <f t="shared" si="23"/>
        <v/>
      </c>
      <c r="M238" s="401" t="str">
        <f t="shared" si="24"/>
        <v/>
      </c>
    </row>
    <row r="239" spans="2:13" s="5" customFormat="1" x14ac:dyDescent="0.25">
      <c r="B239" s="58"/>
      <c r="C239" s="14"/>
      <c r="D239" s="15"/>
      <c r="E239" s="15"/>
      <c r="F239" s="24"/>
      <c r="G239" s="421"/>
      <c r="H239" s="17" t="str">
        <f t="shared" si="20"/>
        <v/>
      </c>
      <c r="I239" s="63"/>
      <c r="J239" s="138"/>
      <c r="K239" s="138"/>
      <c r="L239" s="420" t="str">
        <f t="shared" si="23"/>
        <v/>
      </c>
      <c r="M239" s="401" t="str">
        <f t="shared" si="24"/>
        <v/>
      </c>
    </row>
    <row r="240" spans="2:13" s="5" customFormat="1" x14ac:dyDescent="0.25">
      <c r="B240" s="46"/>
      <c r="C240" s="14"/>
      <c r="D240" s="15"/>
      <c r="E240" s="15"/>
      <c r="F240" s="24"/>
      <c r="G240" s="423"/>
      <c r="H240" s="17" t="str">
        <f t="shared" si="20"/>
        <v/>
      </c>
      <c r="I240" s="63"/>
      <c r="J240" s="138"/>
      <c r="K240" s="138"/>
      <c r="L240" s="420" t="str">
        <f t="shared" si="23"/>
        <v/>
      </c>
      <c r="M240" s="401" t="str">
        <f t="shared" si="24"/>
        <v/>
      </c>
    </row>
    <row r="241" spans="2:13" s="5" customFormat="1" x14ac:dyDescent="0.25">
      <c r="B241" s="58"/>
      <c r="C241" s="14"/>
      <c r="D241" s="15"/>
      <c r="E241" s="15"/>
      <c r="F241" s="24"/>
      <c r="G241" s="421"/>
      <c r="H241" s="17" t="str">
        <f t="shared" si="20"/>
        <v/>
      </c>
      <c r="I241" s="63"/>
      <c r="J241" s="138"/>
      <c r="K241" s="138"/>
      <c r="L241" s="420" t="str">
        <f t="shared" si="23"/>
        <v/>
      </c>
      <c r="M241" s="401" t="str">
        <f t="shared" si="24"/>
        <v/>
      </c>
    </row>
    <row r="242" spans="2:13" s="5" customFormat="1" x14ac:dyDescent="0.25">
      <c r="B242" s="46"/>
      <c r="C242" s="14"/>
      <c r="D242" s="15"/>
      <c r="E242" s="15"/>
      <c r="F242" s="24"/>
      <c r="G242" s="411"/>
      <c r="H242" s="17" t="str">
        <f t="shared" si="20"/>
        <v/>
      </c>
      <c r="I242" s="63"/>
      <c r="J242" s="138"/>
      <c r="K242" s="138"/>
      <c r="L242" s="420" t="str">
        <f t="shared" si="23"/>
        <v/>
      </c>
      <c r="M242" s="401" t="str">
        <f t="shared" si="24"/>
        <v/>
      </c>
    </row>
    <row r="243" spans="2:13" s="5" customFormat="1" x14ac:dyDescent="0.25">
      <c r="B243" s="58"/>
      <c r="C243" s="14"/>
      <c r="D243" s="15"/>
      <c r="E243" s="15"/>
      <c r="F243" s="24"/>
      <c r="G243" s="411"/>
      <c r="H243" s="17" t="str">
        <f t="shared" si="20"/>
        <v/>
      </c>
      <c r="I243" s="63"/>
      <c r="J243" s="138"/>
      <c r="K243" s="138"/>
      <c r="L243" s="420" t="str">
        <f t="shared" si="23"/>
        <v/>
      </c>
      <c r="M243" s="401" t="str">
        <f t="shared" si="24"/>
        <v/>
      </c>
    </row>
    <row r="244" spans="2:13" s="5" customFormat="1" x14ac:dyDescent="0.25">
      <c r="B244" s="46"/>
      <c r="C244" s="14"/>
      <c r="D244" s="15"/>
      <c r="E244" s="15"/>
      <c r="F244" s="24"/>
      <c r="G244" s="422"/>
      <c r="H244" s="17" t="str">
        <f t="shared" si="20"/>
        <v/>
      </c>
      <c r="I244" s="63"/>
      <c r="J244" s="138"/>
      <c r="K244" s="138"/>
      <c r="L244" s="420" t="str">
        <f t="shared" si="23"/>
        <v/>
      </c>
      <c r="M244" s="401" t="str">
        <f t="shared" si="24"/>
        <v/>
      </c>
    </row>
    <row r="245" spans="2:13" s="5" customFormat="1" x14ac:dyDescent="0.25">
      <c r="B245" s="58"/>
      <c r="C245" s="14"/>
      <c r="D245" s="15"/>
      <c r="E245" s="15"/>
      <c r="F245" s="24"/>
      <c r="G245" s="422"/>
      <c r="H245" s="17" t="str">
        <f t="shared" si="20"/>
        <v/>
      </c>
      <c r="I245" s="63"/>
      <c r="J245" s="138"/>
      <c r="K245" s="138"/>
      <c r="L245" s="420" t="str">
        <f t="shared" si="23"/>
        <v/>
      </c>
      <c r="M245" s="401" t="str">
        <f t="shared" si="24"/>
        <v/>
      </c>
    </row>
    <row r="246" spans="2:13" s="5" customFormat="1" x14ac:dyDescent="0.25">
      <c r="B246" s="46"/>
      <c r="C246" s="14"/>
      <c r="D246" s="15"/>
      <c r="E246" s="15"/>
      <c r="F246" s="24"/>
      <c r="G246" s="423"/>
      <c r="H246" s="17" t="str">
        <f t="shared" si="20"/>
        <v/>
      </c>
      <c r="I246" s="63"/>
      <c r="J246" s="138"/>
      <c r="K246" s="138"/>
      <c r="L246" s="420" t="str">
        <f t="shared" si="23"/>
        <v/>
      </c>
      <c r="M246" s="401" t="str">
        <f t="shared" si="24"/>
        <v/>
      </c>
    </row>
    <row r="247" spans="2:13" s="5" customFormat="1" x14ac:dyDescent="0.25">
      <c r="B247" s="58"/>
      <c r="C247" s="14"/>
      <c r="D247" s="15"/>
      <c r="E247" s="15"/>
      <c r="F247" s="24"/>
      <c r="G247" s="411"/>
      <c r="H247" s="17" t="str">
        <f t="shared" si="20"/>
        <v/>
      </c>
      <c r="I247" s="63"/>
      <c r="J247" s="138"/>
      <c r="K247" s="138"/>
      <c r="L247" s="420" t="str">
        <f t="shared" si="23"/>
        <v/>
      </c>
      <c r="M247" s="401" t="str">
        <f t="shared" si="24"/>
        <v/>
      </c>
    </row>
    <row r="248" spans="2:13" s="5" customFormat="1" x14ac:dyDescent="0.25">
      <c r="B248" s="46"/>
      <c r="C248" s="14"/>
      <c r="D248" s="15"/>
      <c r="E248" s="15"/>
      <c r="F248" s="24"/>
      <c r="G248" s="411"/>
      <c r="H248" s="17" t="str">
        <f t="shared" si="20"/>
        <v/>
      </c>
      <c r="I248" s="63"/>
      <c r="J248" s="138"/>
      <c r="K248" s="138"/>
      <c r="L248" s="420" t="str">
        <f t="shared" si="23"/>
        <v/>
      </c>
      <c r="M248" s="401" t="str">
        <f t="shared" si="24"/>
        <v/>
      </c>
    </row>
    <row r="249" spans="2:13" s="5" customFormat="1" x14ac:dyDescent="0.25">
      <c r="B249" s="46"/>
      <c r="C249" s="14"/>
      <c r="D249" s="15"/>
      <c r="E249" s="15"/>
      <c r="F249" s="24"/>
      <c r="G249" s="411"/>
      <c r="H249" s="17" t="str">
        <f t="shared" si="20"/>
        <v/>
      </c>
      <c r="I249" s="63"/>
      <c r="J249" s="138"/>
      <c r="K249" s="138"/>
      <c r="L249" s="420" t="str">
        <f t="shared" si="23"/>
        <v/>
      </c>
      <c r="M249" s="401" t="str">
        <f t="shared" si="24"/>
        <v/>
      </c>
    </row>
    <row r="250" spans="2:13" s="5" customFormat="1" x14ac:dyDescent="0.25">
      <c r="B250" s="237"/>
      <c r="C250" s="238"/>
      <c r="D250" s="15"/>
      <c r="E250" s="15"/>
      <c r="F250" s="15"/>
      <c r="G250" s="424"/>
      <c r="H250" s="17" t="str">
        <f t="shared" si="20"/>
        <v/>
      </c>
      <c r="I250" s="63"/>
      <c r="J250" s="138"/>
      <c r="K250" s="138"/>
      <c r="L250" s="420" t="str">
        <f t="shared" si="23"/>
        <v/>
      </c>
      <c r="M250" s="401" t="str">
        <f t="shared" si="24"/>
        <v/>
      </c>
    </row>
    <row r="251" spans="2:13" s="5" customFormat="1" x14ac:dyDescent="0.25">
      <c r="B251" s="46"/>
      <c r="C251" s="14"/>
      <c r="D251" s="15"/>
      <c r="E251" s="15"/>
      <c r="F251" s="15"/>
      <c r="G251" s="424"/>
      <c r="H251" s="17" t="str">
        <f t="shared" si="20"/>
        <v/>
      </c>
      <c r="I251" s="63"/>
      <c r="J251" s="138"/>
      <c r="K251" s="138"/>
      <c r="L251" s="420" t="str">
        <f t="shared" si="23"/>
        <v/>
      </c>
      <c r="M251" s="401" t="str">
        <f t="shared" si="24"/>
        <v/>
      </c>
    </row>
    <row r="252" spans="2:13" s="5" customFormat="1" x14ac:dyDescent="0.25">
      <c r="B252" s="237"/>
      <c r="C252" s="238"/>
      <c r="D252" s="394"/>
      <c r="E252" s="394"/>
      <c r="F252" s="15"/>
      <c r="G252" s="424"/>
      <c r="H252" s="17" t="str">
        <f t="shared" si="20"/>
        <v/>
      </c>
      <c r="I252" s="63"/>
      <c r="J252" s="138"/>
      <c r="K252" s="138"/>
      <c r="L252" s="420" t="str">
        <f t="shared" si="23"/>
        <v/>
      </c>
      <c r="M252" s="401" t="str">
        <f t="shared" si="24"/>
        <v/>
      </c>
    </row>
    <row r="253" spans="2:13" s="5" customFormat="1" x14ac:dyDescent="0.25">
      <c r="B253" s="46"/>
      <c r="C253" s="14"/>
      <c r="D253" s="15"/>
      <c r="E253" s="15"/>
      <c r="F253" s="15"/>
      <c r="G253" s="424"/>
      <c r="H253" s="17" t="str">
        <f t="shared" si="20"/>
        <v/>
      </c>
      <c r="I253" s="63"/>
      <c r="J253" s="138"/>
      <c r="K253" s="138"/>
      <c r="L253" s="420" t="str">
        <f t="shared" si="23"/>
        <v/>
      </c>
      <c r="M253" s="401" t="str">
        <f t="shared" si="24"/>
        <v/>
      </c>
    </row>
    <row r="254" spans="2:13" s="5" customFormat="1" x14ac:dyDescent="0.25">
      <c r="B254" s="237"/>
      <c r="C254" s="238"/>
      <c r="D254" s="394"/>
      <c r="E254" s="394"/>
      <c r="F254" s="15"/>
      <c r="G254" s="424"/>
      <c r="H254" s="17" t="str">
        <f t="shared" si="20"/>
        <v/>
      </c>
      <c r="I254" s="63"/>
      <c r="J254" s="138"/>
      <c r="K254" s="138"/>
      <c r="L254" s="420" t="str">
        <f t="shared" si="23"/>
        <v/>
      </c>
      <c r="M254" s="401" t="str">
        <f t="shared" si="24"/>
        <v/>
      </c>
    </row>
    <row r="255" spans="2:13" s="5" customFormat="1" x14ac:dyDescent="0.25">
      <c r="B255" s="46"/>
      <c r="C255" s="14"/>
      <c r="D255" s="15"/>
      <c r="E255" s="15"/>
      <c r="F255" s="24"/>
      <c r="G255" s="411"/>
      <c r="H255" s="17" t="str">
        <f t="shared" si="20"/>
        <v/>
      </c>
      <c r="I255" s="63"/>
      <c r="J255" s="711"/>
      <c r="K255" s="711"/>
      <c r="L255" s="420" t="str">
        <f t="shared" si="23"/>
        <v/>
      </c>
      <c r="M255" s="401" t="str">
        <f t="shared" si="24"/>
        <v/>
      </c>
    </row>
    <row r="256" spans="2:13" s="28" customFormat="1" ht="24.75" customHeight="1" x14ac:dyDescent="0.25">
      <c r="B256" s="84" t="str">
        <f>$B$12</f>
        <v>C11.6</v>
      </c>
      <c r="C256" s="30" t="str">
        <f>"TOTAL CARRIED FORWARD"&amp;IF(H256=H$1," TO SUMMARY","")</f>
        <v>TOTAL CARRIED FORWARD TO SUMMARY</v>
      </c>
      <c r="D256" s="31"/>
      <c r="E256" s="31"/>
      <c r="F256" s="32"/>
      <c r="G256" s="31"/>
      <c r="H256" s="33">
        <f>SUM(H198:H255)</f>
        <v>105600</v>
      </c>
      <c r="I256" s="34"/>
      <c r="J256" s="408"/>
      <c r="K256" s="406"/>
      <c r="L256" s="418">
        <f>SUM(L198:L255)</f>
        <v>11755.8</v>
      </c>
      <c r="M256" s="407" t="str">
        <f t="shared" si="22"/>
        <v/>
      </c>
    </row>
  </sheetData>
  <mergeCells count="25">
    <mergeCell ref="B193:G193"/>
    <mergeCell ref="H193:H196"/>
    <mergeCell ref="B194:G196"/>
    <mergeCell ref="B126:G126"/>
    <mergeCell ref="H126:H129"/>
    <mergeCell ref="B127:G129"/>
    <mergeCell ref="B190:D190"/>
    <mergeCell ref="F190:H192"/>
    <mergeCell ref="B191:D191"/>
    <mergeCell ref="B192:D192"/>
    <mergeCell ref="B72:G72"/>
    <mergeCell ref="H72:H75"/>
    <mergeCell ref="B73:G75"/>
    <mergeCell ref="B123:D123"/>
    <mergeCell ref="F123:H125"/>
    <mergeCell ref="B124:D124"/>
    <mergeCell ref="B125:D125"/>
    <mergeCell ref="F3:H3"/>
    <mergeCell ref="B6:G6"/>
    <mergeCell ref="H6:H9"/>
    <mergeCell ref="B7:G9"/>
    <mergeCell ref="B69:D69"/>
    <mergeCell ref="F69:H71"/>
    <mergeCell ref="B70:D70"/>
    <mergeCell ref="B71:D71"/>
  </mergeCells>
  <conditionalFormatting sqref="G11:H68 G77:H122 G131:H189 G198:H256">
    <cfRule type="expression" dxfId="16" priority="1">
      <formula>_Show_Price=FALSE</formula>
    </cfRule>
  </conditionalFormatting>
  <pageMargins left="0.43307086614173229" right="0.31496062992125984" top="0.43307086614173229" bottom="0.62992125984251968" header="0.35433070866141736" footer="0.31496062992125984"/>
  <pageSetup paperSize="9" scale="77" firstPageNumber="31"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68" max="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7">
    <tabColor rgb="FFFFFF00"/>
  </sheetPr>
  <dimension ref="A1:N263"/>
  <sheetViews>
    <sheetView view="pageBreakPreview" zoomScaleNormal="125" zoomScaleSheetLayoutView="100" zoomScalePageLayoutView="125" workbookViewId="0">
      <pane xSplit="4" ySplit="3" topLeftCell="E4" activePane="bottomRight" state="frozen"/>
      <selection activeCell="B26" sqref="B26:G26"/>
      <selection pane="topRight" activeCell="B26" sqref="B26:G26"/>
      <selection pane="bottomLeft" activeCell="B26" sqref="B26:G26"/>
      <selection pane="bottomRight" activeCell="B26" sqref="B26:G26"/>
    </sheetView>
  </sheetViews>
  <sheetFormatPr defaultColWidth="8.81640625" defaultRowHeight="11.5" x14ac:dyDescent="0.25"/>
  <cols>
    <col min="1" max="1" width="0.81640625" style="97" customWidth="1"/>
    <col min="2" max="2" width="11.7265625" style="101" customWidth="1"/>
    <col min="3" max="3" width="45.7265625" style="100" customWidth="1"/>
    <col min="4" max="4" width="12.453125" style="99" customWidth="1"/>
    <col min="5" max="5" width="5" style="99" customWidth="1"/>
    <col min="6" max="6" width="15.7265625" style="99" customWidth="1"/>
    <col min="7" max="7" width="15.7265625" style="97" customWidth="1"/>
    <col min="8" max="8" width="15.7265625" style="98" customWidth="1"/>
    <col min="9" max="9" width="0.81640625" style="98" customWidth="1"/>
    <col min="10" max="10" width="8.81640625" style="97"/>
    <col min="11" max="11" width="13.54296875" style="97" customWidth="1"/>
    <col min="12" max="12" width="14.1796875" style="97" customWidth="1"/>
    <col min="13" max="13" width="13.7265625" style="97" customWidth="1"/>
    <col min="14" max="14" width="13.54296875" style="97" customWidth="1"/>
    <col min="15" max="16384" width="8.81640625" style="97"/>
  </cols>
  <sheetData>
    <row r="1" spans="1:14" s="250" customFormat="1" x14ac:dyDescent="0.25">
      <c r="A1" s="242"/>
      <c r="B1" s="243"/>
      <c r="C1" s="244" t="s">
        <v>993</v>
      </c>
      <c r="D1" s="245"/>
      <c r="E1" s="245"/>
      <c r="F1" s="246" t="s">
        <v>994</v>
      </c>
      <c r="G1" s="244">
        <v>1</v>
      </c>
      <c r="H1" s="247">
        <f>MAX(H2:H263)</f>
        <v>128380.00000000003</v>
      </c>
      <c r="I1" s="247">
        <f>MAX(I2:I229)</f>
        <v>0</v>
      </c>
      <c r="J1" s="248"/>
      <c r="K1" s="249"/>
      <c r="L1" s="247">
        <f>MAX(L2:L257)</f>
        <v>7342.8000000000011</v>
      </c>
      <c r="M1" s="249"/>
    </row>
    <row r="2" spans="1:14" s="250" customFormat="1"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x14ac:dyDescent="0.25">
      <c r="B3" s="125" t="str">
        <f>Client1</f>
        <v>Province of KwaZulu-Natal</v>
      </c>
      <c r="F3" s="1186" t="str">
        <f>"Contract No. "&amp;ContractNo</f>
        <v>Contract No. ZNB 00399/00000/HOD/INF/21/T</v>
      </c>
      <c r="G3" s="1186"/>
      <c r="H3" s="1186"/>
    </row>
    <row r="4" spans="1:14" x14ac:dyDescent="0.25">
      <c r="B4" s="124" t="str">
        <f>Client2</f>
        <v>Department of Transport</v>
      </c>
    </row>
    <row r="5" spans="1:14" x14ac:dyDescent="0.25">
      <c r="B5" s="100"/>
    </row>
    <row r="6" spans="1:14" ht="12.75" customHeight="1" x14ac:dyDescent="0.25">
      <c r="B6" s="1187" t="s">
        <v>8</v>
      </c>
      <c r="C6" s="1188"/>
      <c r="D6" s="1188"/>
      <c r="E6" s="1188"/>
      <c r="F6" s="1188"/>
      <c r="G6" s="1188"/>
      <c r="H6" s="1141" t="str">
        <f>"CHAPTER "&amp;B12</f>
        <v>CHAPTER C11.7</v>
      </c>
      <c r="I6" s="126"/>
    </row>
    <row r="7" spans="1:14" ht="7.5" customHeight="1" x14ac:dyDescent="0.25">
      <c r="B7" s="1189" t="str">
        <f>ContractDescription</f>
        <v>THE CONSTRUCTION OF EARTHWORKS, LAYERWORKS, SURFACING, CULVERTS AND CWAKA RIVER BRIDGE FROM KM 11.600 TO KM 14.000 ON MAIN ROAD P494 IN THE KING CETSHWAYO DISTRICT UNDER EMPANGENI REGION</v>
      </c>
      <c r="C7" s="1174"/>
      <c r="D7" s="1174"/>
      <c r="E7" s="1174"/>
      <c r="F7" s="1174"/>
      <c r="G7" s="1174"/>
      <c r="H7" s="1142"/>
      <c r="I7" s="123"/>
    </row>
    <row r="8" spans="1:14" ht="12.75" customHeight="1" x14ac:dyDescent="0.25">
      <c r="B8" s="1189"/>
      <c r="C8" s="1174"/>
      <c r="D8" s="1174"/>
      <c r="E8" s="1174"/>
      <c r="F8" s="1174"/>
      <c r="G8" s="1174"/>
      <c r="H8" s="1142"/>
      <c r="I8" s="123"/>
    </row>
    <row r="9" spans="1:14" s="121" customFormat="1" ht="7.5" customHeight="1" x14ac:dyDescent="0.25">
      <c r="B9" s="1190"/>
      <c r="C9" s="1191"/>
      <c r="D9" s="1191"/>
      <c r="E9" s="1191"/>
      <c r="F9" s="1191"/>
      <c r="G9" s="1191"/>
      <c r="H9" s="1143"/>
      <c r="I9" s="122"/>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ht="12.5" x14ac:dyDescent="0.25">
      <c r="B11" s="58"/>
      <c r="C11" s="65"/>
      <c r="D11" s="15"/>
      <c r="E11" s="15"/>
      <c r="F11" s="15"/>
      <c r="G11" s="411"/>
      <c r="H11" s="17" t="str">
        <f t="shared" ref="H11:H68" si="0">IF(D11="","",F11*G11)</f>
        <v/>
      </c>
      <c r="I11" s="116"/>
      <c r="J11" s="61"/>
      <c r="K11" s="399"/>
      <c r="L11" s="420" t="str">
        <f>IF(J11="","",F11*K11)</f>
        <v/>
      </c>
      <c r="M11" s="401" t="str">
        <f t="shared" ref="M11" si="1">IF(J11="","",IF(SUM(H11)=0,"",L11/H11))</f>
        <v/>
      </c>
    </row>
    <row r="12" spans="1:14" ht="13" x14ac:dyDescent="0.25">
      <c r="B12" s="146" t="s">
        <v>741</v>
      </c>
      <c r="C12" s="672" t="s">
        <v>740</v>
      </c>
      <c r="D12" s="15"/>
      <c r="E12" s="15"/>
      <c r="F12" s="15"/>
      <c r="G12" s="411"/>
      <c r="H12" s="17" t="str">
        <f t="shared" si="0"/>
        <v/>
      </c>
      <c r="I12" s="116"/>
      <c r="J12" s="61"/>
      <c r="K12" s="399"/>
      <c r="L12" s="420" t="str">
        <f t="shared" ref="L12:L68" si="2">IF(J12="","",F12*K12)</f>
        <v/>
      </c>
      <c r="M12" s="401" t="str">
        <f t="shared" ref="M12:M68" si="3">IF(J12="","",IF(SUM(H12)=0,"",L12/H12))</f>
        <v/>
      </c>
    </row>
    <row r="13" spans="1:14" ht="10.5" customHeight="1" x14ac:dyDescent="0.25">
      <c r="B13" s="58"/>
      <c r="C13" s="65"/>
      <c r="D13" s="15"/>
      <c r="E13" s="15"/>
      <c r="F13" s="15"/>
      <c r="G13" s="411"/>
      <c r="H13" s="17" t="str">
        <f t="shared" si="0"/>
        <v/>
      </c>
      <c r="I13" s="116"/>
      <c r="J13" s="61"/>
      <c r="K13" s="399"/>
      <c r="L13" s="420" t="str">
        <f t="shared" si="2"/>
        <v/>
      </c>
      <c r="M13" s="401" t="str">
        <f t="shared" si="3"/>
        <v/>
      </c>
    </row>
    <row r="14" spans="1:14" ht="13" x14ac:dyDescent="0.25">
      <c r="B14" s="146" t="s">
        <v>1884</v>
      </c>
      <c r="C14" s="672" t="s">
        <v>739</v>
      </c>
      <c r="D14" s="15"/>
      <c r="E14" s="15"/>
      <c r="F14" s="15"/>
      <c r="G14" s="411"/>
      <c r="H14" s="17" t="str">
        <f t="shared" si="0"/>
        <v/>
      </c>
      <c r="I14" s="116"/>
      <c r="J14" s="61"/>
      <c r="K14" s="399"/>
      <c r="L14" s="420" t="str">
        <f t="shared" si="2"/>
        <v/>
      </c>
      <c r="M14" s="401" t="str">
        <f t="shared" si="3"/>
        <v/>
      </c>
    </row>
    <row r="15" spans="1:14" ht="12.5" x14ac:dyDescent="0.25">
      <c r="B15" s="58"/>
      <c r="C15" s="65"/>
      <c r="D15" s="15"/>
      <c r="E15" s="15"/>
      <c r="F15" s="15"/>
      <c r="G15" s="411"/>
      <c r="H15" s="17" t="str">
        <f t="shared" si="0"/>
        <v/>
      </c>
      <c r="I15" s="116"/>
      <c r="J15" s="61"/>
      <c r="K15" s="399"/>
      <c r="L15" s="420" t="str">
        <f t="shared" si="2"/>
        <v/>
      </c>
      <c r="M15" s="401" t="str">
        <f t="shared" si="3"/>
        <v/>
      </c>
    </row>
    <row r="16" spans="1:14" ht="25" x14ac:dyDescent="0.25">
      <c r="B16" s="58" t="s">
        <v>738</v>
      </c>
      <c r="C16" s="65" t="s">
        <v>2138</v>
      </c>
      <c r="D16" s="15"/>
      <c r="E16" s="15"/>
      <c r="F16" s="24"/>
      <c r="G16" s="703"/>
      <c r="H16" s="17" t="str">
        <f t="shared" si="0"/>
        <v/>
      </c>
      <c r="I16" s="119"/>
      <c r="J16" s="61"/>
      <c r="K16" s="400"/>
      <c r="L16" s="420" t="str">
        <f t="shared" si="2"/>
        <v/>
      </c>
      <c r="M16" s="401" t="str">
        <f t="shared" si="3"/>
        <v/>
      </c>
    </row>
    <row r="17" spans="2:13" ht="12.5" x14ac:dyDescent="0.25">
      <c r="B17" s="58"/>
      <c r="C17" s="65"/>
      <c r="D17" s="15"/>
      <c r="E17" s="15"/>
      <c r="F17" s="24"/>
      <c r="G17" s="422"/>
      <c r="H17" s="17" t="str">
        <f t="shared" si="0"/>
        <v/>
      </c>
      <c r="I17" s="119"/>
      <c r="J17" s="61"/>
      <c r="K17" s="399"/>
      <c r="L17" s="420" t="str">
        <f t="shared" si="2"/>
        <v/>
      </c>
      <c r="M17" s="401" t="str">
        <f t="shared" si="3"/>
        <v/>
      </c>
    </row>
    <row r="18" spans="2:13" ht="12.5" x14ac:dyDescent="0.25">
      <c r="B18" s="58"/>
      <c r="C18" s="65" t="s">
        <v>1691</v>
      </c>
      <c r="D18" s="15" t="s">
        <v>22</v>
      </c>
      <c r="E18" s="15" t="s">
        <v>996</v>
      </c>
      <c r="F18" s="24">
        <f>_RoadLength*2.5</f>
        <v>6.0000000000000009</v>
      </c>
      <c r="G18" s="422">
        <v>4100</v>
      </c>
      <c r="H18" s="17">
        <f t="shared" si="0"/>
        <v>24600.000000000004</v>
      </c>
      <c r="I18" s="116"/>
      <c r="J18" s="61" t="s">
        <v>1721</v>
      </c>
      <c r="K18" s="399">
        <f>ROUND(6%*G18,0)</f>
        <v>246</v>
      </c>
      <c r="L18" s="420">
        <f t="shared" si="2"/>
        <v>1476.0000000000002</v>
      </c>
      <c r="M18" s="401">
        <f t="shared" si="3"/>
        <v>0.06</v>
      </c>
    </row>
    <row r="19" spans="2:13" ht="12.5" x14ac:dyDescent="0.25">
      <c r="B19" s="58"/>
      <c r="C19" s="65"/>
      <c r="D19" s="15"/>
      <c r="E19" s="15"/>
      <c r="F19" s="24"/>
      <c r="G19" s="422"/>
      <c r="H19" s="17" t="str">
        <f t="shared" si="0"/>
        <v/>
      </c>
      <c r="I19" s="120"/>
      <c r="J19" s="61"/>
      <c r="K19" s="399"/>
      <c r="L19" s="420" t="str">
        <f t="shared" si="2"/>
        <v/>
      </c>
      <c r="M19" s="401" t="str">
        <f t="shared" si="3"/>
        <v/>
      </c>
    </row>
    <row r="20" spans="2:13" ht="12.5" x14ac:dyDescent="0.25">
      <c r="B20" s="58"/>
      <c r="C20" s="65" t="s">
        <v>1692</v>
      </c>
      <c r="D20" s="15" t="s">
        <v>22</v>
      </c>
      <c r="E20" s="15" t="s">
        <v>996</v>
      </c>
      <c r="F20" s="582">
        <f>_RoadLength</f>
        <v>2.4000000000000004</v>
      </c>
      <c r="G20" s="422">
        <v>5500</v>
      </c>
      <c r="H20" s="17">
        <f t="shared" si="0"/>
        <v>13200.000000000002</v>
      </c>
      <c r="I20" s="117"/>
      <c r="J20" s="61" t="s">
        <v>1721</v>
      </c>
      <c r="K20" s="399">
        <f>ROUND(6%*G20,0)</f>
        <v>330</v>
      </c>
      <c r="L20" s="420">
        <f t="shared" si="2"/>
        <v>792.00000000000011</v>
      </c>
      <c r="M20" s="401">
        <f t="shared" si="3"/>
        <v>0.06</v>
      </c>
    </row>
    <row r="21" spans="2:13" ht="12.5" x14ac:dyDescent="0.25">
      <c r="B21" s="58"/>
      <c r="C21" s="68"/>
      <c r="D21" s="61"/>
      <c r="E21" s="61"/>
      <c r="F21" s="24"/>
      <c r="G21" s="421"/>
      <c r="H21" s="17" t="str">
        <f t="shared" si="0"/>
        <v/>
      </c>
      <c r="I21" s="117"/>
      <c r="J21" s="61"/>
      <c r="K21" s="402"/>
      <c r="L21" s="420" t="str">
        <f t="shared" si="2"/>
        <v/>
      </c>
      <c r="M21" s="401" t="str">
        <f t="shared" si="3"/>
        <v/>
      </c>
    </row>
    <row r="22" spans="2:13" ht="25" x14ac:dyDescent="0.25">
      <c r="B22" s="58" t="s">
        <v>737</v>
      </c>
      <c r="C22" s="65" t="s">
        <v>2139</v>
      </c>
      <c r="D22" s="15"/>
      <c r="E22" s="15"/>
      <c r="F22" s="24"/>
      <c r="G22" s="423"/>
      <c r="H22" s="17" t="str">
        <f t="shared" si="0"/>
        <v/>
      </c>
      <c r="I22" s="117"/>
      <c r="J22" s="61"/>
      <c r="K22" s="402"/>
      <c r="L22" s="420" t="str">
        <f t="shared" si="2"/>
        <v/>
      </c>
      <c r="M22" s="401" t="str">
        <f t="shared" si="3"/>
        <v/>
      </c>
    </row>
    <row r="23" spans="2:13" ht="12.5" x14ac:dyDescent="0.25">
      <c r="B23" s="58"/>
      <c r="C23" s="65"/>
      <c r="D23" s="15"/>
      <c r="E23" s="15"/>
      <c r="F23" s="24"/>
      <c r="G23" s="423"/>
      <c r="H23" s="17" t="str">
        <f t="shared" si="0"/>
        <v/>
      </c>
      <c r="I23" s="117"/>
      <c r="J23" s="61"/>
      <c r="K23" s="402"/>
      <c r="L23" s="420" t="str">
        <f t="shared" si="2"/>
        <v/>
      </c>
      <c r="M23" s="401" t="str">
        <f t="shared" si="3"/>
        <v/>
      </c>
    </row>
    <row r="24" spans="2:13" ht="12.5" x14ac:dyDescent="0.25">
      <c r="B24" s="58"/>
      <c r="C24" s="65" t="s">
        <v>1691</v>
      </c>
      <c r="D24" s="15" t="s">
        <v>22</v>
      </c>
      <c r="E24" s="15" t="s">
        <v>996</v>
      </c>
      <c r="F24" s="582">
        <f>_RoadLength*2</f>
        <v>4.8000000000000007</v>
      </c>
      <c r="G24" s="423">
        <v>4100</v>
      </c>
      <c r="H24" s="17">
        <f t="shared" si="0"/>
        <v>19680.000000000004</v>
      </c>
      <c r="I24" s="117"/>
      <c r="J24" s="61" t="s">
        <v>1721</v>
      </c>
      <c r="K24" s="399">
        <f>ROUND(6%*G24,0)</f>
        <v>246</v>
      </c>
      <c r="L24" s="420">
        <f t="shared" si="2"/>
        <v>1180.8000000000002</v>
      </c>
      <c r="M24" s="401">
        <f t="shared" si="3"/>
        <v>0.06</v>
      </c>
    </row>
    <row r="25" spans="2:13" ht="12.5" x14ac:dyDescent="0.25">
      <c r="B25" s="58"/>
      <c r="C25" s="65"/>
      <c r="D25" s="15"/>
      <c r="E25" s="15"/>
      <c r="F25" s="24"/>
      <c r="G25" s="421"/>
      <c r="H25" s="17" t="str">
        <f t="shared" si="0"/>
        <v/>
      </c>
      <c r="I25" s="117"/>
      <c r="J25" s="61"/>
      <c r="K25" s="402"/>
      <c r="L25" s="420" t="str">
        <f t="shared" si="2"/>
        <v/>
      </c>
      <c r="M25" s="401" t="str">
        <f t="shared" si="3"/>
        <v/>
      </c>
    </row>
    <row r="26" spans="2:13" ht="25" x14ac:dyDescent="0.3">
      <c r="B26" s="58" t="s">
        <v>736</v>
      </c>
      <c r="C26" s="65" t="s">
        <v>2140</v>
      </c>
      <c r="D26" s="15" t="s">
        <v>511</v>
      </c>
      <c r="E26" s="15" t="s">
        <v>996</v>
      </c>
      <c r="F26" s="24">
        <v>10</v>
      </c>
      <c r="G26" s="422">
        <v>150</v>
      </c>
      <c r="H26" s="17">
        <f t="shared" si="0"/>
        <v>1500</v>
      </c>
      <c r="I26" s="116"/>
      <c r="J26" s="61" t="s">
        <v>1721</v>
      </c>
      <c r="K26" s="399">
        <f>ROUND(6%*G26,0)</f>
        <v>9</v>
      </c>
      <c r="L26" s="420">
        <f t="shared" si="2"/>
        <v>90</v>
      </c>
      <c r="M26" s="401">
        <f t="shared" si="3"/>
        <v>0.06</v>
      </c>
    </row>
    <row r="27" spans="2:13" ht="12.5" x14ac:dyDescent="0.25">
      <c r="B27" s="58"/>
      <c r="C27" s="68"/>
      <c r="D27" s="15"/>
      <c r="E27" s="15"/>
      <c r="F27" s="24"/>
      <c r="G27" s="421"/>
      <c r="H27" s="17" t="str">
        <f t="shared" si="0"/>
        <v/>
      </c>
      <c r="I27" s="116"/>
      <c r="J27" s="61"/>
      <c r="K27" s="399"/>
      <c r="L27" s="420" t="str">
        <f t="shared" si="2"/>
        <v/>
      </c>
      <c r="M27" s="401" t="str">
        <f t="shared" si="3"/>
        <v/>
      </c>
    </row>
    <row r="28" spans="2:13" ht="25" x14ac:dyDescent="0.3">
      <c r="B28" s="58" t="s">
        <v>735</v>
      </c>
      <c r="C28" s="65" t="s">
        <v>2141</v>
      </c>
      <c r="D28" s="15" t="s">
        <v>511</v>
      </c>
      <c r="E28" s="15" t="s">
        <v>996</v>
      </c>
      <c r="F28" s="24">
        <v>10</v>
      </c>
      <c r="G28" s="423">
        <v>150</v>
      </c>
      <c r="H28" s="17">
        <f t="shared" si="0"/>
        <v>1500</v>
      </c>
      <c r="I28" s="116"/>
      <c r="J28" s="61" t="s">
        <v>1721</v>
      </c>
      <c r="K28" s="399">
        <f>ROUND(6%*G28,0)</f>
        <v>9</v>
      </c>
      <c r="L28" s="420">
        <f t="shared" si="2"/>
        <v>90</v>
      </c>
      <c r="M28" s="401">
        <f t="shared" si="3"/>
        <v>0.06</v>
      </c>
    </row>
    <row r="29" spans="2:13" ht="12.5" x14ac:dyDescent="0.25">
      <c r="B29" s="58"/>
      <c r="C29" s="65"/>
      <c r="D29" s="15"/>
      <c r="E29" s="15"/>
      <c r="F29" s="24"/>
      <c r="G29" s="411"/>
      <c r="H29" s="17" t="str">
        <f t="shared" si="0"/>
        <v/>
      </c>
      <c r="I29" s="116"/>
      <c r="J29" s="61"/>
      <c r="K29" s="399"/>
      <c r="L29" s="420" t="str">
        <f t="shared" si="2"/>
        <v/>
      </c>
      <c r="M29" s="401" t="str">
        <f t="shared" si="3"/>
        <v/>
      </c>
    </row>
    <row r="30" spans="2:13" ht="37.5" x14ac:dyDescent="0.25">
      <c r="B30" s="58" t="s">
        <v>734</v>
      </c>
      <c r="C30" s="70" t="s">
        <v>2142</v>
      </c>
      <c r="D30" s="15" t="s">
        <v>61</v>
      </c>
      <c r="E30" s="15" t="s">
        <v>996</v>
      </c>
      <c r="F30" s="24">
        <v>10</v>
      </c>
      <c r="G30" s="411">
        <v>150</v>
      </c>
      <c r="H30" s="17">
        <f t="shared" si="0"/>
        <v>1500</v>
      </c>
      <c r="I30" s="119"/>
      <c r="J30" s="61" t="s">
        <v>1721</v>
      </c>
      <c r="K30" s="399">
        <f>ROUND(6%*G30,0)</f>
        <v>9</v>
      </c>
      <c r="L30" s="420">
        <f t="shared" si="2"/>
        <v>90</v>
      </c>
      <c r="M30" s="401">
        <f t="shared" si="3"/>
        <v>0.06</v>
      </c>
    </row>
    <row r="31" spans="2:13" ht="12.5" x14ac:dyDescent="0.25">
      <c r="B31" s="58"/>
      <c r="C31" s="65"/>
      <c r="D31" s="15"/>
      <c r="E31" s="15"/>
      <c r="F31" s="24"/>
      <c r="G31" s="422"/>
      <c r="H31" s="17" t="str">
        <f t="shared" si="0"/>
        <v/>
      </c>
      <c r="I31" s="116"/>
      <c r="J31" s="61"/>
      <c r="K31" s="399"/>
      <c r="L31" s="420" t="str">
        <f t="shared" si="2"/>
        <v/>
      </c>
      <c r="M31" s="401" t="str">
        <f t="shared" si="3"/>
        <v/>
      </c>
    </row>
    <row r="32" spans="2:13" ht="13" x14ac:dyDescent="0.25">
      <c r="B32" s="146" t="s">
        <v>733</v>
      </c>
      <c r="C32" s="672" t="s">
        <v>732</v>
      </c>
      <c r="D32" s="15"/>
      <c r="E32" s="15"/>
      <c r="F32" s="24"/>
      <c r="G32" s="422"/>
      <c r="H32" s="17" t="str">
        <f t="shared" si="0"/>
        <v/>
      </c>
      <c r="I32" s="116"/>
      <c r="J32" s="61"/>
      <c r="K32" s="399"/>
      <c r="L32" s="420" t="str">
        <f t="shared" si="2"/>
        <v/>
      </c>
      <c r="M32" s="401" t="str">
        <f t="shared" si="3"/>
        <v/>
      </c>
    </row>
    <row r="33" spans="2:13" ht="12.5" x14ac:dyDescent="0.25">
      <c r="B33" s="58"/>
      <c r="C33" s="65"/>
      <c r="D33" s="15"/>
      <c r="E33" s="15"/>
      <c r="F33" s="24"/>
      <c r="G33" s="422"/>
      <c r="H33" s="17" t="str">
        <f t="shared" si="0"/>
        <v/>
      </c>
      <c r="I33" s="116"/>
      <c r="J33" s="61"/>
      <c r="K33" s="399"/>
      <c r="L33" s="420" t="str">
        <f t="shared" si="2"/>
        <v/>
      </c>
      <c r="M33" s="401" t="str">
        <f t="shared" si="3"/>
        <v/>
      </c>
    </row>
    <row r="34" spans="2:13" ht="13" x14ac:dyDescent="0.3">
      <c r="B34" s="58" t="s">
        <v>731</v>
      </c>
      <c r="C34" s="65" t="s">
        <v>730</v>
      </c>
      <c r="D34" s="707" t="s">
        <v>565</v>
      </c>
      <c r="E34" s="707"/>
      <c r="F34" s="708">
        <v>0</v>
      </c>
      <c r="G34" s="423">
        <v>50</v>
      </c>
      <c r="H34" s="708">
        <f t="shared" si="0"/>
        <v>0</v>
      </c>
      <c r="I34" s="116"/>
      <c r="J34" s="61"/>
      <c r="K34" s="400"/>
      <c r="L34" s="420" t="str">
        <f t="shared" si="2"/>
        <v/>
      </c>
      <c r="M34" s="401" t="str">
        <f t="shared" si="3"/>
        <v/>
      </c>
    </row>
    <row r="35" spans="2:13" ht="12.5" x14ac:dyDescent="0.25">
      <c r="B35" s="58"/>
      <c r="C35" s="65"/>
      <c r="D35" s="15"/>
      <c r="E35" s="15"/>
      <c r="F35" s="24"/>
      <c r="G35" s="411"/>
      <c r="H35" s="17" t="str">
        <f t="shared" si="0"/>
        <v/>
      </c>
      <c r="I35" s="116"/>
      <c r="J35" s="61"/>
      <c r="K35" s="399"/>
      <c r="L35" s="420" t="str">
        <f t="shared" si="2"/>
        <v/>
      </c>
      <c r="M35" s="401" t="str">
        <f t="shared" si="3"/>
        <v/>
      </c>
    </row>
    <row r="36" spans="2:13" ht="13" x14ac:dyDescent="0.3">
      <c r="B36" s="58" t="s">
        <v>729</v>
      </c>
      <c r="C36" s="65" t="s">
        <v>728</v>
      </c>
      <c r="D36" s="707" t="s">
        <v>565</v>
      </c>
      <c r="E36" s="707"/>
      <c r="F36" s="708">
        <v>0</v>
      </c>
      <c r="G36" s="411">
        <v>50</v>
      </c>
      <c r="H36" s="708">
        <f t="shared" si="0"/>
        <v>0</v>
      </c>
      <c r="I36" s="119"/>
      <c r="J36" s="61"/>
      <c r="K36" s="399"/>
      <c r="L36" s="420" t="str">
        <f t="shared" si="2"/>
        <v/>
      </c>
      <c r="M36" s="401" t="str">
        <f t="shared" si="3"/>
        <v/>
      </c>
    </row>
    <row r="37" spans="2:13" ht="12.5" x14ac:dyDescent="0.25">
      <c r="B37" s="58"/>
      <c r="C37" s="65"/>
      <c r="D37" s="15"/>
      <c r="E37" s="15"/>
      <c r="F37" s="24"/>
      <c r="G37" s="411"/>
      <c r="H37" s="17" t="str">
        <f t="shared" si="0"/>
        <v/>
      </c>
      <c r="I37" s="116"/>
      <c r="J37" s="61"/>
      <c r="K37" s="399"/>
      <c r="L37" s="420" t="str">
        <f t="shared" si="2"/>
        <v/>
      </c>
      <c r="M37" s="401" t="str">
        <f t="shared" si="3"/>
        <v/>
      </c>
    </row>
    <row r="38" spans="2:13" ht="13" x14ac:dyDescent="0.3">
      <c r="B38" s="58" t="s">
        <v>727</v>
      </c>
      <c r="C38" s="65" t="s">
        <v>726</v>
      </c>
      <c r="D38" s="707" t="s">
        <v>565</v>
      </c>
      <c r="E38" s="707"/>
      <c r="F38" s="708">
        <v>0</v>
      </c>
      <c r="G38" s="422">
        <v>50</v>
      </c>
      <c r="H38" s="708">
        <f t="shared" si="0"/>
        <v>0</v>
      </c>
      <c r="I38" s="116"/>
      <c r="J38" s="61"/>
      <c r="K38" s="399"/>
      <c r="L38" s="420" t="str">
        <f t="shared" si="2"/>
        <v/>
      </c>
      <c r="M38" s="401" t="str">
        <f t="shared" si="3"/>
        <v/>
      </c>
    </row>
    <row r="39" spans="2:13" ht="12.5" x14ac:dyDescent="0.25">
      <c r="B39" s="58"/>
      <c r="C39" s="65"/>
      <c r="D39" s="15"/>
      <c r="E39" s="15"/>
      <c r="F39" s="24"/>
      <c r="G39" s="423"/>
      <c r="H39" s="17" t="str">
        <f t="shared" si="0"/>
        <v/>
      </c>
      <c r="I39" s="116"/>
      <c r="J39" s="61"/>
      <c r="K39" s="399"/>
      <c r="L39" s="420" t="str">
        <f t="shared" si="2"/>
        <v/>
      </c>
      <c r="M39" s="401" t="str">
        <f t="shared" si="3"/>
        <v/>
      </c>
    </row>
    <row r="40" spans="2:13" ht="13" x14ac:dyDescent="0.25">
      <c r="B40" s="146" t="s">
        <v>1883</v>
      </c>
      <c r="C40" s="789" t="s">
        <v>725</v>
      </c>
      <c r="D40" s="61"/>
      <c r="E40" s="61"/>
      <c r="F40" s="15"/>
      <c r="G40" s="422"/>
      <c r="H40" s="17" t="str">
        <f t="shared" si="0"/>
        <v/>
      </c>
      <c r="I40" s="116"/>
      <c r="J40" s="61"/>
      <c r="K40" s="400"/>
      <c r="L40" s="420" t="str">
        <f t="shared" si="2"/>
        <v/>
      </c>
      <c r="M40" s="401" t="str">
        <f t="shared" si="3"/>
        <v/>
      </c>
    </row>
    <row r="41" spans="2:13" ht="12.5" x14ac:dyDescent="0.25">
      <c r="B41" s="58"/>
      <c r="C41" s="68"/>
      <c r="D41" s="61"/>
      <c r="E41" s="61"/>
      <c r="F41" s="15"/>
      <c r="G41" s="422"/>
      <c r="H41" s="17" t="str">
        <f t="shared" si="0"/>
        <v/>
      </c>
      <c r="I41" s="116"/>
      <c r="J41" s="61"/>
      <c r="K41" s="399"/>
      <c r="L41" s="420" t="str">
        <f t="shared" si="2"/>
        <v/>
      </c>
      <c r="M41" s="401" t="str">
        <f t="shared" si="3"/>
        <v/>
      </c>
    </row>
    <row r="42" spans="2:13" ht="25" x14ac:dyDescent="0.25">
      <c r="B42" s="58" t="s">
        <v>724</v>
      </c>
      <c r="C42" s="65" t="s">
        <v>2143</v>
      </c>
      <c r="D42" s="15" t="s">
        <v>34</v>
      </c>
      <c r="E42" s="15" t="s">
        <v>996</v>
      </c>
      <c r="F42" s="666">
        <f>_RoadLength*1000/_RoadstudSpc*3</f>
        <v>600.00000000000011</v>
      </c>
      <c r="G42" s="422">
        <v>70</v>
      </c>
      <c r="H42" s="17">
        <f t="shared" si="0"/>
        <v>42000.000000000007</v>
      </c>
      <c r="I42" s="116"/>
      <c r="J42" s="61" t="s">
        <v>1721</v>
      </c>
      <c r="K42" s="399">
        <f>ROUND(6%*G42,0)</f>
        <v>4</v>
      </c>
      <c r="L42" s="420">
        <f t="shared" si="2"/>
        <v>2400.0000000000005</v>
      </c>
      <c r="M42" s="401">
        <f t="shared" si="3"/>
        <v>5.7142857142857141E-2</v>
      </c>
    </row>
    <row r="43" spans="2:13" ht="12.5" x14ac:dyDescent="0.25">
      <c r="B43" s="58"/>
      <c r="C43" s="65"/>
      <c r="D43" s="15"/>
      <c r="E43" s="15"/>
      <c r="F43" s="15"/>
      <c r="G43" s="422"/>
      <c r="H43" s="17" t="str">
        <f t="shared" si="0"/>
        <v/>
      </c>
      <c r="I43" s="116"/>
      <c r="J43" s="61"/>
      <c r="K43" s="399"/>
      <c r="L43" s="420" t="str">
        <f t="shared" si="2"/>
        <v/>
      </c>
      <c r="M43" s="401" t="str">
        <f t="shared" si="3"/>
        <v/>
      </c>
    </row>
    <row r="44" spans="2:13" ht="25" x14ac:dyDescent="0.25">
      <c r="B44" s="58" t="s">
        <v>723</v>
      </c>
      <c r="C44" s="65" t="s">
        <v>2022</v>
      </c>
      <c r="D44" s="15" t="s">
        <v>34</v>
      </c>
      <c r="E44" s="15" t="s">
        <v>996</v>
      </c>
      <c r="F44" s="15">
        <f>F42/2</f>
        <v>300.00000000000006</v>
      </c>
      <c r="G44" s="411">
        <v>30</v>
      </c>
      <c r="H44" s="17">
        <f t="shared" si="0"/>
        <v>9000.0000000000018</v>
      </c>
      <c r="I44" s="116"/>
      <c r="J44" s="61" t="s">
        <v>1721</v>
      </c>
      <c r="K44" s="399">
        <f>ROUND(6%*G44,0)</f>
        <v>2</v>
      </c>
      <c r="L44" s="420">
        <f t="shared" si="2"/>
        <v>600.00000000000011</v>
      </c>
      <c r="M44" s="401">
        <f t="shared" si="3"/>
        <v>6.6666666666666666E-2</v>
      </c>
    </row>
    <row r="45" spans="2:13" ht="12.5" x14ac:dyDescent="0.25">
      <c r="B45" s="58"/>
      <c r="C45" s="65"/>
      <c r="D45" s="15"/>
      <c r="E45" s="15"/>
      <c r="F45" s="15"/>
      <c r="G45" s="422"/>
      <c r="H45" s="17" t="str">
        <f t="shared" si="0"/>
        <v/>
      </c>
      <c r="I45" s="116"/>
      <c r="J45" s="61"/>
      <c r="K45" s="399"/>
      <c r="L45" s="420" t="str">
        <f t="shared" si="2"/>
        <v/>
      </c>
      <c r="M45" s="401" t="str">
        <f t="shared" si="3"/>
        <v/>
      </c>
    </row>
    <row r="46" spans="2:13" ht="26" x14ac:dyDescent="0.25">
      <c r="B46" s="146" t="s">
        <v>1882</v>
      </c>
      <c r="C46" s="672" t="s">
        <v>722</v>
      </c>
      <c r="D46" s="15" t="s">
        <v>22</v>
      </c>
      <c r="E46" s="15" t="s">
        <v>996</v>
      </c>
      <c r="F46" s="666">
        <f>ROUND(_RoadLength*3.5,0)</f>
        <v>8</v>
      </c>
      <c r="G46" s="422">
        <v>1300</v>
      </c>
      <c r="H46" s="17">
        <f t="shared" si="0"/>
        <v>10400</v>
      </c>
      <c r="I46" s="117"/>
      <c r="J46" s="61" t="s">
        <v>1721</v>
      </c>
      <c r="K46" s="399">
        <f>ROUND(6%*G46,0)</f>
        <v>78</v>
      </c>
      <c r="L46" s="420">
        <f t="shared" si="2"/>
        <v>624</v>
      </c>
      <c r="M46" s="401">
        <f t="shared" si="3"/>
        <v>0.06</v>
      </c>
    </row>
    <row r="47" spans="2:13" ht="12.5" x14ac:dyDescent="0.25">
      <c r="B47" s="58"/>
      <c r="C47" s="65"/>
      <c r="D47" s="15"/>
      <c r="E47" s="15"/>
      <c r="F47" s="24"/>
      <c r="G47" s="411"/>
      <c r="H47" s="17" t="str">
        <f t="shared" si="0"/>
        <v/>
      </c>
      <c r="I47" s="116"/>
      <c r="J47" s="61"/>
      <c r="K47" s="402"/>
      <c r="L47" s="420" t="str">
        <f t="shared" si="2"/>
        <v/>
      </c>
      <c r="M47" s="401" t="str">
        <f t="shared" si="3"/>
        <v/>
      </c>
    </row>
    <row r="48" spans="2:13" ht="39" x14ac:dyDescent="0.25">
      <c r="B48" s="146" t="s">
        <v>721</v>
      </c>
      <c r="C48" s="672" t="s">
        <v>720</v>
      </c>
      <c r="D48" s="15" t="s">
        <v>34</v>
      </c>
      <c r="E48" s="15"/>
      <c r="F48" s="24">
        <v>1</v>
      </c>
      <c r="G48" s="423">
        <v>5000</v>
      </c>
      <c r="H48" s="17">
        <f t="shared" si="0"/>
        <v>5000</v>
      </c>
      <c r="I48" s="118"/>
      <c r="J48" s="61"/>
      <c r="K48" s="399"/>
      <c r="L48" s="420" t="str">
        <f t="shared" si="2"/>
        <v/>
      </c>
      <c r="M48" s="401" t="str">
        <f t="shared" si="3"/>
        <v/>
      </c>
    </row>
    <row r="49" spans="2:13" ht="12.5" x14ac:dyDescent="0.25">
      <c r="B49" s="58"/>
      <c r="C49" s="68"/>
      <c r="D49" s="61"/>
      <c r="E49" s="61"/>
      <c r="F49" s="61"/>
      <c r="G49" s="422"/>
      <c r="H49" s="17" t="str">
        <f t="shared" si="0"/>
        <v/>
      </c>
      <c r="I49" s="117"/>
      <c r="J49" s="61"/>
      <c r="K49" s="399"/>
      <c r="L49" s="420" t="str">
        <f t="shared" si="2"/>
        <v/>
      </c>
      <c r="M49" s="401" t="str">
        <f t="shared" si="3"/>
        <v/>
      </c>
    </row>
    <row r="50" spans="2:13" ht="12.5" x14ac:dyDescent="0.25">
      <c r="B50" s="58"/>
      <c r="C50" s="65"/>
      <c r="D50" s="15"/>
      <c r="E50" s="15"/>
      <c r="F50" s="15"/>
      <c r="G50" s="424"/>
      <c r="H50" s="743" t="str">
        <f t="shared" si="0"/>
        <v/>
      </c>
      <c r="I50" s="116"/>
      <c r="J50" s="61"/>
      <c r="K50" s="399"/>
      <c r="L50" s="420" t="str">
        <f t="shared" si="2"/>
        <v/>
      </c>
      <c r="M50" s="401" t="str">
        <f t="shared" si="3"/>
        <v/>
      </c>
    </row>
    <row r="51" spans="2:13" ht="13" x14ac:dyDescent="0.25">
      <c r="B51" s="930"/>
      <c r="C51" s="931"/>
      <c r="D51" s="21"/>
      <c r="E51" s="21"/>
      <c r="F51" s="15"/>
      <c r="G51" s="424"/>
      <c r="H51" s="743" t="str">
        <f t="shared" si="0"/>
        <v/>
      </c>
      <c r="I51" s="116"/>
      <c r="J51" s="62"/>
      <c r="K51" s="62"/>
      <c r="L51" s="420" t="str">
        <f t="shared" si="2"/>
        <v/>
      </c>
      <c r="M51" s="401" t="str">
        <f t="shared" si="3"/>
        <v/>
      </c>
    </row>
    <row r="52" spans="2:13" ht="12.5" x14ac:dyDescent="0.25">
      <c r="B52" s="58"/>
      <c r="C52" s="65"/>
      <c r="D52" s="21"/>
      <c r="E52" s="21"/>
      <c r="F52" s="15"/>
      <c r="G52" s="424"/>
      <c r="H52" s="743" t="str">
        <f t="shared" si="0"/>
        <v/>
      </c>
      <c r="I52" s="116"/>
      <c r="J52" s="62"/>
      <c r="K52" s="62"/>
      <c r="L52" s="420" t="str">
        <f t="shared" si="2"/>
        <v/>
      </c>
      <c r="M52" s="401" t="str">
        <f t="shared" si="3"/>
        <v/>
      </c>
    </row>
    <row r="53" spans="2:13" ht="12.5" x14ac:dyDescent="0.25">
      <c r="B53" s="395"/>
      <c r="C53" s="787"/>
      <c r="D53" s="239"/>
      <c r="E53" s="239"/>
      <c r="F53" s="15"/>
      <c r="G53" s="424"/>
      <c r="H53" s="743" t="str">
        <f t="shared" si="0"/>
        <v/>
      </c>
      <c r="I53" s="116"/>
      <c r="J53" s="62"/>
      <c r="K53" s="62"/>
      <c r="L53" s="420" t="str">
        <f t="shared" si="2"/>
        <v/>
      </c>
      <c r="M53" s="401" t="str">
        <f t="shared" si="3"/>
        <v/>
      </c>
    </row>
    <row r="54" spans="2:13" ht="12.5" x14ac:dyDescent="0.25">
      <c r="B54" s="58"/>
      <c r="C54" s="65"/>
      <c r="D54" s="21"/>
      <c r="E54" s="21"/>
      <c r="F54" s="15"/>
      <c r="G54" s="424"/>
      <c r="H54" s="743" t="str">
        <f t="shared" si="0"/>
        <v/>
      </c>
      <c r="I54" s="116"/>
      <c r="J54" s="62"/>
      <c r="K54" s="62"/>
      <c r="L54" s="420" t="str">
        <f t="shared" si="2"/>
        <v/>
      </c>
      <c r="M54" s="401" t="str">
        <f t="shared" si="3"/>
        <v/>
      </c>
    </row>
    <row r="55" spans="2:13" ht="12.5" x14ac:dyDescent="0.25">
      <c r="B55" s="395"/>
      <c r="C55" s="787"/>
      <c r="D55" s="239"/>
      <c r="E55" s="239"/>
      <c r="F55" s="15"/>
      <c r="G55" s="424"/>
      <c r="H55" s="743" t="str">
        <f t="shared" si="0"/>
        <v/>
      </c>
      <c r="I55" s="116"/>
      <c r="J55" s="62"/>
      <c r="K55" s="62"/>
      <c r="L55" s="420" t="str">
        <f t="shared" si="2"/>
        <v/>
      </c>
      <c r="M55" s="401" t="str">
        <f t="shared" si="3"/>
        <v/>
      </c>
    </row>
    <row r="56" spans="2:13" ht="12.5" x14ac:dyDescent="0.25">
      <c r="B56" s="58"/>
      <c r="C56" s="65"/>
      <c r="D56" s="15"/>
      <c r="E56" s="15"/>
      <c r="F56" s="15"/>
      <c r="G56" s="424"/>
      <c r="H56" s="743" t="str">
        <f t="shared" si="0"/>
        <v/>
      </c>
      <c r="I56" s="116"/>
      <c r="J56" s="62"/>
      <c r="K56" s="62"/>
      <c r="L56" s="420" t="str">
        <f t="shared" si="2"/>
        <v/>
      </c>
      <c r="M56" s="401" t="str">
        <f t="shared" si="3"/>
        <v/>
      </c>
    </row>
    <row r="57" spans="2:13" ht="12.5" x14ac:dyDescent="0.25">
      <c r="B57" s="58"/>
      <c r="C57" s="65"/>
      <c r="D57" s="15"/>
      <c r="E57" s="15"/>
      <c r="F57" s="15"/>
      <c r="G57" s="422"/>
      <c r="H57" s="17" t="str">
        <f t="shared" si="0"/>
        <v/>
      </c>
      <c r="I57" s="116"/>
      <c r="J57" s="62"/>
      <c r="K57" s="62"/>
      <c r="L57" s="420" t="str">
        <f t="shared" si="2"/>
        <v/>
      </c>
      <c r="M57" s="401" t="str">
        <f t="shared" si="3"/>
        <v/>
      </c>
    </row>
    <row r="58" spans="2:13" ht="12.5" x14ac:dyDescent="0.25">
      <c r="B58" s="58"/>
      <c r="C58" s="65"/>
      <c r="D58" s="15"/>
      <c r="E58" s="15"/>
      <c r="F58" s="15"/>
      <c r="G58" s="422"/>
      <c r="H58" s="17" t="str">
        <f t="shared" si="0"/>
        <v/>
      </c>
      <c r="I58" s="116"/>
      <c r="J58" s="62"/>
      <c r="K58" s="62"/>
      <c r="L58" s="420" t="str">
        <f t="shared" si="2"/>
        <v/>
      </c>
      <c r="M58" s="401" t="str">
        <f t="shared" si="3"/>
        <v/>
      </c>
    </row>
    <row r="59" spans="2:13" ht="12.5" x14ac:dyDescent="0.25">
      <c r="B59" s="58"/>
      <c r="C59" s="65"/>
      <c r="D59" s="15"/>
      <c r="E59" s="15"/>
      <c r="F59" s="15"/>
      <c r="G59" s="422"/>
      <c r="H59" s="17" t="str">
        <f t="shared" si="0"/>
        <v/>
      </c>
      <c r="I59" s="116"/>
      <c r="J59" s="62"/>
      <c r="K59" s="62"/>
      <c r="L59" s="420" t="str">
        <f t="shared" si="2"/>
        <v/>
      </c>
      <c r="M59" s="401" t="str">
        <f t="shared" si="3"/>
        <v/>
      </c>
    </row>
    <row r="60" spans="2:13" ht="12.5" x14ac:dyDescent="0.25">
      <c r="B60" s="58"/>
      <c r="C60" s="65"/>
      <c r="D60" s="15"/>
      <c r="E60" s="15"/>
      <c r="F60" s="15"/>
      <c r="G60" s="422"/>
      <c r="H60" s="17" t="str">
        <f t="shared" ref="H60:H67" si="4">IF(D60="","",F60*G60)</f>
        <v/>
      </c>
      <c r="I60" s="116"/>
      <c r="J60" s="62"/>
      <c r="K60" s="62"/>
      <c r="L60" s="420" t="str">
        <f t="shared" ref="L60:L67" si="5">IF(J60="","",F60*K60)</f>
        <v/>
      </c>
      <c r="M60" s="401" t="str">
        <f t="shared" ref="M60:M67" si="6">IF(J60="","",IF(SUM(H60)=0,"",L60/H60))</f>
        <v/>
      </c>
    </row>
    <row r="61" spans="2:13" ht="12.5" x14ac:dyDescent="0.25">
      <c r="B61" s="58"/>
      <c r="C61" s="65"/>
      <c r="D61" s="15"/>
      <c r="E61" s="15"/>
      <c r="F61" s="15"/>
      <c r="G61" s="422"/>
      <c r="H61" s="17" t="str">
        <f t="shared" si="4"/>
        <v/>
      </c>
      <c r="I61" s="116"/>
      <c r="J61" s="62"/>
      <c r="K61" s="62"/>
      <c r="L61" s="420" t="str">
        <f t="shared" si="5"/>
        <v/>
      </c>
      <c r="M61" s="401" t="str">
        <f t="shared" si="6"/>
        <v/>
      </c>
    </row>
    <row r="62" spans="2:13" ht="12.5" x14ac:dyDescent="0.25">
      <c r="B62" s="58"/>
      <c r="C62" s="65"/>
      <c r="D62" s="15"/>
      <c r="E62" s="15"/>
      <c r="F62" s="15"/>
      <c r="G62" s="422"/>
      <c r="H62" s="17" t="str">
        <f t="shared" si="4"/>
        <v/>
      </c>
      <c r="I62" s="116"/>
      <c r="J62" s="62"/>
      <c r="K62" s="62"/>
      <c r="L62" s="420" t="str">
        <f t="shared" si="5"/>
        <v/>
      </c>
      <c r="M62" s="401" t="str">
        <f t="shared" si="6"/>
        <v/>
      </c>
    </row>
    <row r="63" spans="2:13" ht="12.5" x14ac:dyDescent="0.25">
      <c r="B63" s="58"/>
      <c r="C63" s="65"/>
      <c r="D63" s="15"/>
      <c r="E63" s="15"/>
      <c r="F63" s="15"/>
      <c r="G63" s="422"/>
      <c r="H63" s="17" t="str">
        <f t="shared" si="4"/>
        <v/>
      </c>
      <c r="I63" s="116"/>
      <c r="J63" s="62"/>
      <c r="K63" s="62"/>
      <c r="L63" s="420" t="str">
        <f t="shared" si="5"/>
        <v/>
      </c>
      <c r="M63" s="401" t="str">
        <f t="shared" si="6"/>
        <v/>
      </c>
    </row>
    <row r="64" spans="2:13" ht="12.5" x14ac:dyDescent="0.25">
      <c r="B64" s="58"/>
      <c r="C64" s="65"/>
      <c r="D64" s="15"/>
      <c r="E64" s="15"/>
      <c r="F64" s="15"/>
      <c r="G64" s="422"/>
      <c r="H64" s="17" t="str">
        <f t="shared" si="4"/>
        <v/>
      </c>
      <c r="I64" s="116"/>
      <c r="J64" s="62"/>
      <c r="K64" s="62"/>
      <c r="L64" s="420" t="str">
        <f t="shared" si="5"/>
        <v/>
      </c>
      <c r="M64" s="401" t="str">
        <f t="shared" si="6"/>
        <v/>
      </c>
    </row>
    <row r="65" spans="2:13" ht="12.5" x14ac:dyDescent="0.25">
      <c r="B65" s="58"/>
      <c r="C65" s="65"/>
      <c r="D65" s="15"/>
      <c r="E65" s="15"/>
      <c r="F65" s="15"/>
      <c r="G65" s="422"/>
      <c r="H65" s="17" t="str">
        <f t="shared" si="4"/>
        <v/>
      </c>
      <c r="I65" s="116"/>
      <c r="J65" s="62"/>
      <c r="K65" s="62"/>
      <c r="L65" s="420" t="str">
        <f t="shared" si="5"/>
        <v/>
      </c>
      <c r="M65" s="401" t="str">
        <f t="shared" si="6"/>
        <v/>
      </c>
    </row>
    <row r="66" spans="2:13" ht="12.5" x14ac:dyDescent="0.25">
      <c r="B66" s="58"/>
      <c r="C66" s="65"/>
      <c r="D66" s="15"/>
      <c r="E66" s="15"/>
      <c r="F66" s="15"/>
      <c r="G66" s="422"/>
      <c r="H66" s="17" t="str">
        <f t="shared" si="4"/>
        <v/>
      </c>
      <c r="I66" s="116"/>
      <c r="J66" s="62"/>
      <c r="K66" s="62"/>
      <c r="L66" s="420" t="str">
        <f t="shared" si="5"/>
        <v/>
      </c>
      <c r="M66" s="401" t="str">
        <f t="shared" si="6"/>
        <v/>
      </c>
    </row>
    <row r="67" spans="2:13" ht="12.5" x14ac:dyDescent="0.25">
      <c r="B67" s="58"/>
      <c r="C67" s="65"/>
      <c r="D67" s="15"/>
      <c r="E67" s="15"/>
      <c r="F67" s="15"/>
      <c r="G67" s="422"/>
      <c r="H67" s="17" t="str">
        <f t="shared" si="4"/>
        <v/>
      </c>
      <c r="I67" s="116"/>
      <c r="J67" s="62"/>
      <c r="K67" s="62"/>
      <c r="L67" s="420" t="str">
        <f t="shared" si="5"/>
        <v/>
      </c>
      <c r="M67" s="401" t="str">
        <f t="shared" si="6"/>
        <v/>
      </c>
    </row>
    <row r="68" spans="2:13" ht="12.5" x14ac:dyDescent="0.25">
      <c r="B68" s="58"/>
      <c r="C68" s="65"/>
      <c r="D68" s="15"/>
      <c r="E68" s="15"/>
      <c r="F68" s="15"/>
      <c r="G68" s="422"/>
      <c r="H68" s="17" t="str">
        <f t="shared" si="0"/>
        <v/>
      </c>
      <c r="I68" s="116"/>
      <c r="J68" s="61"/>
      <c r="K68" s="696"/>
      <c r="L68" s="420" t="str">
        <f t="shared" si="2"/>
        <v/>
      </c>
      <c r="M68" s="401" t="str">
        <f t="shared" si="3"/>
        <v/>
      </c>
    </row>
    <row r="69" spans="2:13" s="28" customFormat="1" ht="19.5" customHeight="1" x14ac:dyDescent="0.25">
      <c r="B69" s="135" t="str">
        <f>$B$12</f>
        <v>C11.7</v>
      </c>
      <c r="C69" s="498" t="str">
        <f>"TOTAL CARRIED FORWARD"&amp;IF(H69=H$1," TO SUMMARY","")</f>
        <v>TOTAL CARRIED FORWARD TO SUMMARY</v>
      </c>
      <c r="D69" s="31"/>
      <c r="E69" s="31"/>
      <c r="F69" s="32"/>
      <c r="G69" s="31"/>
      <c r="H69" s="33">
        <f>SUM(H11:H68)</f>
        <v>128380.00000000003</v>
      </c>
      <c r="I69" s="34"/>
      <c r="J69" s="408"/>
      <c r="K69" s="406"/>
      <c r="L69" s="418">
        <f>SUM(L11:L68)</f>
        <v>7342.8000000000011</v>
      </c>
      <c r="M69" s="407" t="str">
        <f t="shared" ref="M69" si="7">IF(J69="","",IF(SUM(H69)=0,"",L69/H69))</f>
        <v/>
      </c>
    </row>
    <row r="70" spans="2:13" s="1" customFormat="1" ht="13" x14ac:dyDescent="0.25">
      <c r="B70" s="1108" t="str">
        <f>Client1</f>
        <v>Province of KwaZulu-Natal</v>
      </c>
      <c r="C70" s="1108"/>
      <c r="D70" s="1108"/>
      <c r="E70" s="87"/>
      <c r="F70" s="1109" t="str">
        <f>"Contract No. "&amp;ContractNo</f>
        <v>Contract No. ZNB 00399/00000/HOD/INF/21/T</v>
      </c>
      <c r="G70" s="1109"/>
      <c r="H70" s="1109"/>
      <c r="I70" s="5"/>
    </row>
    <row r="71" spans="2:13" s="1" customFormat="1" ht="13" x14ac:dyDescent="0.25">
      <c r="B71" s="1108" t="str">
        <f>Client2</f>
        <v>Department of Transport</v>
      </c>
      <c r="C71" s="1108"/>
      <c r="D71" s="1108"/>
      <c r="E71" s="87"/>
      <c r="F71" s="1109"/>
      <c r="G71" s="1109"/>
      <c r="H71" s="1109"/>
      <c r="I71" s="5"/>
    </row>
    <row r="72" spans="2:13" s="1" customFormat="1" ht="12.5" x14ac:dyDescent="0.25">
      <c r="B72" s="1111"/>
      <c r="C72" s="1111"/>
      <c r="D72" s="1111"/>
      <c r="E72" s="78"/>
      <c r="F72" s="1110"/>
      <c r="G72" s="1110"/>
      <c r="H72" s="1110"/>
      <c r="I72" s="5"/>
    </row>
    <row r="73" spans="2:13" s="1" customFormat="1" ht="13" x14ac:dyDescent="0.25">
      <c r="B73" s="1112" t="s">
        <v>8</v>
      </c>
      <c r="C73" s="1113"/>
      <c r="D73" s="1113"/>
      <c r="E73" s="1113"/>
      <c r="F73" s="1113"/>
      <c r="G73" s="1113"/>
      <c r="H73" s="1125" t="str">
        <f>$H$6</f>
        <v>CHAPTER C11.7</v>
      </c>
      <c r="I73" s="6"/>
    </row>
    <row r="74" spans="2:13" s="1" customFormat="1" ht="13" x14ac:dyDescent="0.25">
      <c r="B74" s="1117" t="str">
        <f>ContractDescription</f>
        <v>THE CONSTRUCTION OF EARTHWORKS, LAYERWORKS, SURFACING, CULVERTS AND CWAKA RIVER BRIDGE FROM KM 11.600 TO KM 14.000 ON MAIN ROAD P494 IN THE KING CETSHWAYO DISTRICT UNDER EMPANGENI REGION</v>
      </c>
      <c r="C74" s="1118"/>
      <c r="D74" s="1118"/>
      <c r="E74" s="1118"/>
      <c r="F74" s="1118"/>
      <c r="G74" s="1118"/>
      <c r="H74" s="1126"/>
      <c r="I74" s="8"/>
    </row>
    <row r="75" spans="2:13" s="1" customFormat="1" ht="13" x14ac:dyDescent="0.25">
      <c r="B75" s="1117"/>
      <c r="C75" s="1118"/>
      <c r="D75" s="1118"/>
      <c r="E75" s="1118"/>
      <c r="F75" s="1118"/>
      <c r="G75" s="1118"/>
      <c r="H75" s="1126"/>
      <c r="I75" s="8"/>
    </row>
    <row r="76" spans="2:13" s="1" customFormat="1" ht="13" x14ac:dyDescent="0.25">
      <c r="B76" s="1119"/>
      <c r="C76" s="1120"/>
      <c r="D76" s="1120"/>
      <c r="E76" s="1120"/>
      <c r="F76" s="1120"/>
      <c r="G76" s="1120"/>
      <c r="H76" s="1127"/>
      <c r="I76" s="8"/>
    </row>
    <row r="77" spans="2:13" s="9" customFormat="1" ht="25" customHeight="1" x14ac:dyDescent="0.25">
      <c r="B77" s="74" t="s">
        <v>0</v>
      </c>
      <c r="C77" s="11" t="s">
        <v>1</v>
      </c>
      <c r="D77" s="11" t="s">
        <v>2</v>
      </c>
      <c r="E77" s="11"/>
      <c r="F77" s="11" t="s">
        <v>3</v>
      </c>
      <c r="G77" s="11" t="s">
        <v>4</v>
      </c>
      <c r="H77" s="11" t="s">
        <v>5</v>
      </c>
      <c r="I77" s="12"/>
      <c r="J77" s="408" t="s">
        <v>996</v>
      </c>
      <c r="K77" s="253" t="s">
        <v>997</v>
      </c>
      <c r="L77" s="253" t="s">
        <v>998</v>
      </c>
      <c r="M77" s="253" t="s">
        <v>999</v>
      </c>
    </row>
    <row r="78" spans="2:13" s="28" customFormat="1" ht="19.5" customHeight="1" x14ac:dyDescent="0.25">
      <c r="B78" s="80"/>
      <c r="C78" s="30" t="s">
        <v>27</v>
      </c>
      <c r="D78" s="31"/>
      <c r="E78" s="31"/>
      <c r="F78" s="32"/>
      <c r="G78" s="31"/>
      <c r="H78" s="33">
        <f>H69</f>
        <v>128380.00000000003</v>
      </c>
      <c r="I78" s="34"/>
      <c r="J78" s="416"/>
      <c r="K78" s="409"/>
      <c r="L78" s="419">
        <f>L69</f>
        <v>7342.8000000000011</v>
      </c>
      <c r="M78" s="410"/>
    </row>
    <row r="79" spans="2:13" ht="12.5" x14ac:dyDescent="0.25">
      <c r="B79" s="108"/>
      <c r="C79" s="106"/>
      <c r="D79" s="105"/>
      <c r="E79" s="105"/>
      <c r="F79" s="105"/>
      <c r="G79" s="569"/>
      <c r="H79" s="112" t="str">
        <f t="shared" ref="H79:H96" si="8">IF(D79="","",F79*G79)</f>
        <v/>
      </c>
      <c r="J79" s="37"/>
      <c r="K79" s="399"/>
      <c r="L79" s="420" t="str">
        <f t="shared" ref="L79:L119" si="9">IF(J79="","",F79*K79)</f>
        <v/>
      </c>
      <c r="M79" s="401" t="str">
        <f t="shared" ref="M79:M119" si="10">IF(J79="","",IF(SUM(H79)=0,"",L79/H79))</f>
        <v/>
      </c>
    </row>
    <row r="80" spans="2:13" ht="12.5" x14ac:dyDescent="0.25">
      <c r="B80" s="115"/>
      <c r="C80" s="106"/>
      <c r="D80" s="107"/>
      <c r="E80" s="107"/>
      <c r="F80" s="105"/>
      <c r="G80" s="569"/>
      <c r="H80" s="112" t="str">
        <f t="shared" si="8"/>
        <v/>
      </c>
      <c r="J80" s="37"/>
      <c r="K80" s="399"/>
      <c r="L80" s="420" t="str">
        <f t="shared" si="9"/>
        <v/>
      </c>
      <c r="M80" s="401" t="str">
        <f t="shared" si="10"/>
        <v/>
      </c>
    </row>
    <row r="81" spans="2:13" ht="12.5" x14ac:dyDescent="0.25">
      <c r="B81" s="115"/>
      <c r="C81" s="106"/>
      <c r="D81" s="105"/>
      <c r="E81" s="105"/>
      <c r="F81" s="105"/>
      <c r="G81" s="569"/>
      <c r="H81" s="112" t="str">
        <f t="shared" si="8"/>
        <v/>
      </c>
      <c r="J81" s="37"/>
      <c r="K81" s="399"/>
      <c r="L81" s="420" t="str">
        <f t="shared" si="9"/>
        <v/>
      </c>
      <c r="M81" s="401" t="str">
        <f t="shared" si="10"/>
        <v/>
      </c>
    </row>
    <row r="82" spans="2:13" ht="12.5" x14ac:dyDescent="0.25">
      <c r="B82" s="108"/>
      <c r="C82" s="106"/>
      <c r="D82" s="107"/>
      <c r="E82" s="107"/>
      <c r="F82" s="110"/>
      <c r="G82" s="570"/>
      <c r="H82" s="102" t="str">
        <f t="shared" si="8"/>
        <v/>
      </c>
      <c r="J82" s="37"/>
      <c r="K82" s="399"/>
      <c r="L82" s="420" t="str">
        <f t="shared" si="9"/>
        <v/>
      </c>
      <c r="M82" s="401" t="str">
        <f t="shared" si="10"/>
        <v/>
      </c>
    </row>
    <row r="83" spans="2:13" ht="12.5" x14ac:dyDescent="0.25">
      <c r="B83" s="108"/>
      <c r="C83" s="106"/>
      <c r="D83" s="107"/>
      <c r="E83" s="107"/>
      <c r="F83" s="110"/>
      <c r="G83" s="570"/>
      <c r="H83" s="102"/>
      <c r="J83" s="37"/>
      <c r="K83" s="400"/>
      <c r="L83" s="420" t="str">
        <f t="shared" si="9"/>
        <v/>
      </c>
      <c r="M83" s="401" t="str">
        <f t="shared" si="10"/>
        <v/>
      </c>
    </row>
    <row r="84" spans="2:13" ht="12.5" x14ac:dyDescent="0.25">
      <c r="B84" s="108"/>
      <c r="C84" s="396"/>
      <c r="D84" s="107"/>
      <c r="E84" s="107"/>
      <c r="F84" s="110"/>
      <c r="G84" s="570"/>
      <c r="H84" s="102" t="str">
        <f t="shared" ref="H84" si="11">IF(D84="","",F84*G84)</f>
        <v/>
      </c>
      <c r="J84" s="37"/>
      <c r="K84" s="399"/>
      <c r="L84" s="420" t="str">
        <f t="shared" si="9"/>
        <v/>
      </c>
      <c r="M84" s="401" t="str">
        <f t="shared" si="10"/>
        <v/>
      </c>
    </row>
    <row r="85" spans="2:13" ht="12.5" x14ac:dyDescent="0.25">
      <c r="B85" s="108"/>
      <c r="C85" s="106"/>
      <c r="D85" s="107"/>
      <c r="E85" s="107"/>
      <c r="F85" s="110"/>
      <c r="G85" s="570"/>
      <c r="H85" s="102"/>
      <c r="J85" s="37"/>
      <c r="K85" s="399"/>
      <c r="L85" s="420" t="str">
        <f t="shared" si="9"/>
        <v/>
      </c>
      <c r="M85" s="401" t="str">
        <f t="shared" si="10"/>
        <v/>
      </c>
    </row>
    <row r="86" spans="2:13" ht="12.5" x14ac:dyDescent="0.25">
      <c r="B86" s="108"/>
      <c r="C86" s="396"/>
      <c r="D86" s="107"/>
      <c r="E86" s="107"/>
      <c r="F86" s="397"/>
      <c r="G86" s="570"/>
      <c r="H86" s="102" t="str">
        <f t="shared" ref="H86" si="12">IF(D86="","",F86*G86)</f>
        <v/>
      </c>
      <c r="J86" s="37"/>
      <c r="K86" s="399"/>
      <c r="L86" s="420" t="str">
        <f t="shared" si="9"/>
        <v/>
      </c>
      <c r="M86" s="401" t="str">
        <f t="shared" si="10"/>
        <v/>
      </c>
    </row>
    <row r="87" spans="2:13" ht="12.5" x14ac:dyDescent="0.25">
      <c r="B87" s="115"/>
      <c r="C87" s="106"/>
      <c r="D87" s="105"/>
      <c r="E87" s="105"/>
      <c r="F87" s="103"/>
      <c r="G87" s="569"/>
      <c r="H87" s="102" t="str">
        <f t="shared" si="8"/>
        <v/>
      </c>
      <c r="J87" s="37"/>
      <c r="K87" s="402"/>
      <c r="L87" s="420" t="str">
        <f t="shared" si="9"/>
        <v/>
      </c>
      <c r="M87" s="401" t="str">
        <f t="shared" si="10"/>
        <v/>
      </c>
    </row>
    <row r="88" spans="2:13" ht="12.5" x14ac:dyDescent="0.25">
      <c r="B88" s="108"/>
      <c r="C88" s="106"/>
      <c r="D88" s="107"/>
      <c r="E88" s="107"/>
      <c r="F88" s="103"/>
      <c r="G88" s="571"/>
      <c r="H88" s="102" t="str">
        <f t="shared" si="8"/>
        <v/>
      </c>
      <c r="J88" s="37"/>
      <c r="K88" s="402"/>
      <c r="L88" s="420" t="str">
        <f t="shared" si="9"/>
        <v/>
      </c>
      <c r="M88" s="401" t="str">
        <f t="shared" si="10"/>
        <v/>
      </c>
    </row>
    <row r="89" spans="2:13" ht="12.5" x14ac:dyDescent="0.25">
      <c r="B89" s="108"/>
      <c r="C89" s="106"/>
      <c r="D89" s="107"/>
      <c r="E89" s="107"/>
      <c r="F89" s="103"/>
      <c r="G89" s="571"/>
      <c r="H89" s="102"/>
      <c r="J89" s="37"/>
      <c r="K89" s="402"/>
      <c r="L89" s="420" t="str">
        <f t="shared" si="9"/>
        <v/>
      </c>
      <c r="M89" s="401" t="str">
        <f t="shared" si="10"/>
        <v/>
      </c>
    </row>
    <row r="90" spans="2:13" ht="12.5" x14ac:dyDescent="0.25">
      <c r="B90" s="108"/>
      <c r="C90" s="396"/>
      <c r="D90" s="107"/>
      <c r="E90" s="107"/>
      <c r="F90" s="397"/>
      <c r="G90" s="571"/>
      <c r="H90" s="102" t="str">
        <f t="shared" ref="H90" si="13">IF(D90="","",F90*G90)</f>
        <v/>
      </c>
      <c r="J90" s="37"/>
      <c r="K90" s="402"/>
      <c r="L90" s="420" t="str">
        <f t="shared" si="9"/>
        <v/>
      </c>
      <c r="M90" s="401" t="str">
        <f t="shared" si="10"/>
        <v/>
      </c>
    </row>
    <row r="91" spans="2:13" ht="12.5" x14ac:dyDescent="0.25">
      <c r="B91" s="115"/>
      <c r="C91" s="106"/>
      <c r="D91" s="105"/>
      <c r="E91" s="105"/>
      <c r="F91" s="103"/>
      <c r="G91" s="569"/>
      <c r="H91" s="102" t="str">
        <f t="shared" si="8"/>
        <v/>
      </c>
      <c r="J91" s="37"/>
      <c r="K91" s="402"/>
      <c r="L91" s="420" t="str">
        <f t="shared" si="9"/>
        <v/>
      </c>
      <c r="M91" s="401" t="str">
        <f t="shared" si="10"/>
        <v/>
      </c>
    </row>
    <row r="92" spans="2:13" ht="12.5" x14ac:dyDescent="0.25">
      <c r="B92" s="108"/>
      <c r="C92" s="109"/>
      <c r="D92" s="107"/>
      <c r="E92" s="107"/>
      <c r="F92" s="103"/>
      <c r="G92" s="572"/>
      <c r="H92" s="102" t="str">
        <f t="shared" si="8"/>
        <v/>
      </c>
      <c r="J92" s="37"/>
      <c r="K92" s="402"/>
      <c r="L92" s="420" t="str">
        <f t="shared" si="9"/>
        <v/>
      </c>
      <c r="M92" s="401" t="str">
        <f t="shared" si="10"/>
        <v/>
      </c>
    </row>
    <row r="93" spans="2:13" ht="12.5" x14ac:dyDescent="0.25">
      <c r="B93" s="108"/>
      <c r="C93" s="106"/>
      <c r="D93" s="105"/>
      <c r="E93" s="105"/>
      <c r="F93" s="103"/>
      <c r="G93" s="572"/>
      <c r="H93" s="102" t="str">
        <f t="shared" si="8"/>
        <v/>
      </c>
      <c r="J93" s="37"/>
      <c r="K93" s="399"/>
      <c r="L93" s="420" t="str">
        <f t="shared" si="9"/>
        <v/>
      </c>
      <c r="M93" s="401" t="str">
        <f t="shared" si="10"/>
        <v/>
      </c>
    </row>
    <row r="94" spans="2:13" s="98" customFormat="1" ht="12.5" x14ac:dyDescent="0.25">
      <c r="B94" s="108"/>
      <c r="C94" s="106"/>
      <c r="D94" s="107"/>
      <c r="E94" s="107"/>
      <c r="F94" s="103"/>
      <c r="G94" s="420"/>
      <c r="H94" s="102" t="str">
        <f t="shared" si="8"/>
        <v/>
      </c>
      <c r="J94" s="37"/>
      <c r="K94" s="399"/>
      <c r="L94" s="420" t="str">
        <f t="shared" si="9"/>
        <v/>
      </c>
      <c r="M94" s="401" t="str">
        <f t="shared" si="10"/>
        <v/>
      </c>
    </row>
    <row r="95" spans="2:13" s="98" customFormat="1" ht="12.5" x14ac:dyDescent="0.25">
      <c r="B95" s="115"/>
      <c r="C95" s="113"/>
      <c r="D95" s="105"/>
      <c r="E95" s="105"/>
      <c r="F95" s="103"/>
      <c r="G95" s="572"/>
      <c r="H95" s="102" t="str">
        <f t="shared" si="8"/>
        <v/>
      </c>
      <c r="J95" s="37"/>
      <c r="K95" s="400"/>
      <c r="L95" s="420" t="str">
        <f t="shared" si="9"/>
        <v/>
      </c>
      <c r="M95" s="401" t="str">
        <f t="shared" si="10"/>
        <v/>
      </c>
    </row>
    <row r="96" spans="2:13" s="98" customFormat="1" ht="12.5" x14ac:dyDescent="0.25">
      <c r="B96" s="108"/>
      <c r="C96" s="106"/>
      <c r="D96" s="107"/>
      <c r="E96" s="107"/>
      <c r="F96" s="103"/>
      <c r="G96" s="571"/>
      <c r="H96" s="102" t="str">
        <f t="shared" si="8"/>
        <v/>
      </c>
      <c r="J96" s="37"/>
      <c r="K96" s="399"/>
      <c r="L96" s="420" t="str">
        <f t="shared" si="9"/>
        <v/>
      </c>
      <c r="M96" s="401" t="str">
        <f t="shared" si="10"/>
        <v/>
      </c>
    </row>
    <row r="97" spans="2:13" s="98" customFormat="1" ht="12.5" x14ac:dyDescent="0.25">
      <c r="B97" s="108"/>
      <c r="C97" s="106"/>
      <c r="D97" s="107"/>
      <c r="E97" s="107"/>
      <c r="F97" s="103"/>
      <c r="G97" s="571"/>
      <c r="H97" s="102"/>
      <c r="J97" s="37"/>
      <c r="K97" s="399"/>
      <c r="L97" s="420" t="str">
        <f t="shared" si="9"/>
        <v/>
      </c>
      <c r="M97" s="401" t="str">
        <f t="shared" si="10"/>
        <v/>
      </c>
    </row>
    <row r="98" spans="2:13" s="98" customFormat="1" ht="12.5" x14ac:dyDescent="0.25">
      <c r="B98" s="108"/>
      <c r="C98" s="106"/>
      <c r="D98" s="107"/>
      <c r="E98" s="107"/>
      <c r="F98" s="103"/>
      <c r="G98" s="569"/>
      <c r="H98" s="102" t="str">
        <f t="shared" ref="H98:H124" si="14">IF(D98="","",F98*G98)</f>
        <v/>
      </c>
      <c r="J98" s="37"/>
      <c r="K98" s="399"/>
      <c r="L98" s="420" t="str">
        <f t="shared" si="9"/>
        <v/>
      </c>
      <c r="M98" s="401" t="str">
        <f t="shared" si="10"/>
        <v/>
      </c>
    </row>
    <row r="99" spans="2:13" s="98" customFormat="1" ht="12.5" x14ac:dyDescent="0.25">
      <c r="B99" s="115"/>
      <c r="C99" s="106"/>
      <c r="D99" s="105"/>
      <c r="E99" s="105"/>
      <c r="F99" s="103"/>
      <c r="G99" s="569"/>
      <c r="H99" s="102" t="str">
        <f t="shared" si="14"/>
        <v/>
      </c>
      <c r="J99" s="37"/>
      <c r="K99" s="399"/>
      <c r="L99" s="420" t="str">
        <f t="shared" si="9"/>
        <v/>
      </c>
      <c r="M99" s="401" t="str">
        <f t="shared" si="10"/>
        <v/>
      </c>
    </row>
    <row r="100" spans="2:13" s="98" customFormat="1" ht="12.5" x14ac:dyDescent="0.25">
      <c r="B100" s="108"/>
      <c r="C100" s="109"/>
      <c r="D100" s="107"/>
      <c r="E100" s="107"/>
      <c r="F100" s="103"/>
      <c r="G100" s="569"/>
      <c r="H100" s="102" t="str">
        <f t="shared" si="14"/>
        <v/>
      </c>
      <c r="J100" s="37"/>
      <c r="K100" s="399"/>
      <c r="L100" s="420" t="str">
        <f t="shared" si="9"/>
        <v/>
      </c>
      <c r="M100" s="401" t="str">
        <f t="shared" si="10"/>
        <v/>
      </c>
    </row>
    <row r="101" spans="2:13" s="98" customFormat="1" ht="12.5" x14ac:dyDescent="0.25">
      <c r="B101" s="115"/>
      <c r="C101" s="106"/>
      <c r="D101" s="105"/>
      <c r="E101" s="105"/>
      <c r="F101" s="103"/>
      <c r="G101" s="420"/>
      <c r="H101" s="102" t="str">
        <f t="shared" si="14"/>
        <v/>
      </c>
      <c r="J101" s="37"/>
      <c r="K101" s="400"/>
      <c r="L101" s="420" t="str">
        <f t="shared" si="9"/>
        <v/>
      </c>
      <c r="M101" s="401" t="str">
        <f t="shared" si="10"/>
        <v/>
      </c>
    </row>
    <row r="102" spans="2:13" s="98" customFormat="1" ht="12.5" x14ac:dyDescent="0.25">
      <c r="B102" s="108"/>
      <c r="C102" s="106"/>
      <c r="D102" s="107"/>
      <c r="E102" s="107"/>
      <c r="F102" s="103"/>
      <c r="G102" s="571"/>
      <c r="H102" s="102" t="str">
        <f t="shared" si="14"/>
        <v/>
      </c>
      <c r="J102" s="61"/>
      <c r="K102" s="399"/>
      <c r="L102" s="420" t="str">
        <f t="shared" si="9"/>
        <v/>
      </c>
      <c r="M102" s="401" t="str">
        <f t="shared" si="10"/>
        <v/>
      </c>
    </row>
    <row r="103" spans="2:13" s="98" customFormat="1" ht="12.5" x14ac:dyDescent="0.25">
      <c r="B103" s="115"/>
      <c r="C103" s="106"/>
      <c r="D103" s="105"/>
      <c r="E103" s="105"/>
      <c r="F103" s="103"/>
      <c r="G103" s="569"/>
      <c r="H103" s="102" t="str">
        <f t="shared" si="14"/>
        <v/>
      </c>
      <c r="J103" s="37"/>
      <c r="K103" s="399"/>
      <c r="L103" s="420" t="str">
        <f t="shared" si="9"/>
        <v/>
      </c>
      <c r="M103" s="401" t="str">
        <f t="shared" si="10"/>
        <v/>
      </c>
    </row>
    <row r="104" spans="2:13" s="98" customFormat="1" ht="12.5" x14ac:dyDescent="0.25">
      <c r="B104" s="108"/>
      <c r="C104" s="106"/>
      <c r="D104" s="107"/>
      <c r="E104" s="107"/>
      <c r="F104" s="103"/>
      <c r="G104" s="569"/>
      <c r="H104" s="102" t="str">
        <f t="shared" si="14"/>
        <v/>
      </c>
      <c r="J104" s="37"/>
      <c r="K104" s="399"/>
      <c r="L104" s="420" t="str">
        <f t="shared" si="9"/>
        <v/>
      </c>
      <c r="M104" s="401" t="str">
        <f t="shared" si="10"/>
        <v/>
      </c>
    </row>
    <row r="105" spans="2:13" s="98" customFormat="1" ht="12.5" x14ac:dyDescent="0.25">
      <c r="B105" s="115"/>
      <c r="C105" s="106"/>
      <c r="D105" s="105"/>
      <c r="E105" s="105"/>
      <c r="F105" s="103"/>
      <c r="G105" s="569"/>
      <c r="H105" s="102" t="str">
        <f t="shared" si="14"/>
        <v/>
      </c>
      <c r="J105" s="37"/>
      <c r="K105" s="399"/>
      <c r="L105" s="420" t="str">
        <f t="shared" si="9"/>
        <v/>
      </c>
      <c r="M105" s="401" t="str">
        <f t="shared" si="10"/>
        <v/>
      </c>
    </row>
    <row r="106" spans="2:13" s="98" customFormat="1" ht="12.5" x14ac:dyDescent="0.25">
      <c r="B106" s="108"/>
      <c r="C106" s="106"/>
      <c r="D106" s="107"/>
      <c r="E106" s="107"/>
      <c r="F106" s="103"/>
      <c r="G106" s="420"/>
      <c r="H106" s="102" t="str">
        <f t="shared" si="14"/>
        <v/>
      </c>
      <c r="J106" s="37"/>
      <c r="K106" s="399"/>
      <c r="L106" s="420" t="str">
        <f t="shared" si="9"/>
        <v/>
      </c>
      <c r="M106" s="401" t="str">
        <f t="shared" si="10"/>
        <v/>
      </c>
    </row>
    <row r="107" spans="2:13" s="98" customFormat="1" ht="12.5" x14ac:dyDescent="0.25">
      <c r="B107" s="115"/>
      <c r="C107" s="106"/>
      <c r="D107" s="105"/>
      <c r="E107" s="105"/>
      <c r="F107" s="103"/>
      <c r="G107" s="569"/>
      <c r="H107" s="102" t="str">
        <f t="shared" si="14"/>
        <v/>
      </c>
      <c r="J107" s="37"/>
      <c r="K107" s="400"/>
      <c r="L107" s="420" t="str">
        <f t="shared" si="9"/>
        <v/>
      </c>
      <c r="M107" s="401" t="str">
        <f t="shared" si="10"/>
        <v/>
      </c>
    </row>
    <row r="108" spans="2:13" s="98" customFormat="1" ht="12.5" x14ac:dyDescent="0.25">
      <c r="B108" s="108"/>
      <c r="C108" s="106"/>
      <c r="D108" s="107"/>
      <c r="E108" s="107"/>
      <c r="F108" s="103"/>
      <c r="G108" s="571"/>
      <c r="H108" s="102" t="str">
        <f t="shared" si="14"/>
        <v/>
      </c>
      <c r="J108" s="37"/>
      <c r="K108" s="399"/>
      <c r="L108" s="420" t="str">
        <f t="shared" si="9"/>
        <v/>
      </c>
      <c r="M108" s="401" t="str">
        <f t="shared" si="10"/>
        <v/>
      </c>
    </row>
    <row r="109" spans="2:13" s="98" customFormat="1" ht="12.5" x14ac:dyDescent="0.25">
      <c r="B109" s="115"/>
      <c r="C109" s="106"/>
      <c r="D109" s="105"/>
      <c r="E109" s="105"/>
      <c r="F109" s="105"/>
      <c r="G109" s="569"/>
      <c r="H109" s="102" t="str">
        <f t="shared" si="14"/>
        <v/>
      </c>
      <c r="J109" s="37"/>
      <c r="K109" s="399"/>
      <c r="L109" s="420" t="str">
        <f t="shared" si="9"/>
        <v/>
      </c>
      <c r="M109" s="401" t="str">
        <f t="shared" si="10"/>
        <v/>
      </c>
    </row>
    <row r="110" spans="2:13" s="98" customFormat="1" ht="12.5" x14ac:dyDescent="0.25">
      <c r="B110" s="108"/>
      <c r="C110" s="109"/>
      <c r="D110" s="107"/>
      <c r="E110" s="107"/>
      <c r="F110" s="105"/>
      <c r="G110" s="420"/>
      <c r="H110" s="102" t="str">
        <f t="shared" si="14"/>
        <v/>
      </c>
      <c r="J110" s="37"/>
      <c r="K110" s="399"/>
      <c r="L110" s="420" t="str">
        <f t="shared" si="9"/>
        <v/>
      </c>
      <c r="M110" s="401" t="str">
        <f t="shared" si="10"/>
        <v/>
      </c>
    </row>
    <row r="111" spans="2:13" s="98" customFormat="1" ht="12.5" x14ac:dyDescent="0.25">
      <c r="B111" s="115"/>
      <c r="C111" s="113"/>
      <c r="D111" s="104"/>
      <c r="E111" s="104"/>
      <c r="F111" s="105"/>
      <c r="G111" s="420"/>
      <c r="H111" s="102" t="str">
        <f t="shared" si="14"/>
        <v/>
      </c>
      <c r="J111" s="37"/>
      <c r="K111" s="399"/>
      <c r="L111" s="420" t="str">
        <f t="shared" si="9"/>
        <v/>
      </c>
      <c r="M111" s="401" t="str">
        <f t="shared" si="10"/>
        <v/>
      </c>
    </row>
    <row r="112" spans="2:13" s="98" customFormat="1" ht="12.5" x14ac:dyDescent="0.25">
      <c r="B112" s="115"/>
      <c r="C112" s="106"/>
      <c r="D112" s="107"/>
      <c r="E112" s="107"/>
      <c r="F112" s="105"/>
      <c r="G112" s="420"/>
      <c r="H112" s="102" t="str">
        <f t="shared" si="14"/>
        <v/>
      </c>
      <c r="J112" s="37"/>
      <c r="K112" s="399"/>
      <c r="L112" s="420" t="str">
        <f t="shared" si="9"/>
        <v/>
      </c>
      <c r="M112" s="401" t="str">
        <f t="shared" si="10"/>
        <v/>
      </c>
    </row>
    <row r="113" spans="2:13" s="98" customFormat="1" ht="12.5" x14ac:dyDescent="0.25">
      <c r="B113" s="115"/>
      <c r="C113" s="106"/>
      <c r="D113" s="105"/>
      <c r="E113" s="105"/>
      <c r="F113" s="105"/>
      <c r="G113" s="420"/>
      <c r="H113" s="102" t="str">
        <f t="shared" si="14"/>
        <v/>
      </c>
      <c r="J113" s="37"/>
      <c r="K113" s="402"/>
      <c r="L113" s="420" t="str">
        <f t="shared" si="9"/>
        <v/>
      </c>
      <c r="M113" s="401" t="str">
        <f t="shared" si="10"/>
        <v/>
      </c>
    </row>
    <row r="114" spans="2:13" s="98" customFormat="1" ht="12.5" x14ac:dyDescent="0.25">
      <c r="B114" s="108"/>
      <c r="C114" s="106"/>
      <c r="D114" s="107"/>
      <c r="E114" s="107"/>
      <c r="F114" s="105"/>
      <c r="G114" s="573"/>
      <c r="H114" s="102" t="str">
        <f t="shared" si="14"/>
        <v/>
      </c>
      <c r="J114" s="37"/>
      <c r="K114" s="399"/>
      <c r="L114" s="420" t="str">
        <f t="shared" si="9"/>
        <v/>
      </c>
      <c r="M114" s="401" t="str">
        <f t="shared" si="10"/>
        <v/>
      </c>
    </row>
    <row r="115" spans="2:13" s="98" customFormat="1" ht="12.5" x14ac:dyDescent="0.25">
      <c r="B115" s="115"/>
      <c r="C115" s="106"/>
      <c r="D115" s="105"/>
      <c r="E115" s="105"/>
      <c r="F115" s="105"/>
      <c r="G115" s="420"/>
      <c r="H115" s="102" t="str">
        <f t="shared" si="14"/>
        <v/>
      </c>
      <c r="J115" s="37"/>
      <c r="K115" s="402"/>
      <c r="L115" s="420" t="str">
        <f t="shared" si="9"/>
        <v/>
      </c>
      <c r="M115" s="401" t="str">
        <f t="shared" si="10"/>
        <v/>
      </c>
    </row>
    <row r="116" spans="2:13" s="98" customFormat="1" ht="12.5" x14ac:dyDescent="0.25">
      <c r="B116" s="108"/>
      <c r="C116" s="109"/>
      <c r="D116" s="129"/>
      <c r="E116" s="129"/>
      <c r="F116" s="105"/>
      <c r="G116" s="420"/>
      <c r="H116" s="102" t="str">
        <f t="shared" si="14"/>
        <v/>
      </c>
      <c r="J116" s="37"/>
      <c r="K116" s="402"/>
      <c r="L116" s="420" t="str">
        <f t="shared" si="9"/>
        <v/>
      </c>
      <c r="M116" s="401" t="str">
        <f t="shared" si="10"/>
        <v/>
      </c>
    </row>
    <row r="117" spans="2:13" s="98" customFormat="1" ht="12.5" x14ac:dyDescent="0.25">
      <c r="B117" s="115"/>
      <c r="C117" s="113"/>
      <c r="D117" s="104"/>
      <c r="E117" s="104"/>
      <c r="F117" s="105"/>
      <c r="G117" s="420"/>
      <c r="H117" s="102" t="str">
        <f t="shared" si="14"/>
        <v/>
      </c>
      <c r="J117" s="37"/>
      <c r="K117" s="399"/>
      <c r="L117" s="420" t="str">
        <f t="shared" si="9"/>
        <v/>
      </c>
      <c r="M117" s="401" t="str">
        <f t="shared" si="10"/>
        <v/>
      </c>
    </row>
    <row r="118" spans="2:13" s="98" customFormat="1" ht="12.5" x14ac:dyDescent="0.25">
      <c r="B118" s="115"/>
      <c r="C118" s="106"/>
      <c r="D118" s="107"/>
      <c r="E118" s="107"/>
      <c r="F118" s="104"/>
      <c r="G118" s="420"/>
      <c r="H118" s="102" t="str">
        <f t="shared" si="14"/>
        <v/>
      </c>
      <c r="J118" s="37"/>
      <c r="K118" s="399"/>
      <c r="L118" s="420" t="str">
        <f t="shared" si="9"/>
        <v/>
      </c>
      <c r="M118" s="401" t="str">
        <f t="shared" si="10"/>
        <v/>
      </c>
    </row>
    <row r="119" spans="2:13" s="98" customFormat="1" ht="12.5" x14ac:dyDescent="0.25">
      <c r="B119" s="115"/>
      <c r="C119" s="106"/>
      <c r="D119" s="105"/>
      <c r="E119" s="105"/>
      <c r="F119" s="105"/>
      <c r="G119" s="420"/>
      <c r="H119" s="102" t="str">
        <f t="shared" si="14"/>
        <v/>
      </c>
      <c r="J119" s="37"/>
      <c r="K119" s="399"/>
      <c r="L119" s="420" t="str">
        <f t="shared" si="9"/>
        <v/>
      </c>
      <c r="M119" s="401" t="str">
        <f t="shared" si="10"/>
        <v/>
      </c>
    </row>
    <row r="120" spans="2:13" s="98" customFormat="1" ht="12.5" x14ac:dyDescent="0.25">
      <c r="B120" s="108"/>
      <c r="C120" s="106"/>
      <c r="D120" s="107"/>
      <c r="E120" s="107"/>
      <c r="F120" s="104"/>
      <c r="G120" s="420"/>
      <c r="H120" s="102" t="str">
        <f t="shared" si="14"/>
        <v/>
      </c>
      <c r="J120" s="42"/>
      <c r="K120" s="42"/>
      <c r="L120" s="420" t="str">
        <f t="shared" ref="L120:L130" si="15">IF(J120="","",F120*K120)</f>
        <v/>
      </c>
      <c r="M120" s="401" t="str">
        <f t="shared" ref="M120:M131" si="16">IF(J120="","",IF(SUM(H120)=0,"",L120/H120))</f>
        <v/>
      </c>
    </row>
    <row r="121" spans="2:13" s="98" customFormat="1" ht="12.5" x14ac:dyDescent="0.25">
      <c r="B121" s="115"/>
      <c r="C121" s="113"/>
      <c r="D121" s="104"/>
      <c r="E121" s="104"/>
      <c r="F121" s="104"/>
      <c r="G121" s="420"/>
      <c r="H121" s="102" t="str">
        <f t="shared" si="14"/>
        <v/>
      </c>
      <c r="J121" s="42"/>
      <c r="K121" s="42"/>
      <c r="L121" s="420" t="str">
        <f t="shared" si="15"/>
        <v/>
      </c>
      <c r="M121" s="401" t="str">
        <f t="shared" si="16"/>
        <v/>
      </c>
    </row>
    <row r="122" spans="2:13" s="98" customFormat="1" ht="12.5" x14ac:dyDescent="0.25">
      <c r="B122" s="108"/>
      <c r="C122" s="109"/>
      <c r="D122" s="107"/>
      <c r="E122" s="107"/>
      <c r="F122" s="105"/>
      <c r="G122" s="420"/>
      <c r="H122" s="102" t="str">
        <f t="shared" si="14"/>
        <v/>
      </c>
      <c r="J122" s="42"/>
      <c r="K122" s="42"/>
      <c r="L122" s="420" t="str">
        <f t="shared" si="15"/>
        <v/>
      </c>
      <c r="M122" s="401" t="str">
        <f t="shared" si="16"/>
        <v/>
      </c>
    </row>
    <row r="123" spans="2:13" s="98" customFormat="1" ht="12.5" x14ac:dyDescent="0.25">
      <c r="B123" s="115"/>
      <c r="C123" s="113"/>
      <c r="D123" s="104"/>
      <c r="E123" s="104"/>
      <c r="F123" s="105"/>
      <c r="G123" s="420"/>
      <c r="H123" s="102" t="str">
        <f t="shared" si="14"/>
        <v/>
      </c>
      <c r="J123" s="42"/>
      <c r="K123" s="42"/>
      <c r="L123" s="420" t="str">
        <f t="shared" si="15"/>
        <v/>
      </c>
      <c r="M123" s="401" t="str">
        <f t="shared" si="16"/>
        <v/>
      </c>
    </row>
    <row r="124" spans="2:13" s="98" customFormat="1" x14ac:dyDescent="0.25">
      <c r="B124" s="115"/>
      <c r="C124" s="106"/>
      <c r="D124" s="107"/>
      <c r="E124" s="107"/>
      <c r="F124" s="105"/>
      <c r="G124" s="420"/>
      <c r="H124" s="102" t="str">
        <f t="shared" si="14"/>
        <v/>
      </c>
      <c r="J124" s="426"/>
      <c r="K124" s="426"/>
      <c r="L124" s="420" t="str">
        <f t="shared" si="15"/>
        <v/>
      </c>
      <c r="M124" s="401" t="str">
        <f t="shared" si="16"/>
        <v/>
      </c>
    </row>
    <row r="125" spans="2:13" s="98" customFormat="1" x14ac:dyDescent="0.25">
      <c r="B125" s="115"/>
      <c r="C125" s="106"/>
      <c r="D125" s="107"/>
      <c r="E125" s="107"/>
      <c r="F125" s="105"/>
      <c r="G125" s="420"/>
      <c r="H125" s="102"/>
      <c r="J125" s="426"/>
      <c r="K125" s="426"/>
      <c r="L125" s="420" t="str">
        <f t="shared" si="15"/>
        <v/>
      </c>
      <c r="M125" s="401" t="str">
        <f t="shared" si="16"/>
        <v/>
      </c>
    </row>
    <row r="126" spans="2:13" s="98" customFormat="1" x14ac:dyDescent="0.25">
      <c r="B126" s="115"/>
      <c r="C126" s="106"/>
      <c r="D126" s="107"/>
      <c r="E126" s="107"/>
      <c r="F126" s="105"/>
      <c r="G126" s="420"/>
      <c r="H126" s="102"/>
      <c r="J126" s="426"/>
      <c r="K126" s="426"/>
      <c r="L126" s="420" t="str">
        <f t="shared" si="15"/>
        <v/>
      </c>
      <c r="M126" s="401" t="str">
        <f t="shared" si="16"/>
        <v/>
      </c>
    </row>
    <row r="127" spans="2:13" s="98" customFormat="1" ht="12.5" x14ac:dyDescent="0.25">
      <c r="B127" s="115"/>
      <c r="C127" s="106"/>
      <c r="D127" s="107"/>
      <c r="E127" s="107"/>
      <c r="F127" s="105"/>
      <c r="G127" s="420"/>
      <c r="H127" s="102"/>
      <c r="J127" s="42"/>
      <c r="K127" s="42"/>
      <c r="L127" s="420" t="str">
        <f t="shared" si="15"/>
        <v/>
      </c>
      <c r="M127" s="401" t="str">
        <f t="shared" si="16"/>
        <v/>
      </c>
    </row>
    <row r="128" spans="2:13" s="98" customFormat="1" ht="12.5" x14ac:dyDescent="0.25">
      <c r="B128" s="115"/>
      <c r="C128" s="106"/>
      <c r="D128" s="107"/>
      <c r="E128" s="107"/>
      <c r="F128" s="105"/>
      <c r="G128" s="420"/>
      <c r="H128" s="102"/>
      <c r="J128" s="37"/>
      <c r="K128" s="42"/>
      <c r="L128" s="420" t="str">
        <f t="shared" si="15"/>
        <v/>
      </c>
      <c r="M128" s="401" t="str">
        <f t="shared" si="16"/>
        <v/>
      </c>
    </row>
    <row r="129" spans="2:13" s="98" customFormat="1" ht="12.5" x14ac:dyDescent="0.25">
      <c r="B129" s="115"/>
      <c r="C129" s="106"/>
      <c r="D129" s="105"/>
      <c r="E129" s="105"/>
      <c r="F129" s="105"/>
      <c r="G129" s="420"/>
      <c r="H129" s="102" t="str">
        <f>IF(D129="","",F129*G129)</f>
        <v/>
      </c>
      <c r="J129" s="37"/>
      <c r="K129" s="403"/>
      <c r="L129" s="420" t="str">
        <f t="shared" si="15"/>
        <v/>
      </c>
      <c r="M129" s="401" t="str">
        <f t="shared" si="16"/>
        <v/>
      </c>
    </row>
    <row r="130" spans="2:13" s="98" customFormat="1" ht="12.5" x14ac:dyDescent="0.25">
      <c r="B130" s="115"/>
      <c r="C130" s="106"/>
      <c r="D130" s="105"/>
      <c r="E130" s="105"/>
      <c r="F130" s="105"/>
      <c r="G130" s="420"/>
      <c r="H130" s="102"/>
      <c r="J130" s="37"/>
      <c r="K130" s="404"/>
      <c r="L130" s="420" t="str">
        <f t="shared" si="15"/>
        <v/>
      </c>
      <c r="M130" s="401" t="str">
        <f t="shared" si="16"/>
        <v/>
      </c>
    </row>
    <row r="131" spans="2:13" s="28" customFormat="1" ht="19.5" customHeight="1" x14ac:dyDescent="0.25">
      <c r="B131" s="135" t="str">
        <f>$B$12</f>
        <v>C11.7</v>
      </c>
      <c r="C131" s="498" t="str">
        <f>"TOTAL CARRIED FORWARD"&amp;IF(H131=H$1," TO SUMMARY","")</f>
        <v>TOTAL CARRIED FORWARD TO SUMMARY</v>
      </c>
      <c r="D131" s="31"/>
      <c r="E131" s="31"/>
      <c r="F131" s="32"/>
      <c r="G131" s="31"/>
      <c r="H131" s="33">
        <f>SUM(H78:H130)</f>
        <v>128380.00000000003</v>
      </c>
      <c r="I131" s="34"/>
      <c r="J131" s="408"/>
      <c r="K131" s="406"/>
      <c r="L131" s="418">
        <f>SUM(L78:L130)</f>
        <v>7342.8000000000011</v>
      </c>
      <c r="M131" s="407" t="str">
        <f t="shared" si="16"/>
        <v/>
      </c>
    </row>
    <row r="132" spans="2:13" s="1" customFormat="1" ht="13" x14ac:dyDescent="0.25">
      <c r="B132" s="1108" t="str">
        <f>Client1</f>
        <v>Province of KwaZulu-Natal</v>
      </c>
      <c r="C132" s="1108"/>
      <c r="D132" s="1108"/>
      <c r="E132" s="87"/>
      <c r="F132" s="1109" t="str">
        <f>"Contract No. "&amp;ContractNo</f>
        <v>Contract No. ZNB 00399/00000/HOD/INF/21/T</v>
      </c>
      <c r="G132" s="1109"/>
      <c r="H132" s="1109"/>
      <c r="I132" s="5"/>
    </row>
    <row r="133" spans="2:13" s="1" customFormat="1" ht="13" x14ac:dyDescent="0.25">
      <c r="B133" s="1108" t="str">
        <f>Client2</f>
        <v>Department of Transport</v>
      </c>
      <c r="C133" s="1108"/>
      <c r="D133" s="1108"/>
      <c r="E133" s="87"/>
      <c r="F133" s="1109"/>
      <c r="G133" s="1109"/>
      <c r="H133" s="1109"/>
      <c r="I133" s="5"/>
    </row>
    <row r="134" spans="2:13" s="1" customFormat="1" ht="12.5" x14ac:dyDescent="0.25">
      <c r="B134" s="1111"/>
      <c r="C134" s="1111"/>
      <c r="D134" s="1111"/>
      <c r="E134" s="78"/>
      <c r="F134" s="1110"/>
      <c r="G134" s="1110"/>
      <c r="H134" s="1110"/>
      <c r="I134" s="5"/>
    </row>
    <row r="135" spans="2:13" s="1" customFormat="1" ht="13" x14ac:dyDescent="0.25">
      <c r="B135" s="1112" t="s">
        <v>8</v>
      </c>
      <c r="C135" s="1113"/>
      <c r="D135" s="1113"/>
      <c r="E135" s="1113"/>
      <c r="F135" s="1113"/>
      <c r="G135" s="1113"/>
      <c r="H135" s="1125" t="str">
        <f>$H$6</f>
        <v>CHAPTER C11.7</v>
      </c>
      <c r="I135" s="6"/>
    </row>
    <row r="136" spans="2:13" s="1" customFormat="1" ht="13" x14ac:dyDescent="0.25">
      <c r="B136" s="1117" t="str">
        <f>ContractDescription</f>
        <v>THE CONSTRUCTION OF EARTHWORKS, LAYERWORKS, SURFACING, CULVERTS AND CWAKA RIVER BRIDGE FROM KM 11.600 TO KM 14.000 ON MAIN ROAD P494 IN THE KING CETSHWAYO DISTRICT UNDER EMPANGENI REGION</v>
      </c>
      <c r="C136" s="1118"/>
      <c r="D136" s="1118"/>
      <c r="E136" s="1118"/>
      <c r="F136" s="1118"/>
      <c r="G136" s="1118"/>
      <c r="H136" s="1126"/>
      <c r="I136" s="8"/>
    </row>
    <row r="137" spans="2:13" s="1" customFormat="1" ht="13" x14ac:dyDescent="0.25">
      <c r="B137" s="1117"/>
      <c r="C137" s="1118"/>
      <c r="D137" s="1118"/>
      <c r="E137" s="1118"/>
      <c r="F137" s="1118"/>
      <c r="G137" s="1118"/>
      <c r="H137" s="1126"/>
      <c r="I137" s="8"/>
    </row>
    <row r="138" spans="2:13" s="1" customFormat="1" ht="13" x14ac:dyDescent="0.25">
      <c r="B138" s="1119"/>
      <c r="C138" s="1120"/>
      <c r="D138" s="1120"/>
      <c r="E138" s="1120"/>
      <c r="F138" s="1120"/>
      <c r="G138" s="1120"/>
      <c r="H138" s="1127"/>
      <c r="I138" s="8"/>
    </row>
    <row r="139" spans="2:13" s="9" customFormat="1" ht="25" customHeight="1" x14ac:dyDescent="0.25">
      <c r="B139" s="74" t="s">
        <v>0</v>
      </c>
      <c r="C139" s="11" t="s">
        <v>1</v>
      </c>
      <c r="D139" s="11" t="s">
        <v>2</v>
      </c>
      <c r="E139" s="11"/>
      <c r="F139" s="11" t="s">
        <v>3</v>
      </c>
      <c r="G139" s="11" t="s">
        <v>4</v>
      </c>
      <c r="H139" s="11" t="s">
        <v>5</v>
      </c>
      <c r="I139" s="12"/>
      <c r="J139" s="408" t="s">
        <v>996</v>
      </c>
      <c r="K139" s="253" t="s">
        <v>997</v>
      </c>
      <c r="L139" s="253" t="s">
        <v>998</v>
      </c>
      <c r="M139" s="253" t="s">
        <v>999</v>
      </c>
    </row>
    <row r="140" spans="2:13" s="28" customFormat="1" ht="19.5" customHeight="1" x14ac:dyDescent="0.25">
      <c r="B140" s="80"/>
      <c r="C140" s="30" t="s">
        <v>27</v>
      </c>
      <c r="D140" s="31"/>
      <c r="E140" s="31"/>
      <c r="F140" s="32"/>
      <c r="G140" s="31"/>
      <c r="H140" s="33">
        <f>H131</f>
        <v>128380.00000000003</v>
      </c>
      <c r="I140" s="34"/>
      <c r="J140" s="416"/>
      <c r="K140" s="409"/>
      <c r="L140" s="419">
        <f>L131</f>
        <v>7342.8000000000011</v>
      </c>
      <c r="M140" s="410"/>
    </row>
    <row r="141" spans="2:13" s="98" customFormat="1" ht="12.5" x14ac:dyDescent="0.25">
      <c r="B141" s="115"/>
      <c r="C141" s="106"/>
      <c r="D141" s="105"/>
      <c r="E141" s="105"/>
      <c r="F141" s="105"/>
      <c r="G141" s="420"/>
      <c r="H141" s="102"/>
      <c r="J141" s="37"/>
      <c r="K141" s="399"/>
      <c r="L141" s="420" t="str">
        <f t="shared" ref="L141:L182" si="17">IF(J141="","",F141*K141)</f>
        <v/>
      </c>
      <c r="M141" s="401" t="str">
        <f t="shared" ref="M141:M182" si="18">IF(J141="","",IF(SUM(H141)=0,"",L141/H141))</f>
        <v/>
      </c>
    </row>
    <row r="142" spans="2:13" s="98" customFormat="1" ht="12.5" x14ac:dyDescent="0.25">
      <c r="B142" s="114"/>
      <c r="C142" s="106"/>
      <c r="D142" s="107"/>
      <c r="E142" s="107"/>
      <c r="F142" s="105"/>
      <c r="G142" s="569"/>
      <c r="H142" s="102" t="str">
        <f t="shared" ref="H142:H154" si="19">IF(D142="","",F142*G142)</f>
        <v/>
      </c>
      <c r="J142" s="37"/>
      <c r="K142" s="399"/>
      <c r="L142" s="420" t="str">
        <f t="shared" si="17"/>
        <v/>
      </c>
      <c r="M142" s="401" t="str">
        <f t="shared" si="18"/>
        <v/>
      </c>
    </row>
    <row r="143" spans="2:13" s="98" customFormat="1" ht="12.5" x14ac:dyDescent="0.25">
      <c r="B143" s="108"/>
      <c r="C143" s="106"/>
      <c r="D143" s="105"/>
      <c r="E143" s="105"/>
      <c r="F143" s="105"/>
      <c r="G143" s="569"/>
      <c r="H143" s="112" t="str">
        <f t="shared" si="19"/>
        <v/>
      </c>
      <c r="J143" s="37"/>
      <c r="K143" s="399"/>
      <c r="L143" s="420" t="str">
        <f t="shared" si="17"/>
        <v/>
      </c>
      <c r="M143" s="401" t="str">
        <f t="shared" si="18"/>
        <v/>
      </c>
    </row>
    <row r="144" spans="2:13" s="98" customFormat="1" ht="12.5" x14ac:dyDescent="0.25">
      <c r="B144" s="108"/>
      <c r="C144" s="109"/>
      <c r="D144" s="105"/>
      <c r="E144" s="105"/>
      <c r="F144" s="105"/>
      <c r="G144" s="569"/>
      <c r="H144" s="112" t="str">
        <f t="shared" si="19"/>
        <v/>
      </c>
      <c r="J144" s="37"/>
      <c r="K144" s="399"/>
      <c r="L144" s="420" t="str">
        <f t="shared" si="17"/>
        <v/>
      </c>
      <c r="M144" s="401" t="str">
        <f t="shared" si="18"/>
        <v/>
      </c>
    </row>
    <row r="145" spans="2:13" s="98" customFormat="1" ht="12.5" x14ac:dyDescent="0.25">
      <c r="B145" s="108"/>
      <c r="C145" s="106"/>
      <c r="D145" s="105"/>
      <c r="E145" s="105"/>
      <c r="F145" s="105"/>
      <c r="G145" s="569"/>
      <c r="H145" s="112" t="str">
        <f t="shared" si="19"/>
        <v/>
      </c>
      <c r="J145" s="37"/>
      <c r="K145" s="400"/>
      <c r="L145" s="420" t="str">
        <f t="shared" si="17"/>
        <v/>
      </c>
      <c r="M145" s="401" t="str">
        <f t="shared" si="18"/>
        <v/>
      </c>
    </row>
    <row r="146" spans="2:13" s="98" customFormat="1" ht="12.5" x14ac:dyDescent="0.25">
      <c r="B146" s="115"/>
      <c r="C146" s="106"/>
      <c r="D146" s="107"/>
      <c r="E146" s="107"/>
      <c r="F146" s="105"/>
      <c r="G146" s="569"/>
      <c r="H146" s="112" t="str">
        <f t="shared" si="19"/>
        <v/>
      </c>
      <c r="J146" s="37"/>
      <c r="K146" s="399"/>
      <c r="L146" s="420" t="str">
        <f t="shared" si="17"/>
        <v/>
      </c>
      <c r="M146" s="401" t="str">
        <f t="shared" si="18"/>
        <v/>
      </c>
    </row>
    <row r="147" spans="2:13" s="98" customFormat="1" ht="12.5" x14ac:dyDescent="0.25">
      <c r="B147" s="115"/>
      <c r="C147" s="106"/>
      <c r="D147" s="105"/>
      <c r="E147" s="105"/>
      <c r="F147" s="105"/>
      <c r="G147" s="569"/>
      <c r="H147" s="112" t="str">
        <f t="shared" si="19"/>
        <v/>
      </c>
      <c r="J147" s="37"/>
      <c r="K147" s="399"/>
      <c r="L147" s="420" t="str">
        <f t="shared" si="17"/>
        <v/>
      </c>
      <c r="M147" s="401" t="str">
        <f t="shared" si="18"/>
        <v/>
      </c>
    </row>
    <row r="148" spans="2:13" s="98" customFormat="1" ht="12.5" x14ac:dyDescent="0.25">
      <c r="B148" s="114"/>
      <c r="C148" s="106"/>
      <c r="D148" s="107"/>
      <c r="E148" s="107"/>
      <c r="F148" s="110"/>
      <c r="G148" s="570"/>
      <c r="H148" s="102" t="str">
        <f t="shared" si="19"/>
        <v/>
      </c>
      <c r="J148" s="37"/>
      <c r="K148" s="399"/>
      <c r="L148" s="420" t="str">
        <f t="shared" si="17"/>
        <v/>
      </c>
      <c r="M148" s="401" t="str">
        <f t="shared" si="18"/>
        <v/>
      </c>
    </row>
    <row r="149" spans="2:13" s="98" customFormat="1" ht="12.5" x14ac:dyDescent="0.25">
      <c r="B149" s="115"/>
      <c r="C149" s="106"/>
      <c r="D149" s="105"/>
      <c r="E149" s="105"/>
      <c r="F149" s="103"/>
      <c r="G149" s="569"/>
      <c r="H149" s="102" t="str">
        <f t="shared" si="19"/>
        <v/>
      </c>
      <c r="J149" s="37"/>
      <c r="K149" s="402"/>
      <c r="L149" s="420" t="str">
        <f t="shared" si="17"/>
        <v/>
      </c>
      <c r="M149" s="401" t="str">
        <f t="shared" si="18"/>
        <v/>
      </c>
    </row>
    <row r="150" spans="2:13" s="98" customFormat="1" ht="12.5" x14ac:dyDescent="0.25">
      <c r="B150" s="108"/>
      <c r="C150" s="106"/>
      <c r="D150" s="107"/>
      <c r="E150" s="107"/>
      <c r="F150" s="103"/>
      <c r="G150" s="571"/>
      <c r="H150" s="102" t="str">
        <f t="shared" si="19"/>
        <v/>
      </c>
      <c r="J150" s="37"/>
      <c r="K150" s="402"/>
      <c r="L150" s="420" t="str">
        <f t="shared" si="17"/>
        <v/>
      </c>
      <c r="M150" s="401" t="str">
        <f t="shared" si="18"/>
        <v/>
      </c>
    </row>
    <row r="151" spans="2:13" s="98" customFormat="1" ht="12.5" x14ac:dyDescent="0.25">
      <c r="B151" s="115"/>
      <c r="C151" s="106"/>
      <c r="D151" s="105"/>
      <c r="E151" s="105"/>
      <c r="F151" s="103"/>
      <c r="G151" s="569"/>
      <c r="H151" s="102" t="str">
        <f t="shared" si="19"/>
        <v/>
      </c>
      <c r="J151" s="37"/>
      <c r="K151" s="402"/>
      <c r="L151" s="420" t="str">
        <f t="shared" si="17"/>
        <v/>
      </c>
      <c r="M151" s="401" t="str">
        <f t="shared" si="18"/>
        <v/>
      </c>
    </row>
    <row r="152" spans="2:13" s="98" customFormat="1" ht="12.5" x14ac:dyDescent="0.25">
      <c r="B152" s="108"/>
      <c r="C152" s="109"/>
      <c r="D152" s="107"/>
      <c r="E152" s="107"/>
      <c r="F152" s="103"/>
      <c r="G152" s="572"/>
      <c r="H152" s="102" t="str">
        <f t="shared" si="19"/>
        <v/>
      </c>
      <c r="J152" s="37"/>
      <c r="K152" s="402"/>
      <c r="L152" s="420" t="str">
        <f t="shared" si="17"/>
        <v/>
      </c>
      <c r="M152" s="401" t="str">
        <f t="shared" si="18"/>
        <v/>
      </c>
    </row>
    <row r="153" spans="2:13" s="98" customFormat="1" ht="12.5" x14ac:dyDescent="0.25">
      <c r="B153" s="108"/>
      <c r="C153" s="106"/>
      <c r="D153" s="105"/>
      <c r="E153" s="105"/>
      <c r="F153" s="103"/>
      <c r="G153" s="572"/>
      <c r="H153" s="102" t="str">
        <f t="shared" si="19"/>
        <v/>
      </c>
      <c r="J153" s="37"/>
      <c r="K153" s="402"/>
      <c r="L153" s="420" t="str">
        <f t="shared" si="17"/>
        <v/>
      </c>
      <c r="M153" s="401" t="str">
        <f t="shared" si="18"/>
        <v/>
      </c>
    </row>
    <row r="154" spans="2:13" s="98" customFormat="1" ht="12.5" x14ac:dyDescent="0.25">
      <c r="B154" s="108"/>
      <c r="C154" s="109"/>
      <c r="D154" s="107"/>
      <c r="E154" s="107"/>
      <c r="F154" s="103"/>
      <c r="G154" s="420"/>
      <c r="H154" s="102" t="str">
        <f t="shared" si="19"/>
        <v/>
      </c>
      <c r="J154" s="37"/>
      <c r="K154" s="402"/>
      <c r="L154" s="420" t="str">
        <f t="shared" si="17"/>
        <v/>
      </c>
      <c r="M154" s="401" t="str">
        <f t="shared" si="18"/>
        <v/>
      </c>
    </row>
    <row r="155" spans="2:13" s="98" customFormat="1" ht="12.5" x14ac:dyDescent="0.25">
      <c r="B155" s="108"/>
      <c r="C155" s="109"/>
      <c r="D155" s="107"/>
      <c r="E155" s="107"/>
      <c r="F155" s="103"/>
      <c r="G155" s="420"/>
      <c r="H155" s="102"/>
      <c r="J155" s="37"/>
      <c r="K155" s="399"/>
      <c r="L155" s="420" t="str">
        <f t="shared" si="17"/>
        <v/>
      </c>
      <c r="M155" s="401" t="str">
        <f t="shared" si="18"/>
        <v/>
      </c>
    </row>
    <row r="156" spans="2:13" s="98" customFormat="1" ht="12.5" x14ac:dyDescent="0.25">
      <c r="B156" s="108"/>
      <c r="C156" s="109"/>
      <c r="D156" s="107"/>
      <c r="E156" s="107"/>
      <c r="F156" s="103"/>
      <c r="G156" s="420"/>
      <c r="H156" s="102"/>
      <c r="J156" s="37"/>
      <c r="K156" s="399"/>
      <c r="L156" s="420" t="str">
        <f t="shared" si="17"/>
        <v/>
      </c>
      <c r="M156" s="401" t="str">
        <f t="shared" si="18"/>
        <v/>
      </c>
    </row>
    <row r="157" spans="2:13" s="98" customFormat="1" ht="12.5" x14ac:dyDescent="0.25">
      <c r="B157" s="115"/>
      <c r="C157" s="106"/>
      <c r="D157" s="105"/>
      <c r="E157" s="105"/>
      <c r="F157" s="103"/>
      <c r="G157" s="572"/>
      <c r="H157" s="102" t="str">
        <f t="shared" ref="H157:H182" si="20">IF(D157="","",F157*G157)</f>
        <v/>
      </c>
      <c r="J157" s="37"/>
      <c r="K157" s="400"/>
      <c r="L157" s="420" t="str">
        <f t="shared" si="17"/>
        <v/>
      </c>
      <c r="M157" s="401" t="str">
        <f t="shared" si="18"/>
        <v/>
      </c>
    </row>
    <row r="158" spans="2:13" s="98" customFormat="1" ht="12.5" x14ac:dyDescent="0.25">
      <c r="B158" s="108"/>
      <c r="C158" s="106"/>
      <c r="D158" s="107"/>
      <c r="E158" s="107"/>
      <c r="F158" s="103"/>
      <c r="G158" s="571"/>
      <c r="H158" s="102" t="str">
        <f t="shared" si="20"/>
        <v/>
      </c>
      <c r="J158" s="37"/>
      <c r="K158" s="399"/>
      <c r="L158" s="420" t="str">
        <f t="shared" si="17"/>
        <v/>
      </c>
      <c r="M158" s="401" t="str">
        <f t="shared" si="18"/>
        <v/>
      </c>
    </row>
    <row r="159" spans="2:13" s="98" customFormat="1" ht="12.5" x14ac:dyDescent="0.25">
      <c r="B159" s="115"/>
      <c r="C159" s="106"/>
      <c r="D159" s="105"/>
      <c r="E159" s="105"/>
      <c r="F159" s="103"/>
      <c r="G159" s="572"/>
      <c r="H159" s="102" t="str">
        <f t="shared" si="20"/>
        <v/>
      </c>
      <c r="J159" s="37"/>
      <c r="K159" s="399"/>
      <c r="L159" s="420" t="str">
        <f t="shared" si="17"/>
        <v/>
      </c>
      <c r="M159" s="401" t="str">
        <f t="shared" si="18"/>
        <v/>
      </c>
    </row>
    <row r="160" spans="2:13" s="98" customFormat="1" ht="12.5" x14ac:dyDescent="0.25">
      <c r="B160" s="108"/>
      <c r="C160" s="106"/>
      <c r="D160" s="107"/>
      <c r="E160" s="107"/>
      <c r="F160" s="103"/>
      <c r="G160" s="569"/>
      <c r="H160" s="102" t="str">
        <f t="shared" si="20"/>
        <v/>
      </c>
      <c r="J160" s="37"/>
      <c r="K160" s="399"/>
      <c r="L160" s="420" t="str">
        <f t="shared" si="17"/>
        <v/>
      </c>
      <c r="M160" s="401" t="str">
        <f t="shared" si="18"/>
        <v/>
      </c>
    </row>
    <row r="161" spans="2:13" s="98" customFormat="1" ht="12.5" x14ac:dyDescent="0.25">
      <c r="B161" s="115"/>
      <c r="C161" s="106"/>
      <c r="D161" s="105"/>
      <c r="E161" s="105"/>
      <c r="F161" s="103"/>
      <c r="G161" s="569"/>
      <c r="H161" s="102" t="str">
        <f t="shared" si="20"/>
        <v/>
      </c>
      <c r="J161" s="37"/>
      <c r="K161" s="399"/>
      <c r="L161" s="420" t="str">
        <f t="shared" si="17"/>
        <v/>
      </c>
      <c r="M161" s="401" t="str">
        <f t="shared" si="18"/>
        <v/>
      </c>
    </row>
    <row r="162" spans="2:13" s="98" customFormat="1" ht="12.5" x14ac:dyDescent="0.25">
      <c r="B162" s="108"/>
      <c r="C162" s="106"/>
      <c r="D162" s="107"/>
      <c r="E162" s="107"/>
      <c r="F162" s="103"/>
      <c r="G162" s="420"/>
      <c r="H162" s="102" t="str">
        <f t="shared" si="20"/>
        <v/>
      </c>
      <c r="J162" s="37"/>
      <c r="K162" s="399"/>
      <c r="L162" s="420" t="str">
        <f t="shared" si="17"/>
        <v/>
      </c>
      <c r="M162" s="401" t="str">
        <f t="shared" si="18"/>
        <v/>
      </c>
    </row>
    <row r="163" spans="2:13" s="98" customFormat="1" ht="12.5" x14ac:dyDescent="0.25">
      <c r="B163" s="115"/>
      <c r="C163" s="106"/>
      <c r="D163" s="105"/>
      <c r="E163" s="105"/>
      <c r="F163" s="103"/>
      <c r="G163" s="420"/>
      <c r="H163" s="102" t="str">
        <f t="shared" si="20"/>
        <v/>
      </c>
      <c r="J163" s="37"/>
      <c r="K163" s="400"/>
      <c r="L163" s="420" t="str">
        <f t="shared" si="17"/>
        <v/>
      </c>
      <c r="M163" s="401" t="str">
        <f t="shared" si="18"/>
        <v/>
      </c>
    </row>
    <row r="164" spans="2:13" s="98" customFormat="1" ht="12.5" x14ac:dyDescent="0.25">
      <c r="B164" s="108"/>
      <c r="C164" s="106"/>
      <c r="D164" s="128"/>
      <c r="E164" s="128"/>
      <c r="F164" s="574"/>
      <c r="G164" s="571"/>
      <c r="H164" s="102" t="str">
        <f t="shared" si="20"/>
        <v/>
      </c>
      <c r="J164" s="61"/>
      <c r="K164" s="399"/>
      <c r="L164" s="420" t="str">
        <f t="shared" si="17"/>
        <v/>
      </c>
      <c r="M164" s="401" t="str">
        <f t="shared" si="18"/>
        <v/>
      </c>
    </row>
    <row r="165" spans="2:13" s="98" customFormat="1" ht="12.5" x14ac:dyDescent="0.25">
      <c r="B165" s="115"/>
      <c r="C165" s="106"/>
      <c r="D165" s="105"/>
      <c r="E165" s="105"/>
      <c r="F165" s="103"/>
      <c r="G165" s="569"/>
      <c r="H165" s="102" t="str">
        <f t="shared" si="20"/>
        <v/>
      </c>
      <c r="J165" s="37"/>
      <c r="K165" s="399"/>
      <c r="L165" s="420" t="str">
        <f t="shared" si="17"/>
        <v/>
      </c>
      <c r="M165" s="401" t="str">
        <f t="shared" si="18"/>
        <v/>
      </c>
    </row>
    <row r="166" spans="2:13" s="98" customFormat="1" ht="12.5" x14ac:dyDescent="0.25">
      <c r="B166" s="108"/>
      <c r="C166" s="106"/>
      <c r="D166" s="128"/>
      <c r="E166" s="128"/>
      <c r="F166" s="574"/>
      <c r="G166" s="569"/>
      <c r="H166" s="102" t="str">
        <f t="shared" si="20"/>
        <v/>
      </c>
      <c r="J166" s="37"/>
      <c r="K166" s="399"/>
      <c r="L166" s="420" t="str">
        <f t="shared" si="17"/>
        <v/>
      </c>
      <c r="M166" s="401" t="str">
        <f t="shared" si="18"/>
        <v/>
      </c>
    </row>
    <row r="167" spans="2:13" s="98" customFormat="1" ht="12.5" x14ac:dyDescent="0.25">
      <c r="B167" s="115"/>
      <c r="C167" s="106"/>
      <c r="D167" s="105"/>
      <c r="E167" s="105"/>
      <c r="F167" s="103"/>
      <c r="G167" s="569"/>
      <c r="H167" s="102" t="str">
        <f t="shared" si="20"/>
        <v/>
      </c>
      <c r="J167" s="37"/>
      <c r="K167" s="399"/>
      <c r="L167" s="420" t="str">
        <f t="shared" si="17"/>
        <v/>
      </c>
      <c r="M167" s="401" t="str">
        <f t="shared" si="18"/>
        <v/>
      </c>
    </row>
    <row r="168" spans="2:13" s="98" customFormat="1" ht="12.5" x14ac:dyDescent="0.25">
      <c r="B168" s="108"/>
      <c r="C168" s="106"/>
      <c r="D168" s="128"/>
      <c r="E168" s="128"/>
      <c r="F168" s="574"/>
      <c r="G168" s="420"/>
      <c r="H168" s="102" t="str">
        <f t="shared" si="20"/>
        <v/>
      </c>
      <c r="J168" s="37"/>
      <c r="K168" s="399"/>
      <c r="L168" s="420" t="str">
        <f t="shared" si="17"/>
        <v/>
      </c>
      <c r="M168" s="401" t="str">
        <f t="shared" si="18"/>
        <v/>
      </c>
    </row>
    <row r="169" spans="2:13" s="98" customFormat="1" ht="12.5" x14ac:dyDescent="0.25">
      <c r="B169" s="115"/>
      <c r="C169" s="106"/>
      <c r="D169" s="105"/>
      <c r="E169" s="105"/>
      <c r="F169" s="103"/>
      <c r="G169" s="569"/>
      <c r="H169" s="102" t="str">
        <f t="shared" si="20"/>
        <v/>
      </c>
      <c r="J169" s="37"/>
      <c r="K169" s="400"/>
      <c r="L169" s="420" t="str">
        <f t="shared" si="17"/>
        <v/>
      </c>
      <c r="M169" s="401" t="str">
        <f t="shared" si="18"/>
        <v/>
      </c>
    </row>
    <row r="170" spans="2:13" s="98" customFormat="1" ht="12.5" x14ac:dyDescent="0.25">
      <c r="B170" s="108"/>
      <c r="C170" s="106"/>
      <c r="D170" s="107"/>
      <c r="E170" s="107"/>
      <c r="F170" s="103"/>
      <c r="G170" s="571"/>
      <c r="H170" s="102" t="str">
        <f t="shared" si="20"/>
        <v/>
      </c>
      <c r="J170" s="37"/>
      <c r="K170" s="399"/>
      <c r="L170" s="420" t="str">
        <f t="shared" si="17"/>
        <v/>
      </c>
      <c r="M170" s="401" t="str">
        <f t="shared" si="18"/>
        <v/>
      </c>
    </row>
    <row r="171" spans="2:13" s="98" customFormat="1" ht="12.5" x14ac:dyDescent="0.25">
      <c r="B171" s="115"/>
      <c r="C171" s="106"/>
      <c r="D171" s="105"/>
      <c r="E171" s="105"/>
      <c r="F171" s="105"/>
      <c r="G171" s="569"/>
      <c r="H171" s="102" t="str">
        <f t="shared" si="20"/>
        <v/>
      </c>
      <c r="J171" s="37"/>
      <c r="K171" s="399"/>
      <c r="L171" s="420" t="str">
        <f t="shared" si="17"/>
        <v/>
      </c>
      <c r="M171" s="401" t="str">
        <f t="shared" si="18"/>
        <v/>
      </c>
    </row>
    <row r="172" spans="2:13" s="98" customFormat="1" ht="12.5" x14ac:dyDescent="0.25">
      <c r="B172" s="108"/>
      <c r="C172" s="106"/>
      <c r="D172" s="107"/>
      <c r="E172" s="107"/>
      <c r="F172" s="105"/>
      <c r="G172" s="420"/>
      <c r="H172" s="102" t="str">
        <f t="shared" si="20"/>
        <v/>
      </c>
      <c r="J172" s="37"/>
      <c r="K172" s="399"/>
      <c r="L172" s="420" t="str">
        <f t="shared" si="17"/>
        <v/>
      </c>
      <c r="M172" s="401" t="str">
        <f t="shared" si="18"/>
        <v/>
      </c>
    </row>
    <row r="173" spans="2:13" s="98" customFormat="1" ht="12.5" x14ac:dyDescent="0.25">
      <c r="B173" s="115"/>
      <c r="C173" s="106"/>
      <c r="D173" s="105"/>
      <c r="E173" s="105"/>
      <c r="F173" s="105"/>
      <c r="G173" s="420"/>
      <c r="H173" s="102" t="str">
        <f t="shared" si="20"/>
        <v/>
      </c>
      <c r="J173" s="37"/>
      <c r="K173" s="399"/>
      <c r="L173" s="420" t="str">
        <f t="shared" si="17"/>
        <v/>
      </c>
      <c r="M173" s="401" t="str">
        <f t="shared" si="18"/>
        <v/>
      </c>
    </row>
    <row r="174" spans="2:13" s="98" customFormat="1" ht="12.5" x14ac:dyDescent="0.25">
      <c r="B174" s="108"/>
      <c r="C174" s="106"/>
      <c r="D174" s="107"/>
      <c r="E174" s="107"/>
      <c r="F174" s="105"/>
      <c r="G174" s="420"/>
      <c r="H174" s="102" t="str">
        <f t="shared" si="20"/>
        <v/>
      </c>
      <c r="J174" s="37"/>
      <c r="K174" s="399"/>
      <c r="L174" s="420" t="str">
        <f t="shared" si="17"/>
        <v/>
      </c>
      <c r="M174" s="401" t="str">
        <f t="shared" si="18"/>
        <v/>
      </c>
    </row>
    <row r="175" spans="2:13" s="98" customFormat="1" ht="12.5" x14ac:dyDescent="0.25">
      <c r="B175" s="115"/>
      <c r="C175" s="106"/>
      <c r="D175" s="105"/>
      <c r="E175" s="105"/>
      <c r="F175" s="105"/>
      <c r="G175" s="420"/>
      <c r="H175" s="102" t="str">
        <f t="shared" si="20"/>
        <v/>
      </c>
      <c r="J175" s="37"/>
      <c r="K175" s="402"/>
      <c r="L175" s="420" t="str">
        <f t="shared" si="17"/>
        <v/>
      </c>
      <c r="M175" s="401" t="str">
        <f t="shared" si="18"/>
        <v/>
      </c>
    </row>
    <row r="176" spans="2:13" s="98" customFormat="1" ht="12.5" x14ac:dyDescent="0.25">
      <c r="B176" s="108"/>
      <c r="C176" s="106"/>
      <c r="D176" s="107"/>
      <c r="E176" s="107"/>
      <c r="F176" s="105"/>
      <c r="G176" s="573"/>
      <c r="H176" s="102" t="str">
        <f t="shared" si="20"/>
        <v/>
      </c>
      <c r="J176" s="37"/>
      <c r="K176" s="399"/>
      <c r="L176" s="420" t="str">
        <f t="shared" si="17"/>
        <v/>
      </c>
      <c r="M176" s="401" t="str">
        <f t="shared" si="18"/>
        <v/>
      </c>
    </row>
    <row r="177" spans="2:13" s="98" customFormat="1" ht="12.5" x14ac:dyDescent="0.25">
      <c r="B177" s="115"/>
      <c r="C177" s="106"/>
      <c r="D177" s="105"/>
      <c r="E177" s="105"/>
      <c r="F177" s="105"/>
      <c r="G177" s="420"/>
      <c r="H177" s="102" t="str">
        <f t="shared" si="20"/>
        <v/>
      </c>
      <c r="J177" s="37"/>
      <c r="K177" s="402"/>
      <c r="L177" s="420" t="str">
        <f t="shared" si="17"/>
        <v/>
      </c>
      <c r="M177" s="401" t="str">
        <f t="shared" si="18"/>
        <v/>
      </c>
    </row>
    <row r="178" spans="2:13" s="98" customFormat="1" ht="12.5" x14ac:dyDescent="0.25">
      <c r="B178" s="108"/>
      <c r="C178" s="106"/>
      <c r="D178" s="107"/>
      <c r="E178" s="107"/>
      <c r="F178" s="105"/>
      <c r="G178" s="420"/>
      <c r="H178" s="102" t="str">
        <f t="shared" si="20"/>
        <v/>
      </c>
      <c r="J178" s="37"/>
      <c r="K178" s="402"/>
      <c r="L178" s="420" t="str">
        <f t="shared" si="17"/>
        <v/>
      </c>
      <c r="M178" s="401" t="str">
        <f t="shared" si="18"/>
        <v/>
      </c>
    </row>
    <row r="179" spans="2:13" s="98" customFormat="1" ht="12.5" x14ac:dyDescent="0.25">
      <c r="B179" s="115"/>
      <c r="C179" s="106"/>
      <c r="D179" s="105"/>
      <c r="E179" s="105"/>
      <c r="F179" s="105"/>
      <c r="G179" s="420"/>
      <c r="H179" s="102" t="str">
        <f t="shared" si="20"/>
        <v/>
      </c>
      <c r="J179" s="37"/>
      <c r="K179" s="399"/>
      <c r="L179" s="420" t="str">
        <f t="shared" si="17"/>
        <v/>
      </c>
      <c r="M179" s="401" t="str">
        <f t="shared" si="18"/>
        <v/>
      </c>
    </row>
    <row r="180" spans="2:13" s="98" customFormat="1" ht="12.5" x14ac:dyDescent="0.25">
      <c r="B180" s="108"/>
      <c r="C180" s="106"/>
      <c r="D180" s="107"/>
      <c r="E180" s="107"/>
      <c r="F180" s="104"/>
      <c r="G180" s="420"/>
      <c r="H180" s="102" t="str">
        <f t="shared" si="20"/>
        <v/>
      </c>
      <c r="J180" s="37"/>
      <c r="K180" s="399"/>
      <c r="L180" s="420" t="str">
        <f t="shared" si="17"/>
        <v/>
      </c>
      <c r="M180" s="401" t="str">
        <f t="shared" si="18"/>
        <v/>
      </c>
    </row>
    <row r="181" spans="2:13" s="98" customFormat="1" ht="12.5" x14ac:dyDescent="0.25">
      <c r="B181" s="115"/>
      <c r="C181" s="106"/>
      <c r="D181" s="105"/>
      <c r="E181" s="105"/>
      <c r="F181" s="105"/>
      <c r="G181" s="420"/>
      <c r="H181" s="102" t="str">
        <f t="shared" si="20"/>
        <v/>
      </c>
      <c r="J181" s="37"/>
      <c r="K181" s="399"/>
      <c r="L181" s="420" t="str">
        <f t="shared" si="17"/>
        <v/>
      </c>
      <c r="M181" s="401" t="str">
        <f t="shared" si="18"/>
        <v/>
      </c>
    </row>
    <row r="182" spans="2:13" s="98" customFormat="1" ht="12.5" x14ac:dyDescent="0.25">
      <c r="B182" s="108"/>
      <c r="C182" s="106"/>
      <c r="D182" s="107"/>
      <c r="E182" s="107"/>
      <c r="F182" s="104"/>
      <c r="G182" s="420"/>
      <c r="H182" s="102" t="str">
        <f t="shared" si="20"/>
        <v/>
      </c>
      <c r="J182" s="42"/>
      <c r="K182" s="42"/>
      <c r="L182" s="420" t="str">
        <f t="shared" si="17"/>
        <v/>
      </c>
      <c r="M182" s="401" t="str">
        <f t="shared" si="18"/>
        <v/>
      </c>
    </row>
    <row r="183" spans="2:13" s="98" customFormat="1" ht="12.5" x14ac:dyDescent="0.25">
      <c r="B183" s="108"/>
      <c r="C183" s="145"/>
      <c r="D183" s="107"/>
      <c r="E183" s="107"/>
      <c r="F183" s="104"/>
      <c r="G183" s="420"/>
      <c r="H183" s="102"/>
      <c r="J183" s="42"/>
      <c r="K183" s="42"/>
      <c r="L183" s="420" t="str">
        <f t="shared" ref="L183:L199" si="21">IF(J183="","",F183*K183)</f>
        <v/>
      </c>
      <c r="M183" s="401" t="str">
        <f t="shared" ref="M183:M200" si="22">IF(J183="","",IF(SUM(H183)=0,"",L183/H183))</f>
        <v/>
      </c>
    </row>
    <row r="184" spans="2:13" s="98" customFormat="1" ht="12.5" x14ac:dyDescent="0.25">
      <c r="B184" s="108"/>
      <c r="C184" s="145"/>
      <c r="D184" s="107"/>
      <c r="E184" s="107"/>
      <c r="F184" s="104"/>
      <c r="G184" s="420"/>
      <c r="H184" s="102"/>
      <c r="J184" s="42"/>
      <c r="K184" s="42"/>
      <c r="L184" s="420" t="str">
        <f t="shared" si="21"/>
        <v/>
      </c>
      <c r="M184" s="401" t="str">
        <f t="shared" si="22"/>
        <v/>
      </c>
    </row>
    <row r="185" spans="2:13" s="98" customFormat="1" ht="12.5" x14ac:dyDescent="0.25">
      <c r="B185" s="108"/>
      <c r="C185" s="145"/>
      <c r="D185" s="107"/>
      <c r="E185" s="107"/>
      <c r="F185" s="104"/>
      <c r="G185" s="420"/>
      <c r="H185" s="102"/>
      <c r="J185" s="42"/>
      <c r="K185" s="42"/>
      <c r="L185" s="420" t="str">
        <f t="shared" si="21"/>
        <v/>
      </c>
      <c r="M185" s="401" t="str">
        <f t="shared" si="22"/>
        <v/>
      </c>
    </row>
    <row r="186" spans="2:13" s="98" customFormat="1" x14ac:dyDescent="0.25">
      <c r="B186" s="108"/>
      <c r="C186" s="145"/>
      <c r="D186" s="107"/>
      <c r="E186" s="107"/>
      <c r="F186" s="104"/>
      <c r="G186" s="420"/>
      <c r="H186" s="102"/>
      <c r="J186" s="426"/>
      <c r="K186" s="426"/>
      <c r="L186" s="420" t="str">
        <f t="shared" si="21"/>
        <v/>
      </c>
      <c r="M186" s="401" t="str">
        <f t="shared" si="22"/>
        <v/>
      </c>
    </row>
    <row r="187" spans="2:13" s="98" customFormat="1" x14ac:dyDescent="0.25">
      <c r="B187" s="108"/>
      <c r="C187" s="145"/>
      <c r="D187" s="107"/>
      <c r="E187" s="107"/>
      <c r="F187" s="104"/>
      <c r="G187" s="420"/>
      <c r="H187" s="102"/>
      <c r="J187" s="426"/>
      <c r="K187" s="426"/>
      <c r="L187" s="420" t="str">
        <f t="shared" si="21"/>
        <v/>
      </c>
      <c r="M187" s="401" t="str">
        <f t="shared" si="22"/>
        <v/>
      </c>
    </row>
    <row r="188" spans="2:13" s="98" customFormat="1" x14ac:dyDescent="0.25">
      <c r="B188" s="108"/>
      <c r="C188" s="145"/>
      <c r="D188" s="107"/>
      <c r="E188" s="107"/>
      <c r="F188" s="104"/>
      <c r="G188" s="420"/>
      <c r="H188" s="102"/>
      <c r="J188" s="426"/>
      <c r="K188" s="426"/>
      <c r="L188" s="420" t="str">
        <f t="shared" si="21"/>
        <v/>
      </c>
      <c r="M188" s="401" t="str">
        <f t="shared" si="22"/>
        <v/>
      </c>
    </row>
    <row r="189" spans="2:13" s="98" customFormat="1" x14ac:dyDescent="0.25">
      <c r="B189" s="108"/>
      <c r="C189" s="145"/>
      <c r="D189" s="107"/>
      <c r="E189" s="107"/>
      <c r="F189" s="104"/>
      <c r="G189" s="420"/>
      <c r="H189" s="102"/>
      <c r="J189" s="426"/>
      <c r="K189" s="426"/>
      <c r="L189" s="420" t="str">
        <f t="shared" si="21"/>
        <v/>
      </c>
      <c r="M189" s="401" t="str">
        <f t="shared" si="22"/>
        <v/>
      </c>
    </row>
    <row r="190" spans="2:13" s="98" customFormat="1" x14ac:dyDescent="0.25">
      <c r="B190" s="108"/>
      <c r="C190" s="145"/>
      <c r="D190" s="107"/>
      <c r="E190" s="107"/>
      <c r="F190" s="104"/>
      <c r="G190" s="420"/>
      <c r="H190" s="102"/>
      <c r="J190" s="426"/>
      <c r="K190" s="426"/>
      <c r="L190" s="420" t="str">
        <f t="shared" si="21"/>
        <v/>
      </c>
      <c r="M190" s="401" t="str">
        <f t="shared" si="22"/>
        <v/>
      </c>
    </row>
    <row r="191" spans="2:13" s="98" customFormat="1" x14ac:dyDescent="0.25">
      <c r="B191" s="108"/>
      <c r="C191" s="145"/>
      <c r="D191" s="107"/>
      <c r="E191" s="107"/>
      <c r="F191" s="104"/>
      <c r="G191" s="420"/>
      <c r="H191" s="102"/>
      <c r="J191" s="426"/>
      <c r="K191" s="426"/>
      <c r="L191" s="420" t="str">
        <f t="shared" si="21"/>
        <v/>
      </c>
      <c r="M191" s="401" t="str">
        <f t="shared" si="22"/>
        <v/>
      </c>
    </row>
    <row r="192" spans="2:13" s="98" customFormat="1" x14ac:dyDescent="0.25">
      <c r="B192" s="108"/>
      <c r="C192" s="145"/>
      <c r="D192" s="107"/>
      <c r="E192" s="107"/>
      <c r="F192" s="104"/>
      <c r="G192" s="420"/>
      <c r="H192" s="102"/>
      <c r="J192" s="426"/>
      <c r="K192" s="426"/>
      <c r="L192" s="420" t="str">
        <f t="shared" si="21"/>
        <v/>
      </c>
      <c r="M192" s="401" t="str">
        <f t="shared" si="22"/>
        <v/>
      </c>
    </row>
    <row r="193" spans="2:13" s="98" customFormat="1" x14ac:dyDescent="0.25">
      <c r="B193" s="108"/>
      <c r="C193" s="145"/>
      <c r="D193" s="107"/>
      <c r="E193" s="107"/>
      <c r="F193" s="104"/>
      <c r="G193" s="420"/>
      <c r="H193" s="102"/>
      <c r="J193" s="426"/>
      <c r="K193" s="426"/>
      <c r="L193" s="420" t="str">
        <f t="shared" si="21"/>
        <v/>
      </c>
      <c r="M193" s="401" t="str">
        <f t="shared" si="22"/>
        <v/>
      </c>
    </row>
    <row r="194" spans="2:13" s="98" customFormat="1" x14ac:dyDescent="0.25">
      <c r="B194" s="108"/>
      <c r="C194" s="145"/>
      <c r="D194" s="107"/>
      <c r="E194" s="107"/>
      <c r="F194" s="104"/>
      <c r="G194" s="420"/>
      <c r="H194" s="102"/>
      <c r="J194" s="426"/>
      <c r="K194" s="426"/>
      <c r="L194" s="420" t="str">
        <f t="shared" si="21"/>
        <v/>
      </c>
      <c r="M194" s="401" t="str">
        <f t="shared" si="22"/>
        <v/>
      </c>
    </row>
    <row r="195" spans="2:13" s="98" customFormat="1" x14ac:dyDescent="0.25">
      <c r="B195" s="108"/>
      <c r="C195" s="145"/>
      <c r="D195" s="107"/>
      <c r="E195" s="107"/>
      <c r="F195" s="104"/>
      <c r="G195" s="420"/>
      <c r="H195" s="102"/>
      <c r="J195" s="426"/>
      <c r="K195" s="426"/>
      <c r="L195" s="420" t="str">
        <f t="shared" si="21"/>
        <v/>
      </c>
      <c r="M195" s="401" t="str">
        <f t="shared" si="22"/>
        <v/>
      </c>
    </row>
    <row r="196" spans="2:13" s="98" customFormat="1" ht="12.5" x14ac:dyDescent="0.25">
      <c r="B196" s="108"/>
      <c r="C196" s="145"/>
      <c r="D196" s="107"/>
      <c r="E196" s="107"/>
      <c r="F196" s="104"/>
      <c r="G196" s="420"/>
      <c r="H196" s="102"/>
      <c r="J196" s="42"/>
      <c r="K196" s="42"/>
      <c r="L196" s="420" t="str">
        <f t="shared" si="21"/>
        <v/>
      </c>
      <c r="M196" s="401" t="str">
        <f t="shared" si="22"/>
        <v/>
      </c>
    </row>
    <row r="197" spans="2:13" s="98" customFormat="1" ht="12.5" x14ac:dyDescent="0.25">
      <c r="B197" s="108"/>
      <c r="C197" s="145"/>
      <c r="D197" s="107"/>
      <c r="E197" s="107"/>
      <c r="F197" s="104"/>
      <c r="G197" s="420"/>
      <c r="H197" s="102"/>
      <c r="J197" s="37"/>
      <c r="K197" s="42"/>
      <c r="L197" s="420" t="str">
        <f t="shared" si="21"/>
        <v/>
      </c>
      <c r="M197" s="401" t="str">
        <f t="shared" si="22"/>
        <v/>
      </c>
    </row>
    <row r="198" spans="2:13" s="98" customFormat="1" ht="12.5" x14ac:dyDescent="0.25">
      <c r="B198" s="108"/>
      <c r="C198" s="145"/>
      <c r="D198" s="107"/>
      <c r="E198" s="107"/>
      <c r="F198" s="104"/>
      <c r="G198" s="420"/>
      <c r="H198" s="102"/>
      <c r="J198" s="37"/>
      <c r="K198" s="403"/>
      <c r="L198" s="420" t="str">
        <f t="shared" si="21"/>
        <v/>
      </c>
      <c r="M198" s="401" t="str">
        <f t="shared" si="22"/>
        <v/>
      </c>
    </row>
    <row r="199" spans="2:13" s="98" customFormat="1" ht="12.5" x14ac:dyDescent="0.25">
      <c r="B199" s="115"/>
      <c r="C199" s="113"/>
      <c r="D199" s="104"/>
      <c r="E199" s="104"/>
      <c r="F199" s="104"/>
      <c r="G199" s="420"/>
      <c r="H199" s="102" t="str">
        <f>IF(D199="","",F199*G199)</f>
        <v/>
      </c>
      <c r="J199" s="37"/>
      <c r="K199" s="404"/>
      <c r="L199" s="420" t="str">
        <f t="shared" si="21"/>
        <v/>
      </c>
      <c r="M199" s="401" t="str">
        <f t="shared" si="22"/>
        <v/>
      </c>
    </row>
    <row r="200" spans="2:13" s="28" customFormat="1" ht="19.5" customHeight="1" x14ac:dyDescent="0.25">
      <c r="B200" s="135" t="str">
        <f>$B$12</f>
        <v>C11.7</v>
      </c>
      <c r="C200" s="498" t="str">
        <f>"TOTAL CARRIED FORWARD"&amp;IF(H200=H$1," TO SUMMARY","")</f>
        <v>TOTAL CARRIED FORWARD TO SUMMARY</v>
      </c>
      <c r="D200" s="31"/>
      <c r="E200" s="31"/>
      <c r="F200" s="32"/>
      <c r="G200" s="31"/>
      <c r="H200" s="33">
        <f>SUM(H140:H199)</f>
        <v>128380.00000000003</v>
      </c>
      <c r="I200" s="34"/>
      <c r="J200" s="408"/>
      <c r="K200" s="406"/>
      <c r="L200" s="418">
        <f>SUM(L140:L199)</f>
        <v>7342.8000000000011</v>
      </c>
      <c r="M200" s="407" t="str">
        <f t="shared" si="22"/>
        <v/>
      </c>
    </row>
    <row r="201" spans="2:13" s="1" customFormat="1" ht="13" x14ac:dyDescent="0.25">
      <c r="B201" s="1108" t="str">
        <f>Client1</f>
        <v>Province of KwaZulu-Natal</v>
      </c>
      <c r="C201" s="1108"/>
      <c r="D201" s="1108"/>
      <c r="E201" s="87"/>
      <c r="F201" s="1109" t="str">
        <f>"Contract No. "&amp;ContractNo</f>
        <v>Contract No. ZNB 00399/00000/HOD/INF/21/T</v>
      </c>
      <c r="G201" s="1109"/>
      <c r="H201" s="1109"/>
      <c r="I201" s="5"/>
    </row>
    <row r="202" spans="2:13" s="1" customFormat="1" ht="13" x14ac:dyDescent="0.25">
      <c r="B202" s="1108" t="str">
        <f>Client2</f>
        <v>Department of Transport</v>
      </c>
      <c r="C202" s="1108"/>
      <c r="D202" s="1108"/>
      <c r="E202" s="87"/>
      <c r="F202" s="1109"/>
      <c r="G202" s="1109"/>
      <c r="H202" s="1109"/>
      <c r="I202" s="5"/>
    </row>
    <row r="203" spans="2:13" s="1" customFormat="1" ht="12.5" x14ac:dyDescent="0.25">
      <c r="B203" s="1111"/>
      <c r="C203" s="1111"/>
      <c r="D203" s="1111"/>
      <c r="E203" s="78"/>
      <c r="F203" s="1110"/>
      <c r="G203" s="1110"/>
      <c r="H203" s="1110"/>
      <c r="I203" s="5"/>
    </row>
    <row r="204" spans="2:13" s="1" customFormat="1" ht="13" x14ac:dyDescent="0.25">
      <c r="B204" s="1112" t="s">
        <v>8</v>
      </c>
      <c r="C204" s="1113"/>
      <c r="D204" s="1113"/>
      <c r="E204" s="1113"/>
      <c r="F204" s="1113"/>
      <c r="G204" s="1113"/>
      <c r="H204" s="1125" t="str">
        <f>$H$6</f>
        <v>CHAPTER C11.7</v>
      </c>
      <c r="I204" s="6"/>
    </row>
    <row r="205" spans="2:13" s="1" customFormat="1" ht="13" x14ac:dyDescent="0.25">
      <c r="B205" s="1117" t="str">
        <f>ContractDescription</f>
        <v>THE CONSTRUCTION OF EARTHWORKS, LAYERWORKS, SURFACING, CULVERTS AND CWAKA RIVER BRIDGE FROM KM 11.600 TO KM 14.000 ON MAIN ROAD P494 IN THE KING CETSHWAYO DISTRICT UNDER EMPANGENI REGION</v>
      </c>
      <c r="C205" s="1118"/>
      <c r="D205" s="1118"/>
      <c r="E205" s="1118"/>
      <c r="F205" s="1118"/>
      <c r="G205" s="1118"/>
      <c r="H205" s="1126"/>
      <c r="I205" s="8"/>
    </row>
    <row r="206" spans="2:13" s="1" customFormat="1" ht="13" x14ac:dyDescent="0.25">
      <c r="B206" s="1117"/>
      <c r="C206" s="1118"/>
      <c r="D206" s="1118"/>
      <c r="E206" s="1118"/>
      <c r="F206" s="1118"/>
      <c r="G206" s="1118"/>
      <c r="H206" s="1126"/>
      <c r="I206" s="8"/>
    </row>
    <row r="207" spans="2:13" s="1" customFormat="1" ht="13" x14ac:dyDescent="0.25">
      <c r="B207" s="1119"/>
      <c r="C207" s="1120"/>
      <c r="D207" s="1120"/>
      <c r="E207" s="1120"/>
      <c r="F207" s="1120"/>
      <c r="G207" s="1120"/>
      <c r="H207" s="1127"/>
      <c r="I207" s="8"/>
    </row>
    <row r="208" spans="2:13" s="9" customFormat="1" ht="25" customHeight="1" x14ac:dyDescent="0.25">
      <c r="B208" s="74" t="s">
        <v>0</v>
      </c>
      <c r="C208" s="11" t="s">
        <v>1</v>
      </c>
      <c r="D208" s="11" t="s">
        <v>2</v>
      </c>
      <c r="E208" s="11"/>
      <c r="F208" s="11" t="s">
        <v>3</v>
      </c>
      <c r="G208" s="11" t="s">
        <v>4</v>
      </c>
      <c r="H208" s="11" t="s">
        <v>5</v>
      </c>
      <c r="I208" s="12"/>
      <c r="J208" s="408" t="s">
        <v>996</v>
      </c>
      <c r="K208" s="253" t="s">
        <v>997</v>
      </c>
      <c r="L208" s="253" t="s">
        <v>998</v>
      </c>
      <c r="M208" s="253" t="s">
        <v>999</v>
      </c>
    </row>
    <row r="209" spans="2:13" s="28" customFormat="1" ht="19.5" customHeight="1" x14ac:dyDescent="0.25">
      <c r="B209" s="80"/>
      <c r="C209" s="30" t="s">
        <v>27</v>
      </c>
      <c r="D209" s="31"/>
      <c r="E209" s="31"/>
      <c r="F209" s="32"/>
      <c r="G209" s="31"/>
      <c r="H209" s="33">
        <f>H200</f>
        <v>128380.00000000003</v>
      </c>
      <c r="I209" s="34"/>
      <c r="J209" s="416"/>
      <c r="K209" s="409"/>
      <c r="L209" s="419">
        <f>L200</f>
        <v>7342.8000000000011</v>
      </c>
      <c r="M209" s="410"/>
    </row>
    <row r="210" spans="2:13" s="98" customFormat="1" ht="12.5" x14ac:dyDescent="0.25">
      <c r="B210" s="115"/>
      <c r="C210" s="147"/>
      <c r="D210" s="104"/>
      <c r="E210" s="104"/>
      <c r="F210" s="104"/>
      <c r="G210" s="420"/>
      <c r="H210" s="102"/>
      <c r="J210" s="37"/>
      <c r="K210" s="399"/>
      <c r="L210" s="420" t="str">
        <f t="shared" ref="L210:L241" si="23">IF(J210="","",F210*K210)</f>
        <v/>
      </c>
      <c r="M210" s="401" t="str">
        <f t="shared" ref="M210:M241" si="24">IF(J210="","",IF(SUM(H210)=0,"",L210/H210))</f>
        <v/>
      </c>
    </row>
    <row r="211" spans="2:13" s="98" customFormat="1" ht="12.5" x14ac:dyDescent="0.25">
      <c r="B211" s="108"/>
      <c r="C211" s="109"/>
      <c r="D211" s="104"/>
      <c r="E211" s="104"/>
      <c r="F211" s="105"/>
      <c r="G211" s="420"/>
      <c r="H211" s="102" t="str">
        <f t="shared" ref="H211:H243" si="25">IF(D211="","",F211*G211)</f>
        <v/>
      </c>
      <c r="J211" s="37"/>
      <c r="K211" s="399"/>
      <c r="L211" s="420" t="str">
        <f t="shared" si="23"/>
        <v/>
      </c>
      <c r="M211" s="401" t="str">
        <f t="shared" si="24"/>
        <v/>
      </c>
    </row>
    <row r="212" spans="2:13" s="98" customFormat="1" ht="12.5" x14ac:dyDescent="0.25">
      <c r="B212" s="115"/>
      <c r="C212" s="113"/>
      <c r="D212" s="104"/>
      <c r="E212" s="104"/>
      <c r="F212" s="105"/>
      <c r="G212" s="420"/>
      <c r="H212" s="102" t="str">
        <f t="shared" si="25"/>
        <v/>
      </c>
      <c r="J212" s="37"/>
      <c r="K212" s="399"/>
      <c r="L212" s="420" t="str">
        <f t="shared" si="23"/>
        <v/>
      </c>
      <c r="M212" s="401" t="str">
        <f t="shared" si="24"/>
        <v/>
      </c>
    </row>
    <row r="213" spans="2:13" s="98" customFormat="1" ht="12.5" x14ac:dyDescent="0.25">
      <c r="B213" s="115"/>
      <c r="C213" s="106"/>
      <c r="D213" s="107"/>
      <c r="E213" s="107"/>
      <c r="F213" s="105"/>
      <c r="G213" s="420"/>
      <c r="H213" s="102" t="str">
        <f t="shared" si="25"/>
        <v/>
      </c>
      <c r="J213" s="37"/>
      <c r="K213" s="399"/>
      <c r="L213" s="420" t="str">
        <f t="shared" si="23"/>
        <v/>
      </c>
      <c r="M213" s="401" t="str">
        <f t="shared" si="24"/>
        <v/>
      </c>
    </row>
    <row r="214" spans="2:13" s="98" customFormat="1" ht="12.5" x14ac:dyDescent="0.25">
      <c r="B214" s="115"/>
      <c r="C214" s="106"/>
      <c r="D214" s="107"/>
      <c r="E214" s="107"/>
      <c r="F214" s="105"/>
      <c r="G214" s="420"/>
      <c r="H214" s="102"/>
      <c r="J214" s="37"/>
      <c r="K214" s="400"/>
      <c r="L214" s="420" t="str">
        <f t="shared" si="23"/>
        <v/>
      </c>
      <c r="M214" s="401" t="str">
        <f t="shared" si="24"/>
        <v/>
      </c>
    </row>
    <row r="215" spans="2:13" s="98" customFormat="1" ht="12.5" x14ac:dyDescent="0.25">
      <c r="B215" s="115"/>
      <c r="C215" s="106"/>
      <c r="D215" s="107"/>
      <c r="E215" s="107"/>
      <c r="F215" s="575"/>
      <c r="G215" s="420"/>
      <c r="H215" s="102" t="str">
        <f t="shared" si="25"/>
        <v/>
      </c>
      <c r="J215" s="37"/>
      <c r="K215" s="399"/>
      <c r="L215" s="420" t="str">
        <f t="shared" si="23"/>
        <v/>
      </c>
      <c r="M215" s="401" t="str">
        <f t="shared" si="24"/>
        <v/>
      </c>
    </row>
    <row r="216" spans="2:13" s="98" customFormat="1" ht="12.5" x14ac:dyDescent="0.25">
      <c r="B216" s="115"/>
      <c r="C216" s="106"/>
      <c r="D216" s="105"/>
      <c r="E216" s="105"/>
      <c r="F216" s="105"/>
      <c r="G216" s="420"/>
      <c r="H216" s="102" t="str">
        <f t="shared" si="25"/>
        <v/>
      </c>
      <c r="J216" s="37"/>
      <c r="K216" s="399"/>
      <c r="L216" s="420" t="str">
        <f t="shared" si="23"/>
        <v/>
      </c>
      <c r="M216" s="401" t="str">
        <f t="shared" si="24"/>
        <v/>
      </c>
    </row>
    <row r="217" spans="2:13" s="98" customFormat="1" ht="12.5" x14ac:dyDescent="0.25">
      <c r="B217" s="114"/>
      <c r="C217" s="106"/>
      <c r="D217" s="107"/>
      <c r="E217" s="107"/>
      <c r="F217" s="105"/>
      <c r="G217" s="569"/>
      <c r="H217" s="102" t="str">
        <f t="shared" si="25"/>
        <v/>
      </c>
      <c r="J217" s="37"/>
      <c r="K217" s="399"/>
      <c r="L217" s="420" t="str">
        <f t="shared" si="23"/>
        <v/>
      </c>
      <c r="M217" s="401" t="str">
        <f t="shared" si="24"/>
        <v/>
      </c>
    </row>
    <row r="218" spans="2:13" s="98" customFormat="1" ht="12.5" x14ac:dyDescent="0.25">
      <c r="B218" s="108"/>
      <c r="C218" s="106"/>
      <c r="D218" s="105"/>
      <c r="E218" s="105"/>
      <c r="F218" s="105"/>
      <c r="G218" s="569"/>
      <c r="H218" s="112" t="str">
        <f t="shared" si="25"/>
        <v/>
      </c>
      <c r="J218" s="37"/>
      <c r="K218" s="402"/>
      <c r="L218" s="420" t="str">
        <f t="shared" si="23"/>
        <v/>
      </c>
      <c r="M218" s="401" t="str">
        <f t="shared" si="24"/>
        <v/>
      </c>
    </row>
    <row r="219" spans="2:13" s="98" customFormat="1" ht="12.5" x14ac:dyDescent="0.25">
      <c r="B219" s="114"/>
      <c r="C219" s="106"/>
      <c r="D219" s="107"/>
      <c r="E219" s="107"/>
      <c r="F219" s="105"/>
      <c r="G219" s="569"/>
      <c r="H219" s="112" t="str">
        <f t="shared" si="25"/>
        <v/>
      </c>
      <c r="J219" s="37"/>
      <c r="K219" s="402"/>
      <c r="L219" s="420" t="str">
        <f t="shared" si="23"/>
        <v/>
      </c>
      <c r="M219" s="401" t="str">
        <f t="shared" si="24"/>
        <v/>
      </c>
    </row>
    <row r="220" spans="2:13" s="98" customFormat="1" ht="12.5" x14ac:dyDescent="0.25">
      <c r="B220" s="108"/>
      <c r="C220" s="106"/>
      <c r="D220" s="105"/>
      <c r="E220" s="105"/>
      <c r="F220" s="105"/>
      <c r="G220" s="569"/>
      <c r="H220" s="112" t="str">
        <f t="shared" si="25"/>
        <v/>
      </c>
      <c r="J220" s="37"/>
      <c r="K220" s="402"/>
      <c r="L220" s="420" t="str">
        <f t="shared" si="23"/>
        <v/>
      </c>
      <c r="M220" s="401" t="str">
        <f t="shared" si="24"/>
        <v/>
      </c>
    </row>
    <row r="221" spans="2:13" s="98" customFormat="1" ht="12.5" x14ac:dyDescent="0.25">
      <c r="B221" s="108"/>
      <c r="C221" s="106"/>
      <c r="D221" s="107"/>
      <c r="E221" s="107"/>
      <c r="F221" s="105"/>
      <c r="G221" s="569"/>
      <c r="H221" s="112" t="str">
        <f t="shared" si="25"/>
        <v/>
      </c>
      <c r="J221" s="37"/>
      <c r="K221" s="402"/>
      <c r="L221" s="420" t="str">
        <f t="shared" si="23"/>
        <v/>
      </c>
      <c r="M221" s="401" t="str">
        <f t="shared" si="24"/>
        <v/>
      </c>
    </row>
    <row r="222" spans="2:13" s="98" customFormat="1" ht="12.5" x14ac:dyDescent="0.25">
      <c r="B222" s="115"/>
      <c r="C222" s="106"/>
      <c r="D222" s="105"/>
      <c r="E222" s="105"/>
      <c r="F222" s="105"/>
      <c r="G222" s="569"/>
      <c r="H222" s="112" t="str">
        <f t="shared" si="25"/>
        <v/>
      </c>
      <c r="J222" s="37"/>
      <c r="K222" s="402"/>
      <c r="L222" s="420" t="str">
        <f t="shared" si="23"/>
        <v/>
      </c>
      <c r="M222" s="401" t="str">
        <f t="shared" si="24"/>
        <v/>
      </c>
    </row>
    <row r="223" spans="2:13" s="98" customFormat="1" ht="12.5" x14ac:dyDescent="0.25">
      <c r="B223" s="108"/>
      <c r="C223" s="111"/>
      <c r="D223" s="107"/>
      <c r="E223" s="107"/>
      <c r="F223" s="110"/>
      <c r="G223" s="570"/>
      <c r="H223" s="102" t="str">
        <f t="shared" si="25"/>
        <v/>
      </c>
      <c r="J223" s="37"/>
      <c r="K223" s="402"/>
      <c r="L223" s="420" t="str">
        <f t="shared" si="23"/>
        <v/>
      </c>
      <c r="M223" s="401" t="str">
        <f t="shared" si="24"/>
        <v/>
      </c>
    </row>
    <row r="224" spans="2:13" s="98" customFormat="1" ht="12.5" x14ac:dyDescent="0.25">
      <c r="B224" s="115"/>
      <c r="C224" s="106"/>
      <c r="D224" s="105"/>
      <c r="E224" s="105"/>
      <c r="F224" s="103"/>
      <c r="G224" s="569"/>
      <c r="H224" s="102" t="str">
        <f t="shared" si="25"/>
        <v/>
      </c>
      <c r="J224" s="37"/>
      <c r="K224" s="399"/>
      <c r="L224" s="420" t="str">
        <f t="shared" si="23"/>
        <v/>
      </c>
      <c r="M224" s="401" t="str">
        <f t="shared" si="24"/>
        <v/>
      </c>
    </row>
    <row r="225" spans="2:13" s="98" customFormat="1" ht="12.5" x14ac:dyDescent="0.25">
      <c r="B225" s="108"/>
      <c r="C225" s="106"/>
      <c r="D225" s="107"/>
      <c r="E225" s="107"/>
      <c r="F225" s="103"/>
      <c r="G225" s="571"/>
      <c r="H225" s="102" t="str">
        <f t="shared" si="25"/>
        <v/>
      </c>
      <c r="J225" s="37"/>
      <c r="K225" s="399"/>
      <c r="L225" s="420" t="str">
        <f t="shared" si="23"/>
        <v/>
      </c>
      <c r="M225" s="401" t="str">
        <f t="shared" si="24"/>
        <v/>
      </c>
    </row>
    <row r="226" spans="2:13" s="98" customFormat="1" ht="12.5" x14ac:dyDescent="0.25">
      <c r="B226" s="115"/>
      <c r="C226" s="106"/>
      <c r="D226" s="105"/>
      <c r="E226" s="105"/>
      <c r="F226" s="103"/>
      <c r="G226" s="569"/>
      <c r="H226" s="102" t="str">
        <f t="shared" si="25"/>
        <v/>
      </c>
      <c r="J226" s="37"/>
      <c r="K226" s="400"/>
      <c r="L226" s="420" t="str">
        <f t="shared" si="23"/>
        <v/>
      </c>
      <c r="M226" s="401" t="str">
        <f t="shared" si="24"/>
        <v/>
      </c>
    </row>
    <row r="227" spans="2:13" s="98" customFormat="1" ht="12.5" x14ac:dyDescent="0.25">
      <c r="B227" s="108"/>
      <c r="C227" s="106"/>
      <c r="D227" s="107"/>
      <c r="E227" s="107"/>
      <c r="F227" s="103"/>
      <c r="G227" s="572"/>
      <c r="H227" s="102" t="str">
        <f t="shared" si="25"/>
        <v/>
      </c>
      <c r="J227" s="37"/>
      <c r="K227" s="399"/>
      <c r="L227" s="420" t="str">
        <f t="shared" si="23"/>
        <v/>
      </c>
      <c r="M227" s="401" t="str">
        <f t="shared" si="24"/>
        <v/>
      </c>
    </row>
    <row r="228" spans="2:13" s="98" customFormat="1" ht="12.5" x14ac:dyDescent="0.25">
      <c r="B228" s="108"/>
      <c r="C228" s="106"/>
      <c r="D228" s="105"/>
      <c r="E228" s="105"/>
      <c r="F228" s="103"/>
      <c r="G228" s="572"/>
      <c r="H228" s="102" t="str">
        <f t="shared" si="25"/>
        <v/>
      </c>
      <c r="J228" s="37"/>
      <c r="K228" s="399"/>
      <c r="L228" s="420" t="str">
        <f t="shared" si="23"/>
        <v/>
      </c>
      <c r="M228" s="401" t="str">
        <f t="shared" si="24"/>
        <v/>
      </c>
    </row>
    <row r="229" spans="2:13" s="98" customFormat="1" ht="12.5" x14ac:dyDescent="0.25">
      <c r="B229" s="108"/>
      <c r="C229" s="109"/>
      <c r="D229" s="107"/>
      <c r="E229" s="107"/>
      <c r="F229" s="103"/>
      <c r="G229" s="420"/>
      <c r="H229" s="102" t="str">
        <f t="shared" si="25"/>
        <v/>
      </c>
      <c r="J229" s="37"/>
      <c r="K229" s="399"/>
      <c r="L229" s="420" t="str">
        <f t="shared" si="23"/>
        <v/>
      </c>
      <c r="M229" s="401" t="str">
        <f t="shared" si="24"/>
        <v/>
      </c>
    </row>
    <row r="230" spans="2:13" s="98" customFormat="1" ht="12.5" x14ac:dyDescent="0.25">
      <c r="B230" s="115"/>
      <c r="C230" s="106"/>
      <c r="D230" s="105"/>
      <c r="E230" s="105"/>
      <c r="F230" s="103"/>
      <c r="G230" s="572"/>
      <c r="H230" s="102" t="str">
        <f t="shared" si="25"/>
        <v/>
      </c>
      <c r="J230" s="37"/>
      <c r="K230" s="399"/>
      <c r="L230" s="420" t="str">
        <f t="shared" si="23"/>
        <v/>
      </c>
      <c r="M230" s="401" t="str">
        <f t="shared" si="24"/>
        <v/>
      </c>
    </row>
    <row r="231" spans="2:13" s="98" customFormat="1" ht="12.5" x14ac:dyDescent="0.25">
      <c r="B231" s="108"/>
      <c r="C231" s="106"/>
      <c r="D231" s="107"/>
      <c r="E231" s="107"/>
      <c r="F231" s="103"/>
      <c r="G231" s="571"/>
      <c r="H231" s="102" t="str">
        <f t="shared" si="25"/>
        <v/>
      </c>
      <c r="J231" s="37"/>
      <c r="K231" s="399"/>
      <c r="L231" s="420" t="str">
        <f t="shared" si="23"/>
        <v/>
      </c>
      <c r="M231" s="401" t="str">
        <f t="shared" si="24"/>
        <v/>
      </c>
    </row>
    <row r="232" spans="2:13" s="98" customFormat="1" ht="12.5" x14ac:dyDescent="0.25">
      <c r="B232" s="115"/>
      <c r="C232" s="106"/>
      <c r="D232" s="105"/>
      <c r="E232" s="105"/>
      <c r="F232" s="103"/>
      <c r="G232" s="572"/>
      <c r="H232" s="102" t="str">
        <f t="shared" si="25"/>
        <v/>
      </c>
      <c r="J232" s="37"/>
      <c r="K232" s="400"/>
      <c r="L232" s="420" t="str">
        <f t="shared" si="23"/>
        <v/>
      </c>
      <c r="M232" s="401" t="str">
        <f t="shared" si="24"/>
        <v/>
      </c>
    </row>
    <row r="233" spans="2:13" s="98" customFormat="1" ht="12.5" x14ac:dyDescent="0.25">
      <c r="B233" s="108"/>
      <c r="C233" s="106"/>
      <c r="D233" s="107"/>
      <c r="E233" s="107"/>
      <c r="F233" s="103"/>
      <c r="G233" s="569"/>
      <c r="H233" s="102" t="str">
        <f t="shared" si="25"/>
        <v/>
      </c>
      <c r="J233" s="61"/>
      <c r="K233" s="399"/>
      <c r="L233" s="420" t="str">
        <f t="shared" si="23"/>
        <v/>
      </c>
      <c r="M233" s="401" t="str">
        <f t="shared" si="24"/>
        <v/>
      </c>
    </row>
    <row r="234" spans="2:13" s="98" customFormat="1" ht="12.5" x14ac:dyDescent="0.25">
      <c r="B234" s="115"/>
      <c r="C234" s="106"/>
      <c r="D234" s="105"/>
      <c r="E234" s="105"/>
      <c r="F234" s="103"/>
      <c r="G234" s="569"/>
      <c r="H234" s="102" t="str">
        <f t="shared" si="25"/>
        <v/>
      </c>
      <c r="J234" s="37"/>
      <c r="K234" s="399"/>
      <c r="L234" s="420" t="str">
        <f t="shared" si="23"/>
        <v/>
      </c>
      <c r="M234" s="401" t="str">
        <f t="shared" si="24"/>
        <v/>
      </c>
    </row>
    <row r="235" spans="2:13" s="98" customFormat="1" ht="12.5" x14ac:dyDescent="0.25">
      <c r="B235" s="108"/>
      <c r="C235" s="106"/>
      <c r="D235" s="107"/>
      <c r="E235" s="107"/>
      <c r="F235" s="103"/>
      <c r="G235" s="420"/>
      <c r="H235" s="102" t="str">
        <f t="shared" si="25"/>
        <v/>
      </c>
      <c r="J235" s="37"/>
      <c r="K235" s="399"/>
      <c r="L235" s="420" t="str">
        <f t="shared" si="23"/>
        <v/>
      </c>
      <c r="M235" s="401" t="str">
        <f t="shared" si="24"/>
        <v/>
      </c>
    </row>
    <row r="236" spans="2:13" s="98" customFormat="1" ht="12.5" x14ac:dyDescent="0.25">
      <c r="B236" s="115"/>
      <c r="C236" s="106"/>
      <c r="D236" s="105"/>
      <c r="E236" s="105"/>
      <c r="F236" s="103"/>
      <c r="G236" s="420"/>
      <c r="H236" s="102" t="str">
        <f t="shared" si="25"/>
        <v/>
      </c>
      <c r="J236" s="37"/>
      <c r="K236" s="399"/>
      <c r="L236" s="420" t="str">
        <f t="shared" si="23"/>
        <v/>
      </c>
      <c r="M236" s="401" t="str">
        <f t="shared" si="24"/>
        <v/>
      </c>
    </row>
    <row r="237" spans="2:13" s="98" customFormat="1" ht="12.5" x14ac:dyDescent="0.25">
      <c r="B237" s="108"/>
      <c r="C237" s="106"/>
      <c r="D237" s="107"/>
      <c r="E237" s="107"/>
      <c r="F237" s="103"/>
      <c r="G237" s="571"/>
      <c r="H237" s="102" t="str">
        <f t="shared" si="25"/>
        <v/>
      </c>
      <c r="J237" s="37"/>
      <c r="K237" s="399"/>
      <c r="L237" s="420" t="str">
        <f t="shared" si="23"/>
        <v/>
      </c>
      <c r="M237" s="401" t="str">
        <f t="shared" si="24"/>
        <v/>
      </c>
    </row>
    <row r="238" spans="2:13" s="98" customFormat="1" ht="12.5" x14ac:dyDescent="0.25">
      <c r="B238" s="115"/>
      <c r="C238" s="106"/>
      <c r="D238" s="105"/>
      <c r="E238" s="105"/>
      <c r="F238" s="103"/>
      <c r="G238" s="569"/>
      <c r="H238" s="102" t="str">
        <f t="shared" si="25"/>
        <v/>
      </c>
      <c r="J238" s="37"/>
      <c r="K238" s="400"/>
      <c r="L238" s="420" t="str">
        <f t="shared" si="23"/>
        <v/>
      </c>
      <c r="M238" s="401" t="str">
        <f t="shared" si="24"/>
        <v/>
      </c>
    </row>
    <row r="239" spans="2:13" s="98" customFormat="1" ht="12.5" x14ac:dyDescent="0.25">
      <c r="B239" s="108"/>
      <c r="C239" s="106"/>
      <c r="D239" s="107"/>
      <c r="E239" s="107"/>
      <c r="F239" s="103"/>
      <c r="G239" s="569"/>
      <c r="H239" s="102" t="str">
        <f t="shared" si="25"/>
        <v/>
      </c>
      <c r="J239" s="37"/>
      <c r="K239" s="399"/>
      <c r="L239" s="420" t="str">
        <f t="shared" si="23"/>
        <v/>
      </c>
      <c r="M239" s="401" t="str">
        <f t="shared" si="24"/>
        <v/>
      </c>
    </row>
    <row r="240" spans="2:13" s="98" customFormat="1" ht="12.5" x14ac:dyDescent="0.25">
      <c r="B240" s="115"/>
      <c r="C240" s="106"/>
      <c r="D240" s="105"/>
      <c r="E240" s="105"/>
      <c r="F240" s="103"/>
      <c r="G240" s="569"/>
      <c r="H240" s="102" t="str">
        <f t="shared" si="25"/>
        <v/>
      </c>
      <c r="J240" s="37"/>
      <c r="K240" s="399"/>
      <c r="L240" s="420" t="str">
        <f t="shared" si="23"/>
        <v/>
      </c>
      <c r="M240" s="401" t="str">
        <f t="shared" si="24"/>
        <v/>
      </c>
    </row>
    <row r="241" spans="2:13" s="98" customFormat="1" ht="12.5" x14ac:dyDescent="0.25">
      <c r="B241" s="108"/>
      <c r="C241" s="106"/>
      <c r="D241" s="107"/>
      <c r="E241" s="107"/>
      <c r="F241" s="576"/>
      <c r="G241" s="420"/>
      <c r="H241" s="102" t="str">
        <f t="shared" si="25"/>
        <v/>
      </c>
      <c r="J241" s="37"/>
      <c r="K241" s="399"/>
      <c r="L241" s="420" t="str">
        <f t="shared" si="23"/>
        <v/>
      </c>
      <c r="M241" s="401" t="str">
        <f t="shared" si="24"/>
        <v/>
      </c>
    </row>
    <row r="242" spans="2:13" s="98" customFormat="1" ht="12.5" x14ac:dyDescent="0.25">
      <c r="B242" s="115"/>
      <c r="C242" s="106"/>
      <c r="D242" s="105"/>
      <c r="E242" s="105"/>
      <c r="F242" s="103"/>
      <c r="G242" s="569"/>
      <c r="H242" s="102" t="str">
        <f t="shared" si="25"/>
        <v/>
      </c>
      <c r="J242" s="37"/>
      <c r="K242" s="399"/>
      <c r="L242" s="420" t="str">
        <f t="shared" ref="L242:L262" si="26">IF(J242="","",F242*K242)</f>
        <v/>
      </c>
      <c r="M242" s="401" t="str">
        <f t="shared" ref="M242:M263" si="27">IF(J242="","",IF(SUM(H242)=0,"",L242/H242))</f>
        <v/>
      </c>
    </row>
    <row r="243" spans="2:13" s="98" customFormat="1" ht="12.5" x14ac:dyDescent="0.25">
      <c r="B243" s="108"/>
      <c r="C243" s="106"/>
      <c r="D243" s="107"/>
      <c r="E243" s="107"/>
      <c r="F243" s="103"/>
      <c r="G243" s="571"/>
      <c r="H243" s="102" t="str">
        <f t="shared" si="25"/>
        <v/>
      </c>
      <c r="J243" s="37"/>
      <c r="K243" s="399"/>
      <c r="L243" s="420" t="str">
        <f t="shared" si="26"/>
        <v/>
      </c>
      <c r="M243" s="401" t="str">
        <f t="shared" si="27"/>
        <v/>
      </c>
    </row>
    <row r="244" spans="2:13" s="98" customFormat="1" ht="12.5" x14ac:dyDescent="0.25">
      <c r="B244" s="108"/>
      <c r="C244" s="106"/>
      <c r="D244" s="107"/>
      <c r="E244" s="107"/>
      <c r="F244" s="103"/>
      <c r="G244" s="571"/>
      <c r="H244" s="102"/>
      <c r="J244" s="37"/>
      <c r="K244" s="402"/>
      <c r="L244" s="420" t="str">
        <f t="shared" si="26"/>
        <v/>
      </c>
      <c r="M244" s="401" t="str">
        <f t="shared" si="27"/>
        <v/>
      </c>
    </row>
    <row r="245" spans="2:13" s="98" customFormat="1" ht="12.5" x14ac:dyDescent="0.25">
      <c r="B245" s="108"/>
      <c r="C245" s="106"/>
      <c r="D245" s="107"/>
      <c r="E245" s="107"/>
      <c r="F245" s="103"/>
      <c r="G245" s="571"/>
      <c r="H245" s="102"/>
      <c r="J245" s="37"/>
      <c r="K245" s="399"/>
      <c r="L245" s="420" t="str">
        <f t="shared" si="26"/>
        <v/>
      </c>
      <c r="M245" s="401" t="str">
        <f t="shared" si="27"/>
        <v/>
      </c>
    </row>
    <row r="246" spans="2:13" s="98" customFormat="1" ht="12.5" x14ac:dyDescent="0.25">
      <c r="B246" s="108"/>
      <c r="C246" s="106"/>
      <c r="D246" s="107"/>
      <c r="E246" s="107"/>
      <c r="F246" s="103"/>
      <c r="G246" s="571"/>
      <c r="H246" s="102"/>
      <c r="J246" s="37"/>
      <c r="K246" s="402"/>
      <c r="L246" s="420" t="str">
        <f t="shared" si="26"/>
        <v/>
      </c>
      <c r="M246" s="401" t="str">
        <f t="shared" si="27"/>
        <v/>
      </c>
    </row>
    <row r="247" spans="2:13" s="98" customFormat="1" ht="12.5" x14ac:dyDescent="0.3">
      <c r="B247" s="115"/>
      <c r="C247" s="106"/>
      <c r="D247" s="127"/>
      <c r="E247" s="127"/>
      <c r="F247" s="105"/>
      <c r="G247" s="569"/>
      <c r="H247" s="102" t="str">
        <f>IF(D247="","",F247*G247)</f>
        <v/>
      </c>
      <c r="J247" s="37"/>
      <c r="K247" s="402"/>
      <c r="L247" s="420" t="str">
        <f t="shared" si="26"/>
        <v/>
      </c>
      <c r="M247" s="401" t="str">
        <f t="shared" si="27"/>
        <v/>
      </c>
    </row>
    <row r="248" spans="2:13" s="98" customFormat="1" ht="12.5" x14ac:dyDescent="0.25">
      <c r="B248" s="115"/>
      <c r="C248" s="106"/>
      <c r="D248" s="105"/>
      <c r="E248" s="105"/>
      <c r="F248" s="105"/>
      <c r="G248" s="569"/>
      <c r="H248" s="102"/>
      <c r="J248" s="37"/>
      <c r="K248" s="399"/>
      <c r="L248" s="420" t="str">
        <f t="shared" si="26"/>
        <v/>
      </c>
      <c r="M248" s="401" t="str">
        <f t="shared" si="27"/>
        <v/>
      </c>
    </row>
    <row r="249" spans="2:13" s="98" customFormat="1" ht="12.5" x14ac:dyDescent="0.3">
      <c r="B249" s="115"/>
      <c r="C249" s="106"/>
      <c r="D249" s="127"/>
      <c r="E249" s="127"/>
      <c r="F249" s="105"/>
      <c r="G249" s="420"/>
      <c r="H249" s="102" t="str">
        <f>IF(D249="","",F249*G249)</f>
        <v/>
      </c>
      <c r="J249" s="37"/>
      <c r="K249" s="399"/>
      <c r="L249" s="420" t="str">
        <f t="shared" si="26"/>
        <v/>
      </c>
      <c r="M249" s="401" t="str">
        <f t="shared" si="27"/>
        <v/>
      </c>
    </row>
    <row r="250" spans="2:13" s="98" customFormat="1" ht="12.5" x14ac:dyDescent="0.3">
      <c r="B250" s="115"/>
      <c r="C250" s="106"/>
      <c r="D250" s="127"/>
      <c r="E250" s="127"/>
      <c r="F250" s="105"/>
      <c r="G250" s="420"/>
      <c r="H250" s="102"/>
      <c r="J250" s="37"/>
      <c r="K250" s="399"/>
      <c r="L250" s="420" t="str">
        <f t="shared" si="26"/>
        <v/>
      </c>
      <c r="M250" s="401" t="str">
        <f t="shared" si="27"/>
        <v/>
      </c>
    </row>
    <row r="251" spans="2:13" s="98" customFormat="1" ht="12.5" x14ac:dyDescent="0.3">
      <c r="B251" s="115"/>
      <c r="C251" s="106"/>
      <c r="D251" s="127"/>
      <c r="E251" s="127"/>
      <c r="F251" s="105"/>
      <c r="G251" s="420"/>
      <c r="H251" s="102"/>
      <c r="J251" s="42"/>
      <c r="K251" s="42"/>
      <c r="L251" s="420" t="str">
        <f t="shared" si="26"/>
        <v/>
      </c>
      <c r="M251" s="401" t="str">
        <f t="shared" si="27"/>
        <v/>
      </c>
    </row>
    <row r="252" spans="2:13" s="98" customFormat="1" ht="12.5" x14ac:dyDescent="0.25">
      <c r="B252" s="115"/>
      <c r="C252" s="106"/>
      <c r="D252" s="105"/>
      <c r="E252" s="105"/>
      <c r="F252" s="105"/>
      <c r="G252" s="420"/>
      <c r="H252" s="102" t="str">
        <f>IF(D252="","",F252*G252)</f>
        <v/>
      </c>
      <c r="J252" s="42"/>
      <c r="K252" s="42"/>
      <c r="L252" s="420" t="str">
        <f t="shared" si="26"/>
        <v/>
      </c>
      <c r="M252" s="401" t="str">
        <f t="shared" si="27"/>
        <v/>
      </c>
    </row>
    <row r="253" spans="2:13" s="98" customFormat="1" ht="12.5" x14ac:dyDescent="0.25">
      <c r="B253" s="108"/>
      <c r="C253" s="106"/>
      <c r="D253" s="107"/>
      <c r="E253" s="107"/>
      <c r="F253" s="105"/>
      <c r="G253" s="420"/>
      <c r="H253" s="102" t="str">
        <f>IF(D253="","",F253*G253)</f>
        <v/>
      </c>
      <c r="J253" s="42"/>
      <c r="K253" s="42"/>
      <c r="L253" s="420" t="str">
        <f t="shared" si="26"/>
        <v/>
      </c>
      <c r="M253" s="401" t="str">
        <f t="shared" si="27"/>
        <v/>
      </c>
    </row>
    <row r="254" spans="2:13" s="98" customFormat="1" ht="12.5" x14ac:dyDescent="0.25">
      <c r="B254" s="108"/>
      <c r="C254" s="106"/>
      <c r="D254" s="107"/>
      <c r="E254" s="107"/>
      <c r="F254" s="105"/>
      <c r="G254" s="420"/>
      <c r="H254" s="102"/>
      <c r="J254" s="42"/>
      <c r="K254" s="42"/>
      <c r="L254" s="420" t="str">
        <f t="shared" si="26"/>
        <v/>
      </c>
      <c r="M254" s="401" t="str">
        <f t="shared" si="27"/>
        <v/>
      </c>
    </row>
    <row r="255" spans="2:13" s="98" customFormat="1" x14ac:dyDescent="0.25">
      <c r="B255" s="108"/>
      <c r="C255" s="106"/>
      <c r="D255" s="107"/>
      <c r="E255" s="107"/>
      <c r="F255" s="105"/>
      <c r="G255" s="420"/>
      <c r="H255" s="102"/>
      <c r="J255" s="426"/>
      <c r="K255" s="426"/>
      <c r="L255" s="420" t="str">
        <f t="shared" si="26"/>
        <v/>
      </c>
      <c r="M255" s="401" t="str">
        <f t="shared" si="27"/>
        <v/>
      </c>
    </row>
    <row r="256" spans="2:13" s="98" customFormat="1" x14ac:dyDescent="0.25">
      <c r="B256" s="108"/>
      <c r="C256" s="106"/>
      <c r="D256" s="107"/>
      <c r="E256" s="107"/>
      <c r="F256" s="105"/>
      <c r="G256" s="420"/>
      <c r="H256" s="102"/>
      <c r="J256" s="426"/>
      <c r="K256" s="426"/>
      <c r="L256" s="420" t="str">
        <f t="shared" si="26"/>
        <v/>
      </c>
      <c r="M256" s="401" t="str">
        <f t="shared" si="27"/>
        <v/>
      </c>
    </row>
    <row r="257" spans="2:13" s="98" customFormat="1" x14ac:dyDescent="0.25">
      <c r="B257" s="108"/>
      <c r="C257" s="106"/>
      <c r="D257" s="107"/>
      <c r="E257" s="107"/>
      <c r="F257" s="105"/>
      <c r="G257" s="420"/>
      <c r="H257" s="102"/>
      <c r="J257" s="426"/>
      <c r="K257" s="426"/>
      <c r="L257" s="420" t="str">
        <f t="shared" si="26"/>
        <v/>
      </c>
      <c r="M257" s="401" t="str">
        <f t="shared" si="27"/>
        <v/>
      </c>
    </row>
    <row r="258" spans="2:13" s="98" customFormat="1" x14ac:dyDescent="0.25">
      <c r="B258" s="108"/>
      <c r="C258" s="106"/>
      <c r="D258" s="107"/>
      <c r="E258" s="107"/>
      <c r="F258" s="105"/>
      <c r="G258" s="420"/>
      <c r="H258" s="102"/>
      <c r="J258" s="426"/>
      <c r="K258" s="426"/>
      <c r="L258" s="420" t="str">
        <f t="shared" si="26"/>
        <v/>
      </c>
      <c r="M258" s="401" t="str">
        <f t="shared" si="27"/>
        <v/>
      </c>
    </row>
    <row r="259" spans="2:13" s="98" customFormat="1" ht="12.5" x14ac:dyDescent="0.25">
      <c r="B259" s="108"/>
      <c r="C259" s="106"/>
      <c r="D259" s="107"/>
      <c r="E259" s="107"/>
      <c r="F259" s="105"/>
      <c r="G259" s="420"/>
      <c r="H259" s="102"/>
      <c r="J259" s="42"/>
      <c r="K259" s="42"/>
      <c r="L259" s="420" t="str">
        <f t="shared" si="26"/>
        <v/>
      </c>
      <c r="M259" s="401" t="str">
        <f t="shared" si="27"/>
        <v/>
      </c>
    </row>
    <row r="260" spans="2:13" s="98" customFormat="1" ht="12.5" x14ac:dyDescent="0.25">
      <c r="B260" s="108"/>
      <c r="C260" s="106"/>
      <c r="D260" s="107"/>
      <c r="E260" s="107"/>
      <c r="F260" s="105"/>
      <c r="G260" s="420"/>
      <c r="H260" s="102"/>
      <c r="J260" s="37"/>
      <c r="K260" s="42"/>
      <c r="L260" s="420" t="str">
        <f t="shared" si="26"/>
        <v/>
      </c>
      <c r="M260" s="401" t="str">
        <f t="shared" si="27"/>
        <v/>
      </c>
    </row>
    <row r="261" spans="2:13" s="98" customFormat="1" ht="12.5" x14ac:dyDescent="0.25">
      <c r="B261" s="108"/>
      <c r="C261" s="106"/>
      <c r="D261" s="107"/>
      <c r="E261" s="107"/>
      <c r="F261" s="105"/>
      <c r="G261" s="420"/>
      <c r="H261" s="102"/>
      <c r="J261" s="37"/>
      <c r="K261" s="403"/>
      <c r="L261" s="420" t="str">
        <f t="shared" si="26"/>
        <v/>
      </c>
      <c r="M261" s="401" t="str">
        <f t="shared" si="27"/>
        <v/>
      </c>
    </row>
    <row r="262" spans="2:13" s="98" customFormat="1" ht="12.5" x14ac:dyDescent="0.25">
      <c r="B262" s="108"/>
      <c r="C262" s="106"/>
      <c r="D262" s="107"/>
      <c r="E262" s="107"/>
      <c r="F262" s="105"/>
      <c r="G262" s="420"/>
      <c r="H262" s="102"/>
      <c r="J262" s="37"/>
      <c r="K262" s="404"/>
      <c r="L262" s="420" t="str">
        <f t="shared" si="26"/>
        <v/>
      </c>
      <c r="M262" s="401" t="str">
        <f t="shared" si="27"/>
        <v/>
      </c>
    </row>
    <row r="263" spans="2:13" s="28" customFormat="1" ht="24.75" customHeight="1" x14ac:dyDescent="0.25">
      <c r="B263" s="84" t="str">
        <f>$B$12</f>
        <v>C11.7</v>
      </c>
      <c r="C263" s="498" t="str">
        <f>"TOTAL CARRIED FORWARD"&amp;IF(H263=H$1," TO SUMMARY","")</f>
        <v>TOTAL CARRIED FORWARD TO SUMMARY</v>
      </c>
      <c r="D263" s="31"/>
      <c r="E263" s="31"/>
      <c r="F263" s="32"/>
      <c r="G263" s="31"/>
      <c r="H263" s="33">
        <f>SUM(H209:H262)</f>
        <v>128380.00000000003</v>
      </c>
      <c r="I263" s="34"/>
      <c r="J263" s="408"/>
      <c r="K263" s="406"/>
      <c r="L263" s="418">
        <f>SUM(L209:L262)</f>
        <v>7342.8000000000011</v>
      </c>
      <c r="M263" s="407" t="str">
        <f t="shared" si="27"/>
        <v/>
      </c>
    </row>
  </sheetData>
  <mergeCells count="25">
    <mergeCell ref="F3:H3"/>
    <mergeCell ref="H6:H9"/>
    <mergeCell ref="B6:G6"/>
    <mergeCell ref="B7:G9"/>
    <mergeCell ref="B70:D70"/>
    <mergeCell ref="F70:H72"/>
    <mergeCell ref="B71:D71"/>
    <mergeCell ref="B72:D72"/>
    <mergeCell ref="B73:G73"/>
    <mergeCell ref="H73:H76"/>
    <mergeCell ref="B74:G76"/>
    <mergeCell ref="B132:D132"/>
    <mergeCell ref="F132:H134"/>
    <mergeCell ref="B133:D133"/>
    <mergeCell ref="B134:D134"/>
    <mergeCell ref="B204:G204"/>
    <mergeCell ref="H204:H207"/>
    <mergeCell ref="B205:G207"/>
    <mergeCell ref="B135:G135"/>
    <mergeCell ref="H135:H138"/>
    <mergeCell ref="B136:G138"/>
    <mergeCell ref="B201:D201"/>
    <mergeCell ref="F201:H203"/>
    <mergeCell ref="B202:D202"/>
    <mergeCell ref="B203:D203"/>
  </mergeCells>
  <conditionalFormatting sqref="G11:H69 G78:H131 G140:H200 G209:H263">
    <cfRule type="expression" dxfId="15" priority="1">
      <formula>_Show_Price=FALSE</formula>
    </cfRule>
  </conditionalFormatting>
  <pageMargins left="0.43307086614173229" right="0.31496062992125984" top="0.43307086614173229" bottom="0.62992125984251968" header="0.35433070866141736" footer="0.31496062992125984"/>
  <pageSetup paperSize="9" scale="77" firstPageNumber="31"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7">
    <tabColor rgb="FFFFFF00"/>
  </sheetPr>
  <dimension ref="A1:R211"/>
  <sheetViews>
    <sheetView view="pageBreakPreview" zoomScaleNormal="85" zoomScaleSheetLayoutView="100" workbookViewId="0">
      <pane ySplit="2" topLeftCell="A7"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76"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2.81640625" style="1" customWidth="1"/>
    <col min="12" max="12" width="14.1796875" style="1" customWidth="1"/>
    <col min="13" max="14" width="14.7265625" style="1" customWidth="1"/>
    <col min="15" max="16384" width="6.81640625" style="1"/>
  </cols>
  <sheetData>
    <row r="1" spans="1:18" s="242" customFormat="1" ht="11.5" x14ac:dyDescent="0.25">
      <c r="B1" s="243"/>
      <c r="C1" s="244" t="s">
        <v>993</v>
      </c>
      <c r="D1" s="245"/>
      <c r="E1" s="245"/>
      <c r="F1" s="246" t="s">
        <v>994</v>
      </c>
      <c r="G1" s="244">
        <v>1</v>
      </c>
      <c r="H1" s="247">
        <f>MAX(H2:H211)</f>
        <v>276015</v>
      </c>
      <c r="I1" s="247">
        <f>MAX(I2:I207)</f>
        <v>0</v>
      </c>
      <c r="J1" s="248"/>
      <c r="K1" s="247"/>
      <c r="L1" s="247">
        <f>MAX(L2:L211)</f>
        <v>6983.9999999999991</v>
      </c>
      <c r="M1" s="249"/>
      <c r="N1" s="250"/>
      <c r="O1" s="256"/>
      <c r="P1" s="257" t="s">
        <v>1001</v>
      </c>
      <c r="Q1" s="255">
        <f>K1</f>
        <v>0</v>
      </c>
      <c r="R1" s="256"/>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18" ht="13" x14ac:dyDescent="0.25">
      <c r="B3" s="1108" t="str">
        <f>Client1</f>
        <v>Province of KwaZulu-Natal</v>
      </c>
      <c r="C3" s="1108"/>
      <c r="D3" s="1108"/>
      <c r="E3" s="87"/>
      <c r="F3" s="1109" t="str">
        <f>"Contract No. "&amp;ContractNo</f>
        <v>Contract No. ZNB 00399/00000/HOD/INF/21/T</v>
      </c>
      <c r="G3" s="1109"/>
      <c r="H3" s="1109"/>
    </row>
    <row r="4" spans="1:18" ht="13" x14ac:dyDescent="0.25">
      <c r="B4" s="1108" t="str">
        <f>Client2</f>
        <v>Department of Transport</v>
      </c>
      <c r="C4" s="1108"/>
      <c r="D4" s="1108"/>
      <c r="E4" s="87"/>
      <c r="F4" s="1109"/>
      <c r="G4" s="1109"/>
      <c r="H4" s="1109"/>
    </row>
    <row r="5" spans="1:18" x14ac:dyDescent="0.25">
      <c r="B5" s="1111"/>
      <c r="C5" s="1111"/>
      <c r="D5" s="1111"/>
      <c r="E5" s="78"/>
      <c r="F5" s="1110"/>
      <c r="G5" s="1110"/>
      <c r="H5" s="1110"/>
    </row>
    <row r="6" spans="1:18" ht="13" x14ac:dyDescent="0.25">
      <c r="B6" s="1112" t="s">
        <v>1773</v>
      </c>
      <c r="C6" s="1113"/>
      <c r="D6" s="1113"/>
      <c r="E6" s="1113"/>
      <c r="F6" s="1113"/>
      <c r="G6" s="1113"/>
      <c r="H6" s="1121" t="str">
        <f>"CHAPTER "&amp;B12</f>
        <v>CHAPTER C1.2</v>
      </c>
      <c r="I6" s="6"/>
    </row>
    <row r="7" spans="1:18" ht="33"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48"/>
      <c r="H7" s="1122"/>
      <c r="I7" s="8"/>
    </row>
    <row r="8" spans="1:18" ht="29.25" customHeight="1" x14ac:dyDescent="0.25">
      <c r="B8" s="1149" t="s">
        <v>1775</v>
      </c>
      <c r="C8" s="1150"/>
      <c r="D8" s="1150"/>
      <c r="E8" s="1150"/>
      <c r="F8" s="1150"/>
      <c r="G8" s="1150"/>
      <c r="H8" s="1122"/>
      <c r="I8" s="8"/>
    </row>
    <row r="9" spans="1:18" ht="7.5" customHeight="1" x14ac:dyDescent="0.25">
      <c r="B9" s="611"/>
      <c r="C9" s="612"/>
      <c r="D9" s="612"/>
      <c r="E9" s="612"/>
      <c r="F9" s="612"/>
      <c r="G9" s="612"/>
      <c r="H9" s="1123"/>
      <c r="I9" s="8"/>
    </row>
    <row r="10" spans="1:18" s="9" customFormat="1" ht="25" customHeight="1" x14ac:dyDescent="0.25">
      <c r="B10" s="74" t="s">
        <v>0</v>
      </c>
      <c r="C10" s="11" t="s">
        <v>1</v>
      </c>
      <c r="D10" s="11" t="s">
        <v>2</v>
      </c>
      <c r="E10" s="11" t="s">
        <v>996</v>
      </c>
      <c r="F10" s="11" t="s">
        <v>3</v>
      </c>
      <c r="G10" s="11" t="s">
        <v>4</v>
      </c>
      <c r="H10" s="11" t="s">
        <v>5</v>
      </c>
      <c r="I10" s="12"/>
      <c r="J10" s="408" t="s">
        <v>996</v>
      </c>
      <c r="K10" s="253" t="s">
        <v>997</v>
      </c>
      <c r="L10" s="253" t="s">
        <v>998</v>
      </c>
      <c r="M10" s="253" t="s">
        <v>999</v>
      </c>
    </row>
    <row r="11" spans="1:18" x14ac:dyDescent="0.25">
      <c r="B11" s="58"/>
      <c r="C11" s="65"/>
      <c r="D11" s="15"/>
      <c r="E11" s="15"/>
      <c r="F11" s="15"/>
      <c r="G11" s="411"/>
      <c r="H11" s="17" t="str">
        <f t="shared" ref="H11:H71" si="0">IF(D11="","",F11*G11)</f>
        <v/>
      </c>
      <c r="I11" s="18"/>
      <c r="J11" s="61"/>
      <c r="K11" s="399"/>
      <c r="L11" s="420" t="str">
        <f t="shared" ref="L11" si="1">IF(J11="","",F11*K11)</f>
        <v/>
      </c>
      <c r="M11" s="401" t="str">
        <f t="shared" ref="M11" si="2">IF(J11="","",IF(SUM(H11)=0,"",L11/H11))</f>
        <v/>
      </c>
    </row>
    <row r="12" spans="1:18" ht="13" x14ac:dyDescent="0.25">
      <c r="B12" s="146" t="s">
        <v>14</v>
      </c>
      <c r="C12" s="672" t="s">
        <v>13</v>
      </c>
      <c r="D12" s="15"/>
      <c r="E12" s="15"/>
      <c r="F12" s="15"/>
      <c r="G12" s="411"/>
      <c r="H12" s="17" t="str">
        <f t="shared" si="0"/>
        <v/>
      </c>
      <c r="I12" s="18"/>
      <c r="J12" s="61"/>
      <c r="K12" s="399"/>
      <c r="L12" s="420" t="str">
        <f t="shared" ref="L12:L71" si="3">IF(J12="","",F12*K12)</f>
        <v/>
      </c>
      <c r="M12" s="401" t="str">
        <f t="shared" ref="M12:M71" si="4">IF(J12="","",IF(SUM(H12)=0,"",L12/H12))</f>
        <v/>
      </c>
    </row>
    <row r="13" spans="1:18" x14ac:dyDescent="0.25">
      <c r="B13" s="58"/>
      <c r="C13" s="65"/>
      <c r="D13" s="15"/>
      <c r="E13" s="15"/>
      <c r="F13" s="15"/>
      <c r="G13" s="411"/>
      <c r="H13" s="17" t="str">
        <f t="shared" si="0"/>
        <v/>
      </c>
      <c r="I13" s="18"/>
      <c r="J13" s="61"/>
      <c r="K13" s="399"/>
      <c r="L13" s="420" t="str">
        <f t="shared" si="3"/>
        <v/>
      </c>
      <c r="M13" s="401" t="str">
        <f t="shared" si="4"/>
        <v/>
      </c>
    </row>
    <row r="14" spans="1:18" ht="13" x14ac:dyDescent="0.25">
      <c r="B14" s="146" t="s">
        <v>1860</v>
      </c>
      <c r="C14" s="672" t="s">
        <v>15</v>
      </c>
      <c r="D14" s="15"/>
      <c r="E14" s="15"/>
      <c r="F14" s="15"/>
      <c r="G14" s="411"/>
      <c r="H14" s="17" t="str">
        <f t="shared" si="0"/>
        <v/>
      </c>
      <c r="I14" s="18"/>
      <c r="J14" s="61"/>
      <c r="K14" s="399"/>
      <c r="L14" s="420" t="str">
        <f t="shared" si="3"/>
        <v/>
      </c>
      <c r="M14" s="401" t="str">
        <f t="shared" si="4"/>
        <v/>
      </c>
    </row>
    <row r="15" spans="1:18" x14ac:dyDescent="0.25">
      <c r="B15" s="58"/>
      <c r="C15" s="65"/>
      <c r="D15" s="15"/>
      <c r="E15" s="15"/>
      <c r="F15" s="15"/>
      <c r="G15" s="411"/>
      <c r="H15" s="17" t="str">
        <f t="shared" si="0"/>
        <v/>
      </c>
      <c r="I15" s="18"/>
      <c r="J15" s="61"/>
      <c r="K15" s="399"/>
      <c r="L15" s="420" t="str">
        <f t="shared" si="3"/>
        <v/>
      </c>
      <c r="M15" s="401" t="str">
        <f t="shared" si="4"/>
        <v/>
      </c>
    </row>
    <row r="16" spans="1:18" ht="25" x14ac:dyDescent="0.25">
      <c r="B16" s="58" t="s">
        <v>16</v>
      </c>
      <c r="C16" s="65" t="s">
        <v>17</v>
      </c>
      <c r="D16" s="15" t="s">
        <v>18</v>
      </c>
      <c r="E16" s="15"/>
      <c r="F16" s="24">
        <f>'C1.3_Cwaka'!F18</f>
        <v>15</v>
      </c>
      <c r="G16" s="422">
        <v>5000</v>
      </c>
      <c r="H16" s="17">
        <f t="shared" si="0"/>
        <v>75000</v>
      </c>
      <c r="I16" s="57"/>
      <c r="J16" s="61"/>
      <c r="K16" s="400"/>
      <c r="L16" s="420" t="str">
        <f t="shared" si="3"/>
        <v/>
      </c>
      <c r="M16" s="401" t="str">
        <f t="shared" si="4"/>
        <v/>
      </c>
    </row>
    <row r="17" spans="2:13" x14ac:dyDescent="0.25">
      <c r="B17" s="58"/>
      <c r="C17" s="65"/>
      <c r="D17" s="15"/>
      <c r="E17" s="15"/>
      <c r="F17" s="24"/>
      <c r="G17" s="422"/>
      <c r="H17" s="17" t="str">
        <f t="shared" si="0"/>
        <v/>
      </c>
      <c r="I17" s="57"/>
      <c r="J17" s="61"/>
      <c r="K17" s="399"/>
      <c r="L17" s="420" t="str">
        <f t="shared" si="3"/>
        <v/>
      </c>
      <c r="M17" s="401" t="str">
        <f t="shared" si="4"/>
        <v/>
      </c>
    </row>
    <row r="18" spans="2:13" x14ac:dyDescent="0.25">
      <c r="B18" s="58" t="s">
        <v>19</v>
      </c>
      <c r="C18" s="65" t="s">
        <v>1842</v>
      </c>
      <c r="D18" s="15" t="s">
        <v>18</v>
      </c>
      <c r="E18" s="15"/>
      <c r="F18" s="24">
        <f>'C1.3_Cwaka'!F18</f>
        <v>15</v>
      </c>
      <c r="G18" s="422">
        <v>5000</v>
      </c>
      <c r="H18" s="17">
        <f t="shared" si="0"/>
        <v>75000</v>
      </c>
      <c r="I18" s="57"/>
      <c r="J18" s="61"/>
      <c r="K18" s="399"/>
      <c r="L18" s="420" t="str">
        <f t="shared" si="3"/>
        <v/>
      </c>
      <c r="M18" s="401" t="str">
        <f t="shared" si="4"/>
        <v/>
      </c>
    </row>
    <row r="19" spans="2:13" x14ac:dyDescent="0.25">
      <c r="B19" s="58"/>
      <c r="C19" s="65"/>
      <c r="D19" s="15"/>
      <c r="E19" s="15"/>
      <c r="F19" s="24"/>
      <c r="G19" s="411"/>
      <c r="H19" s="17" t="str">
        <f t="shared" si="0"/>
        <v/>
      </c>
      <c r="I19" s="18"/>
      <c r="J19" s="61"/>
      <c r="K19" s="399"/>
      <c r="L19" s="420" t="str">
        <f t="shared" si="3"/>
        <v/>
      </c>
      <c r="M19" s="401" t="str">
        <f t="shared" si="4"/>
        <v/>
      </c>
    </row>
    <row r="20" spans="2:13" ht="13" x14ac:dyDescent="0.25">
      <c r="B20" s="146" t="s">
        <v>1862</v>
      </c>
      <c r="C20" s="672" t="s">
        <v>29</v>
      </c>
      <c r="D20" s="15"/>
      <c r="E20" s="15"/>
      <c r="F20" s="15"/>
      <c r="G20" s="422"/>
      <c r="H20" s="17" t="str">
        <f t="shared" si="0"/>
        <v/>
      </c>
      <c r="I20" s="18"/>
      <c r="J20" s="61"/>
      <c r="K20" s="402"/>
      <c r="L20" s="420" t="str">
        <f t="shared" si="3"/>
        <v/>
      </c>
      <c r="M20" s="401" t="str">
        <f t="shared" si="4"/>
        <v/>
      </c>
    </row>
    <row r="21" spans="2:13" x14ac:dyDescent="0.25">
      <c r="B21" s="58"/>
      <c r="C21" s="65"/>
      <c r="D21" s="15"/>
      <c r="E21" s="15"/>
      <c r="F21" s="15"/>
      <c r="G21" s="422"/>
      <c r="H21" s="17" t="str">
        <f t="shared" si="0"/>
        <v/>
      </c>
      <c r="I21" s="60"/>
      <c r="J21" s="61"/>
      <c r="K21" s="402"/>
      <c r="L21" s="420" t="str">
        <f t="shared" si="3"/>
        <v/>
      </c>
      <c r="M21" s="401" t="str">
        <f t="shared" si="4"/>
        <v/>
      </c>
    </row>
    <row r="22" spans="2:13" x14ac:dyDescent="0.25">
      <c r="B22" s="58" t="s">
        <v>30</v>
      </c>
      <c r="C22" s="65" t="s">
        <v>31</v>
      </c>
      <c r="D22" s="15" t="s">
        <v>11</v>
      </c>
      <c r="E22" s="15"/>
      <c r="F22" s="15">
        <v>1</v>
      </c>
      <c r="G22" s="422">
        <v>5000</v>
      </c>
      <c r="H22" s="17">
        <f t="shared" si="0"/>
        <v>5000</v>
      </c>
      <c r="I22" s="63"/>
      <c r="J22" s="61"/>
      <c r="K22" s="402"/>
      <c r="L22" s="420" t="str">
        <f t="shared" si="3"/>
        <v/>
      </c>
      <c r="M22" s="401" t="str">
        <f t="shared" si="4"/>
        <v/>
      </c>
    </row>
    <row r="23" spans="2:13" x14ac:dyDescent="0.25">
      <c r="B23" s="58"/>
      <c r="C23" s="65"/>
      <c r="D23" s="15"/>
      <c r="E23" s="15"/>
      <c r="F23" s="15"/>
      <c r="G23" s="422"/>
      <c r="H23" s="17" t="str">
        <f t="shared" si="0"/>
        <v/>
      </c>
      <c r="I23" s="63"/>
      <c r="J23" s="61"/>
      <c r="K23" s="402"/>
      <c r="L23" s="420" t="str">
        <f t="shared" si="3"/>
        <v/>
      </c>
      <c r="M23" s="401" t="str">
        <f t="shared" si="4"/>
        <v/>
      </c>
    </row>
    <row r="24" spans="2:13" x14ac:dyDescent="0.25">
      <c r="B24" s="58" t="s">
        <v>32</v>
      </c>
      <c r="C24" s="65" t="s">
        <v>33</v>
      </c>
      <c r="D24" s="15" t="s">
        <v>18</v>
      </c>
      <c r="E24" s="15"/>
      <c r="F24" s="580">
        <f>'C1.3_Cwaka'!F18</f>
        <v>15</v>
      </c>
      <c r="G24" s="422">
        <v>5000</v>
      </c>
      <c r="H24" s="17">
        <f t="shared" si="0"/>
        <v>75000</v>
      </c>
      <c r="I24" s="63"/>
      <c r="J24" s="61"/>
      <c r="K24" s="402"/>
      <c r="L24" s="420" t="str">
        <f t="shared" si="3"/>
        <v/>
      </c>
      <c r="M24" s="401" t="str">
        <f t="shared" si="4"/>
        <v/>
      </c>
    </row>
    <row r="25" spans="2:13" x14ac:dyDescent="0.25">
      <c r="B25" s="58"/>
      <c r="C25" s="68"/>
      <c r="D25" s="61"/>
      <c r="E25" s="61"/>
      <c r="F25" s="24"/>
      <c r="G25" s="421"/>
      <c r="H25" s="17" t="str">
        <f t="shared" si="0"/>
        <v/>
      </c>
      <c r="I25" s="63"/>
      <c r="J25" s="61"/>
      <c r="K25" s="402"/>
      <c r="L25" s="420" t="str">
        <f t="shared" si="3"/>
        <v/>
      </c>
      <c r="M25" s="401" t="str">
        <f t="shared" si="4"/>
        <v/>
      </c>
    </row>
    <row r="26" spans="2:13" ht="37.5" x14ac:dyDescent="0.25">
      <c r="B26" s="58" t="s">
        <v>1866</v>
      </c>
      <c r="C26" s="65" t="s">
        <v>1867</v>
      </c>
      <c r="D26" s="15" t="s">
        <v>11</v>
      </c>
      <c r="E26" s="15"/>
      <c r="F26" s="15">
        <v>1</v>
      </c>
      <c r="G26" s="411">
        <v>5000</v>
      </c>
      <c r="H26" s="17">
        <f t="shared" si="0"/>
        <v>5000</v>
      </c>
      <c r="I26" s="63"/>
      <c r="J26" s="61"/>
      <c r="K26" s="399"/>
      <c r="L26" s="420" t="str">
        <f t="shared" si="3"/>
        <v/>
      </c>
      <c r="M26" s="401" t="str">
        <f t="shared" si="4"/>
        <v/>
      </c>
    </row>
    <row r="27" spans="2:13" x14ac:dyDescent="0.25">
      <c r="B27" s="58"/>
      <c r="C27" s="68"/>
      <c r="D27" s="61"/>
      <c r="E27" s="61"/>
      <c r="F27" s="24"/>
      <c r="G27" s="421"/>
      <c r="H27" s="17" t="str">
        <f t="shared" si="0"/>
        <v/>
      </c>
      <c r="I27" s="63"/>
      <c r="J27" s="61"/>
      <c r="K27" s="399"/>
      <c r="L27" s="420" t="str">
        <f t="shared" si="3"/>
        <v/>
      </c>
      <c r="M27" s="401" t="str">
        <f t="shared" si="4"/>
        <v/>
      </c>
    </row>
    <row r="28" spans="2:13" ht="13" x14ac:dyDescent="0.25">
      <c r="B28" s="146" t="s">
        <v>35</v>
      </c>
      <c r="C28" s="19" t="s">
        <v>36</v>
      </c>
      <c r="D28" s="15"/>
      <c r="E28" s="15"/>
      <c r="F28" s="580"/>
      <c r="G28" s="422"/>
      <c r="H28" s="17" t="str">
        <f t="shared" si="0"/>
        <v/>
      </c>
      <c r="I28" s="18"/>
      <c r="J28" s="61"/>
      <c r="K28" s="400"/>
      <c r="L28" s="420" t="str">
        <f t="shared" si="3"/>
        <v/>
      </c>
      <c r="M28" s="401" t="str">
        <f t="shared" si="4"/>
        <v/>
      </c>
    </row>
    <row r="29" spans="2:13" x14ac:dyDescent="0.25">
      <c r="B29" s="58"/>
      <c r="C29" s="14"/>
      <c r="D29" s="15"/>
      <c r="E29" s="15"/>
      <c r="F29" s="580"/>
      <c r="G29" s="422"/>
      <c r="H29" s="17" t="str">
        <f t="shared" si="0"/>
        <v/>
      </c>
      <c r="I29" s="18"/>
      <c r="J29" s="61"/>
      <c r="K29" s="399"/>
      <c r="L29" s="420" t="str">
        <f t="shared" si="3"/>
        <v/>
      </c>
      <c r="M29" s="401" t="str">
        <f t="shared" si="4"/>
        <v/>
      </c>
    </row>
    <row r="30" spans="2:13" x14ac:dyDescent="0.25">
      <c r="B30" s="58" t="s">
        <v>37</v>
      </c>
      <c r="C30" s="14" t="s">
        <v>38</v>
      </c>
      <c r="D30" s="15"/>
      <c r="E30" s="15"/>
      <c r="F30" s="580"/>
      <c r="G30" s="422"/>
      <c r="H30" s="17" t="str">
        <f t="shared" si="0"/>
        <v/>
      </c>
      <c r="I30" s="57"/>
      <c r="J30" s="61"/>
      <c r="K30" s="399"/>
      <c r="L30" s="420" t="str">
        <f t="shared" si="3"/>
        <v/>
      </c>
      <c r="M30" s="401" t="str">
        <f t="shared" si="4"/>
        <v/>
      </c>
    </row>
    <row r="31" spans="2:13" x14ac:dyDescent="0.25">
      <c r="B31" s="58"/>
      <c r="C31" s="14"/>
      <c r="D31" s="15"/>
      <c r="E31" s="15"/>
      <c r="F31" s="580"/>
      <c r="G31" s="422"/>
      <c r="H31" s="17" t="str">
        <f t="shared" si="0"/>
        <v/>
      </c>
      <c r="I31" s="18"/>
      <c r="J31" s="61"/>
      <c r="K31" s="399"/>
      <c r="L31" s="420" t="str">
        <f t="shared" si="3"/>
        <v/>
      </c>
      <c r="M31" s="401" t="str">
        <f t="shared" si="4"/>
        <v/>
      </c>
    </row>
    <row r="32" spans="2:13" x14ac:dyDescent="0.25">
      <c r="B32" s="58" t="s">
        <v>39</v>
      </c>
      <c r="C32" s="14" t="s">
        <v>40</v>
      </c>
      <c r="D32" s="15" t="s">
        <v>191</v>
      </c>
      <c r="E32" s="15" t="s">
        <v>996</v>
      </c>
      <c r="F32" s="580">
        <v>180</v>
      </c>
      <c r="G32" s="680">
        <v>40</v>
      </c>
      <c r="H32" s="17">
        <f t="shared" si="0"/>
        <v>7200</v>
      </c>
      <c r="I32" s="18"/>
      <c r="J32" s="61" t="s">
        <v>1721</v>
      </c>
      <c r="K32" s="399">
        <f>G32*97/100</f>
        <v>38.799999999999997</v>
      </c>
      <c r="L32" s="420">
        <f t="shared" si="3"/>
        <v>6983.9999999999991</v>
      </c>
      <c r="M32" s="401">
        <f t="shared" si="4"/>
        <v>0.96999999999999986</v>
      </c>
    </row>
    <row r="33" spans="2:13" x14ac:dyDescent="0.25">
      <c r="B33" s="58"/>
      <c r="C33" s="14"/>
      <c r="D33" s="15"/>
      <c r="E33" s="15"/>
      <c r="F33" s="580"/>
      <c r="G33" s="422"/>
      <c r="H33" s="17" t="str">
        <f t="shared" si="0"/>
        <v/>
      </c>
      <c r="I33" s="18"/>
      <c r="J33" s="61"/>
      <c r="K33" s="399"/>
      <c r="L33" s="420" t="str">
        <f t="shared" si="3"/>
        <v/>
      </c>
      <c r="M33" s="401" t="str">
        <f t="shared" si="4"/>
        <v/>
      </c>
    </row>
    <row r="34" spans="2:13" x14ac:dyDescent="0.25">
      <c r="B34" s="58" t="s">
        <v>41</v>
      </c>
      <c r="C34" s="14" t="s">
        <v>46</v>
      </c>
      <c r="D34" s="15" t="s">
        <v>191</v>
      </c>
      <c r="E34" s="15"/>
      <c r="F34" s="580">
        <v>25</v>
      </c>
      <c r="G34" s="680">
        <v>75</v>
      </c>
      <c r="H34" s="17">
        <f t="shared" si="0"/>
        <v>1875</v>
      </c>
      <c r="I34" s="18"/>
      <c r="J34" s="61"/>
      <c r="K34" s="400"/>
      <c r="L34" s="420" t="str">
        <f t="shared" si="3"/>
        <v/>
      </c>
      <c r="M34" s="401" t="str">
        <f t="shared" si="4"/>
        <v/>
      </c>
    </row>
    <row r="35" spans="2:13" s="36" customFormat="1" x14ac:dyDescent="0.25">
      <c r="B35" s="58"/>
      <c r="C35" s="14"/>
      <c r="D35" s="15"/>
      <c r="E35" s="15"/>
      <c r="F35" s="580"/>
      <c r="G35" s="422"/>
      <c r="H35" s="17" t="str">
        <f t="shared" si="0"/>
        <v/>
      </c>
      <c r="I35" s="18"/>
      <c r="J35" s="61"/>
      <c r="K35" s="399"/>
      <c r="L35" s="420" t="str">
        <f t="shared" si="3"/>
        <v/>
      </c>
      <c r="M35" s="401" t="str">
        <f t="shared" si="4"/>
        <v/>
      </c>
    </row>
    <row r="36" spans="2:13" x14ac:dyDescent="0.25">
      <c r="B36" s="58" t="s">
        <v>45</v>
      </c>
      <c r="C36" s="14" t="s">
        <v>47</v>
      </c>
      <c r="D36" s="15" t="s">
        <v>191</v>
      </c>
      <c r="E36" s="15"/>
      <c r="F36" s="580">
        <v>16</v>
      </c>
      <c r="G36" s="422">
        <v>115</v>
      </c>
      <c r="H36" s="17">
        <f t="shared" si="0"/>
        <v>1840</v>
      </c>
      <c r="I36" s="57"/>
      <c r="J36" s="61"/>
      <c r="K36" s="399"/>
      <c r="L36" s="420" t="str">
        <f t="shared" si="3"/>
        <v/>
      </c>
      <c r="M36" s="401" t="str">
        <f t="shared" si="4"/>
        <v/>
      </c>
    </row>
    <row r="37" spans="2:13" x14ac:dyDescent="0.25">
      <c r="B37" s="58"/>
      <c r="C37" s="14"/>
      <c r="D37" s="15"/>
      <c r="E37" s="15"/>
      <c r="F37" s="580"/>
      <c r="G37" s="422"/>
      <c r="H37" s="17" t="str">
        <f t="shared" si="0"/>
        <v/>
      </c>
      <c r="I37" s="57"/>
      <c r="J37" s="61"/>
      <c r="K37" s="399"/>
      <c r="L37" s="420" t="str">
        <f t="shared" si="3"/>
        <v/>
      </c>
      <c r="M37" s="401" t="str">
        <f t="shared" si="4"/>
        <v/>
      </c>
    </row>
    <row r="38" spans="2:13" x14ac:dyDescent="0.25">
      <c r="B38" s="58" t="s">
        <v>48</v>
      </c>
      <c r="C38" s="14" t="s">
        <v>1824</v>
      </c>
      <c r="D38" s="15"/>
      <c r="E38" s="15"/>
      <c r="F38" s="580"/>
      <c r="G38" s="422"/>
      <c r="H38" s="17" t="str">
        <f t="shared" si="0"/>
        <v/>
      </c>
      <c r="I38" s="18"/>
      <c r="J38" s="61"/>
      <c r="K38" s="399"/>
      <c r="L38" s="420" t="str">
        <f t="shared" si="3"/>
        <v/>
      </c>
      <c r="M38" s="401" t="str">
        <f t="shared" si="4"/>
        <v/>
      </c>
    </row>
    <row r="39" spans="2:13" x14ac:dyDescent="0.25">
      <c r="B39" s="58"/>
      <c r="C39" s="14"/>
      <c r="D39" s="15"/>
      <c r="E39" s="15"/>
      <c r="F39" s="580"/>
      <c r="G39" s="422"/>
      <c r="H39" s="17" t="str">
        <f t="shared" si="0"/>
        <v/>
      </c>
      <c r="I39" s="18"/>
      <c r="J39" s="61"/>
      <c r="K39" s="399"/>
      <c r="L39" s="420" t="str">
        <f t="shared" si="3"/>
        <v/>
      </c>
      <c r="M39" s="401" t="str">
        <f t="shared" si="4"/>
        <v/>
      </c>
    </row>
    <row r="40" spans="2:13" x14ac:dyDescent="0.25">
      <c r="B40" s="58" t="s">
        <v>41</v>
      </c>
      <c r="C40" s="14" t="s">
        <v>49</v>
      </c>
      <c r="D40" s="15"/>
      <c r="E40" s="15"/>
      <c r="F40" s="580"/>
      <c r="G40" s="422"/>
      <c r="H40" s="17" t="str">
        <f t="shared" si="0"/>
        <v/>
      </c>
      <c r="I40" s="18"/>
      <c r="J40" s="61"/>
      <c r="K40" s="399"/>
      <c r="L40" s="420" t="str">
        <f t="shared" si="3"/>
        <v/>
      </c>
      <c r="M40" s="401" t="str">
        <f t="shared" si="4"/>
        <v/>
      </c>
    </row>
    <row r="41" spans="2:13" x14ac:dyDescent="0.25">
      <c r="B41" s="58"/>
      <c r="C41" s="14"/>
      <c r="D41" s="15"/>
      <c r="E41" s="15"/>
      <c r="F41" s="580"/>
      <c r="G41" s="422"/>
      <c r="H41" s="17" t="str">
        <f t="shared" si="0"/>
        <v/>
      </c>
      <c r="I41" s="18"/>
      <c r="J41" s="61"/>
      <c r="K41" s="399"/>
      <c r="L41" s="420" t="str">
        <f t="shared" si="3"/>
        <v/>
      </c>
      <c r="M41" s="401" t="str">
        <f t="shared" si="4"/>
        <v/>
      </c>
    </row>
    <row r="42" spans="2:13" x14ac:dyDescent="0.25">
      <c r="B42" s="58" t="s">
        <v>990</v>
      </c>
      <c r="C42" s="14" t="s">
        <v>1675</v>
      </c>
      <c r="D42" s="15" t="s">
        <v>191</v>
      </c>
      <c r="E42" s="15"/>
      <c r="F42" s="580">
        <v>16</v>
      </c>
      <c r="G42" s="422">
        <v>150</v>
      </c>
      <c r="H42" s="17">
        <f t="shared" si="0"/>
        <v>2400</v>
      </c>
      <c r="I42" s="18"/>
      <c r="J42" s="61"/>
      <c r="K42" s="399"/>
      <c r="L42" s="420" t="str">
        <f t="shared" si="3"/>
        <v/>
      </c>
      <c r="M42" s="401" t="str">
        <f t="shared" si="4"/>
        <v/>
      </c>
    </row>
    <row r="43" spans="2:13" x14ac:dyDescent="0.25">
      <c r="B43" s="58"/>
      <c r="C43" s="14"/>
      <c r="D43" s="15"/>
      <c r="E43" s="15"/>
      <c r="F43" s="580"/>
      <c r="G43" s="422"/>
      <c r="H43" s="17" t="str">
        <f t="shared" si="0"/>
        <v/>
      </c>
      <c r="I43" s="18"/>
      <c r="J43" s="61"/>
      <c r="K43" s="399"/>
      <c r="L43" s="420" t="str">
        <f t="shared" si="3"/>
        <v/>
      </c>
      <c r="M43" s="401" t="str">
        <f t="shared" si="4"/>
        <v/>
      </c>
    </row>
    <row r="44" spans="2:13" x14ac:dyDescent="0.25">
      <c r="B44" s="58" t="s">
        <v>43</v>
      </c>
      <c r="C44" s="14" t="s">
        <v>1963</v>
      </c>
      <c r="D44" s="15" t="s">
        <v>191</v>
      </c>
      <c r="E44" s="15"/>
      <c r="F44" s="24">
        <v>16</v>
      </c>
      <c r="G44" s="422">
        <v>750</v>
      </c>
      <c r="H44" s="17">
        <f t="shared" si="0"/>
        <v>12000</v>
      </c>
      <c r="I44" s="18"/>
      <c r="J44" s="61"/>
      <c r="K44" s="399"/>
      <c r="L44" s="420" t="str">
        <f t="shared" si="3"/>
        <v/>
      </c>
      <c r="M44" s="401" t="str">
        <f t="shared" si="4"/>
        <v/>
      </c>
    </row>
    <row r="45" spans="2:13" x14ac:dyDescent="0.25">
      <c r="B45" s="58"/>
      <c r="C45" s="14"/>
      <c r="D45" s="15"/>
      <c r="E45" s="15"/>
      <c r="F45" s="580"/>
      <c r="G45" s="422"/>
      <c r="H45" s="17" t="str">
        <f t="shared" si="0"/>
        <v/>
      </c>
      <c r="I45" s="18"/>
      <c r="J45" s="61"/>
      <c r="K45" s="399"/>
      <c r="L45" s="420" t="str">
        <f t="shared" si="3"/>
        <v/>
      </c>
      <c r="M45" s="401" t="str">
        <f t="shared" si="4"/>
        <v/>
      </c>
    </row>
    <row r="46" spans="2:13" x14ac:dyDescent="0.25">
      <c r="B46" s="58" t="s">
        <v>50</v>
      </c>
      <c r="C46" s="14" t="s">
        <v>1825</v>
      </c>
      <c r="D46" s="15"/>
      <c r="E46" s="15"/>
      <c r="F46" s="580"/>
      <c r="G46" s="422"/>
      <c r="H46" s="17" t="str">
        <f t="shared" si="0"/>
        <v/>
      </c>
      <c r="I46" s="18"/>
      <c r="J46" s="61"/>
      <c r="K46" s="402"/>
      <c r="L46" s="420" t="str">
        <f t="shared" si="3"/>
        <v/>
      </c>
      <c r="M46" s="401" t="str">
        <f t="shared" si="4"/>
        <v/>
      </c>
    </row>
    <row r="47" spans="2:13" x14ac:dyDescent="0.25">
      <c r="B47" s="58"/>
      <c r="C47" s="14"/>
      <c r="D47" s="15"/>
      <c r="E47" s="15"/>
      <c r="F47" s="580"/>
      <c r="G47" s="422"/>
      <c r="H47" s="17" t="str">
        <f t="shared" si="0"/>
        <v/>
      </c>
      <c r="I47" s="18"/>
      <c r="J47" s="61"/>
      <c r="K47" s="399"/>
      <c r="L47" s="420" t="str">
        <f t="shared" si="3"/>
        <v/>
      </c>
      <c r="M47" s="401" t="str">
        <f t="shared" si="4"/>
        <v/>
      </c>
    </row>
    <row r="48" spans="2:13" x14ac:dyDescent="0.25">
      <c r="B48" s="58" t="s">
        <v>990</v>
      </c>
      <c r="C48" s="14" t="s">
        <v>1677</v>
      </c>
      <c r="D48" s="15" t="s">
        <v>191</v>
      </c>
      <c r="E48" s="15"/>
      <c r="F48" s="580">
        <v>16</v>
      </c>
      <c r="G48" s="424">
        <v>100</v>
      </c>
      <c r="H48" s="17">
        <f t="shared" si="0"/>
        <v>1600</v>
      </c>
      <c r="I48" s="18"/>
      <c r="J48" s="61"/>
      <c r="K48" s="402"/>
      <c r="L48" s="420" t="str">
        <f t="shared" si="3"/>
        <v/>
      </c>
      <c r="M48" s="401" t="str">
        <f t="shared" si="4"/>
        <v/>
      </c>
    </row>
    <row r="49" spans="2:13" x14ac:dyDescent="0.25">
      <c r="B49" s="58"/>
      <c r="C49" s="14"/>
      <c r="D49" s="15"/>
      <c r="E49" s="15"/>
      <c r="F49" s="580"/>
      <c r="G49" s="424"/>
      <c r="H49" s="17" t="str">
        <f t="shared" si="0"/>
        <v/>
      </c>
      <c r="I49" s="18"/>
      <c r="J49" s="62"/>
      <c r="K49" s="62"/>
      <c r="L49" s="420" t="str">
        <f t="shared" si="3"/>
        <v/>
      </c>
      <c r="M49" s="401" t="str">
        <f t="shared" si="4"/>
        <v/>
      </c>
    </row>
    <row r="50" spans="2:13" x14ac:dyDescent="0.25">
      <c r="B50" s="58" t="s">
        <v>991</v>
      </c>
      <c r="C50" s="14" t="s">
        <v>1964</v>
      </c>
      <c r="D50" s="15" t="s">
        <v>1965</v>
      </c>
      <c r="E50" s="15"/>
      <c r="F50" s="24">
        <v>16</v>
      </c>
      <c r="G50" s="422">
        <v>350</v>
      </c>
      <c r="H50" s="17">
        <f t="shared" si="0"/>
        <v>5600</v>
      </c>
      <c r="I50" s="18"/>
      <c r="J50" s="62"/>
      <c r="K50" s="62"/>
      <c r="L50" s="420" t="str">
        <f t="shared" si="3"/>
        <v/>
      </c>
      <c r="M50" s="401" t="str">
        <f t="shared" si="4"/>
        <v/>
      </c>
    </row>
    <row r="51" spans="2:13" x14ac:dyDescent="0.25">
      <c r="B51" s="58"/>
      <c r="C51" s="14"/>
      <c r="D51" s="15"/>
      <c r="E51" s="15"/>
      <c r="F51" s="580"/>
      <c r="G51" s="411"/>
      <c r="H51" s="17" t="str">
        <f t="shared" si="0"/>
        <v/>
      </c>
      <c r="I51" s="18"/>
      <c r="J51" s="62"/>
      <c r="K51" s="62"/>
      <c r="L51" s="420" t="str">
        <f t="shared" si="3"/>
        <v/>
      </c>
      <c r="M51" s="401" t="str">
        <f t="shared" si="4"/>
        <v/>
      </c>
    </row>
    <row r="52" spans="2:13" x14ac:dyDescent="0.25">
      <c r="B52" s="58" t="s">
        <v>51</v>
      </c>
      <c r="C52" s="14" t="s">
        <v>1826</v>
      </c>
      <c r="D52" s="15"/>
      <c r="E52" s="15"/>
      <c r="F52" s="580"/>
      <c r="G52" s="422"/>
      <c r="H52" s="17" t="str">
        <f t="shared" si="0"/>
        <v/>
      </c>
      <c r="I52" s="18"/>
      <c r="J52" s="62"/>
      <c r="K52" s="62"/>
      <c r="L52" s="420" t="str">
        <f t="shared" si="3"/>
        <v/>
      </c>
      <c r="M52" s="401" t="str">
        <f t="shared" si="4"/>
        <v/>
      </c>
    </row>
    <row r="53" spans="2:13" x14ac:dyDescent="0.25">
      <c r="B53" s="58"/>
      <c r="C53" s="14"/>
      <c r="D53" s="15"/>
      <c r="E53" s="15"/>
      <c r="F53" s="580"/>
      <c r="G53" s="422"/>
      <c r="H53" s="17" t="str">
        <f t="shared" si="0"/>
        <v/>
      </c>
      <c r="I53" s="18"/>
      <c r="J53" s="62"/>
      <c r="K53" s="62"/>
      <c r="L53" s="420" t="str">
        <f t="shared" si="3"/>
        <v/>
      </c>
      <c r="M53" s="401" t="str">
        <f t="shared" si="4"/>
        <v/>
      </c>
    </row>
    <row r="54" spans="2:13" x14ac:dyDescent="0.25">
      <c r="B54" s="58" t="s">
        <v>39</v>
      </c>
      <c r="C54" s="14" t="s">
        <v>2069</v>
      </c>
      <c r="D54" s="15" t="s">
        <v>22</v>
      </c>
      <c r="E54" s="15"/>
      <c r="F54" s="24">
        <v>1000</v>
      </c>
      <c r="G54" s="424">
        <v>8.5</v>
      </c>
      <c r="H54" s="17">
        <f t="shared" si="0"/>
        <v>8500</v>
      </c>
      <c r="I54" s="18"/>
      <c r="J54" s="62"/>
      <c r="K54" s="62"/>
      <c r="L54" s="420" t="str">
        <f t="shared" si="3"/>
        <v/>
      </c>
      <c r="M54" s="401" t="str">
        <f t="shared" si="4"/>
        <v/>
      </c>
    </row>
    <row r="55" spans="2:13" x14ac:dyDescent="0.25">
      <c r="B55" s="58"/>
      <c r="C55" s="65"/>
      <c r="D55" s="15"/>
      <c r="E55" s="15"/>
      <c r="F55" s="15"/>
      <c r="G55" s="422"/>
      <c r="H55" s="17" t="str">
        <f t="shared" si="0"/>
        <v/>
      </c>
      <c r="I55" s="18"/>
      <c r="J55" s="62"/>
      <c r="K55" s="62"/>
      <c r="L55" s="420" t="str">
        <f t="shared" si="3"/>
        <v/>
      </c>
      <c r="M55" s="401" t="str">
        <f t="shared" si="4"/>
        <v/>
      </c>
    </row>
    <row r="56" spans="2:13" x14ac:dyDescent="0.25">
      <c r="B56" s="58"/>
      <c r="C56" s="65"/>
      <c r="D56" s="15"/>
      <c r="E56" s="15"/>
      <c r="F56" s="15"/>
      <c r="G56" s="422"/>
      <c r="H56" s="17" t="str">
        <f t="shared" si="0"/>
        <v/>
      </c>
      <c r="I56" s="18"/>
      <c r="J56" s="62"/>
      <c r="K56" s="62"/>
      <c r="L56" s="420" t="str">
        <f t="shared" si="3"/>
        <v/>
      </c>
      <c r="M56" s="401" t="str">
        <f t="shared" si="4"/>
        <v/>
      </c>
    </row>
    <row r="57" spans="2:13" x14ac:dyDescent="0.25">
      <c r="B57" s="58"/>
      <c r="C57" s="65"/>
      <c r="D57" s="15"/>
      <c r="E57" s="15"/>
      <c r="F57" s="15"/>
      <c r="G57" s="422"/>
      <c r="H57" s="17" t="str">
        <f t="shared" si="0"/>
        <v/>
      </c>
      <c r="I57" s="18"/>
      <c r="J57" s="62"/>
      <c r="K57" s="62"/>
      <c r="L57" s="420" t="str">
        <f t="shared" si="3"/>
        <v/>
      </c>
      <c r="M57" s="401" t="str">
        <f t="shared" si="4"/>
        <v/>
      </c>
    </row>
    <row r="58" spans="2:13" x14ac:dyDescent="0.25">
      <c r="B58" s="58"/>
      <c r="C58" s="65"/>
      <c r="D58" s="15"/>
      <c r="E58" s="15"/>
      <c r="F58" s="15"/>
      <c r="G58" s="422"/>
      <c r="H58" s="17" t="str">
        <f t="shared" si="0"/>
        <v/>
      </c>
      <c r="I58" s="18"/>
      <c r="J58" s="62"/>
      <c r="K58" s="62"/>
      <c r="L58" s="420" t="str">
        <f t="shared" si="3"/>
        <v/>
      </c>
      <c r="M58" s="401" t="str">
        <f t="shared" si="4"/>
        <v/>
      </c>
    </row>
    <row r="59" spans="2:13" x14ac:dyDescent="0.25">
      <c r="B59" s="58"/>
      <c r="C59" s="65"/>
      <c r="D59" s="15"/>
      <c r="E59" s="15"/>
      <c r="F59" s="15"/>
      <c r="G59" s="422"/>
      <c r="H59" s="17" t="str">
        <f t="shared" si="0"/>
        <v/>
      </c>
      <c r="I59" s="18"/>
      <c r="J59" s="62"/>
      <c r="K59" s="62"/>
      <c r="L59" s="420" t="str">
        <f t="shared" si="3"/>
        <v/>
      </c>
      <c r="M59" s="401" t="str">
        <f t="shared" si="4"/>
        <v/>
      </c>
    </row>
    <row r="60" spans="2:13" x14ac:dyDescent="0.25">
      <c r="B60" s="58"/>
      <c r="C60" s="65"/>
      <c r="D60" s="15"/>
      <c r="E60" s="15"/>
      <c r="F60" s="15"/>
      <c r="G60" s="422"/>
      <c r="H60" s="17" t="str">
        <f t="shared" si="0"/>
        <v/>
      </c>
      <c r="I60" s="18"/>
      <c r="J60" s="62"/>
      <c r="K60" s="62"/>
      <c r="L60" s="420" t="str">
        <f t="shared" si="3"/>
        <v/>
      </c>
      <c r="M60" s="401" t="str">
        <f t="shared" si="4"/>
        <v/>
      </c>
    </row>
    <row r="61" spans="2:13" x14ac:dyDescent="0.25">
      <c r="B61" s="58"/>
      <c r="C61" s="65"/>
      <c r="D61" s="15"/>
      <c r="E61" s="15"/>
      <c r="F61" s="15"/>
      <c r="G61" s="422"/>
      <c r="H61" s="17" t="str">
        <f t="shared" si="0"/>
        <v/>
      </c>
      <c r="I61" s="18"/>
      <c r="J61" s="62"/>
      <c r="K61" s="62"/>
      <c r="L61" s="420" t="str">
        <f t="shared" si="3"/>
        <v/>
      </c>
      <c r="M61" s="401" t="str">
        <f t="shared" si="4"/>
        <v/>
      </c>
    </row>
    <row r="62" spans="2:13" x14ac:dyDescent="0.25">
      <c r="B62" s="58"/>
      <c r="C62" s="65"/>
      <c r="D62" s="15"/>
      <c r="E62" s="15"/>
      <c r="F62" s="15"/>
      <c r="G62" s="422"/>
      <c r="H62" s="17" t="str">
        <f t="shared" si="0"/>
        <v/>
      </c>
      <c r="I62" s="18"/>
      <c r="J62" s="62"/>
      <c r="K62" s="62"/>
      <c r="L62" s="420" t="str">
        <f t="shared" si="3"/>
        <v/>
      </c>
      <c r="M62" s="401" t="str">
        <f t="shared" si="4"/>
        <v/>
      </c>
    </row>
    <row r="63" spans="2:13" x14ac:dyDescent="0.25">
      <c r="B63" s="58"/>
      <c r="C63" s="65"/>
      <c r="D63" s="15"/>
      <c r="E63" s="15"/>
      <c r="F63" s="15"/>
      <c r="G63" s="422"/>
      <c r="H63" s="17" t="str">
        <f t="shared" si="0"/>
        <v/>
      </c>
      <c r="I63" s="18"/>
      <c r="J63" s="62"/>
      <c r="K63" s="62"/>
      <c r="L63" s="420" t="str">
        <f t="shared" si="3"/>
        <v/>
      </c>
      <c r="M63" s="401" t="str">
        <f t="shared" si="4"/>
        <v/>
      </c>
    </row>
    <row r="64" spans="2:13" x14ac:dyDescent="0.25">
      <c r="B64" s="58"/>
      <c r="C64" s="65"/>
      <c r="D64" s="15"/>
      <c r="E64" s="15"/>
      <c r="F64" s="15"/>
      <c r="G64" s="422"/>
      <c r="H64" s="17" t="str">
        <f t="shared" si="0"/>
        <v/>
      </c>
      <c r="I64" s="18"/>
      <c r="J64" s="62"/>
      <c r="K64" s="62"/>
      <c r="L64" s="420" t="str">
        <f t="shared" si="3"/>
        <v/>
      </c>
      <c r="M64" s="401" t="str">
        <f t="shared" si="4"/>
        <v/>
      </c>
    </row>
    <row r="65" spans="2:13" x14ac:dyDescent="0.25">
      <c r="B65" s="58"/>
      <c r="C65" s="65"/>
      <c r="D65" s="15"/>
      <c r="E65" s="15"/>
      <c r="F65" s="15"/>
      <c r="G65" s="424"/>
      <c r="H65" s="17" t="str">
        <f t="shared" si="0"/>
        <v/>
      </c>
      <c r="I65" s="18"/>
      <c r="J65" s="62"/>
      <c r="K65" s="62"/>
      <c r="L65" s="420" t="str">
        <f t="shared" si="3"/>
        <v/>
      </c>
      <c r="M65" s="401" t="str">
        <f t="shared" si="4"/>
        <v/>
      </c>
    </row>
    <row r="66" spans="2:13" x14ac:dyDescent="0.25">
      <c r="B66" s="58"/>
      <c r="C66" s="65"/>
      <c r="D66" s="15"/>
      <c r="E66" s="15"/>
      <c r="F66" s="15"/>
      <c r="G66" s="424"/>
      <c r="H66" s="17" t="str">
        <f t="shared" si="0"/>
        <v/>
      </c>
      <c r="I66" s="18"/>
      <c r="J66" s="62"/>
      <c r="K66" s="62"/>
      <c r="L66" s="420" t="str">
        <f t="shared" si="3"/>
        <v/>
      </c>
      <c r="M66" s="401" t="str">
        <f t="shared" si="4"/>
        <v/>
      </c>
    </row>
    <row r="67" spans="2:13" ht="13" x14ac:dyDescent="0.3">
      <c r="B67" s="58"/>
      <c r="C67" s="65"/>
      <c r="D67" s="706"/>
      <c r="E67" s="706"/>
      <c r="F67" s="15"/>
      <c r="G67" s="422"/>
      <c r="H67" s="17" t="str">
        <f t="shared" si="0"/>
        <v/>
      </c>
      <c r="I67" s="18"/>
      <c r="J67" s="62"/>
      <c r="K67" s="62"/>
      <c r="L67" s="420" t="str">
        <f t="shared" si="3"/>
        <v/>
      </c>
      <c r="M67" s="401" t="str">
        <f t="shared" si="4"/>
        <v/>
      </c>
    </row>
    <row r="68" spans="2:13" ht="13" x14ac:dyDescent="0.3">
      <c r="B68" s="58"/>
      <c r="C68" s="65"/>
      <c r="D68" s="706"/>
      <c r="E68" s="706"/>
      <c r="F68" s="15"/>
      <c r="G68" s="422"/>
      <c r="H68" s="17" t="str">
        <f t="shared" si="0"/>
        <v/>
      </c>
      <c r="I68" s="18"/>
      <c r="J68" s="62"/>
      <c r="K68" s="62"/>
      <c r="L68" s="420" t="str">
        <f t="shared" si="3"/>
        <v/>
      </c>
      <c r="M68" s="401" t="str">
        <f t="shared" si="4"/>
        <v/>
      </c>
    </row>
    <row r="69" spans="2:13" x14ac:dyDescent="0.25">
      <c r="B69" s="58"/>
      <c r="C69" s="65"/>
      <c r="D69" s="15"/>
      <c r="E69" s="15"/>
      <c r="F69" s="15"/>
      <c r="G69" s="422"/>
      <c r="H69" s="17" t="str">
        <f t="shared" si="0"/>
        <v/>
      </c>
      <c r="I69" s="18"/>
      <c r="J69" s="62"/>
      <c r="K69" s="62"/>
      <c r="L69" s="420" t="str">
        <f t="shared" si="3"/>
        <v/>
      </c>
      <c r="M69" s="401" t="str">
        <f t="shared" si="4"/>
        <v/>
      </c>
    </row>
    <row r="70" spans="2:13" x14ac:dyDescent="0.25">
      <c r="B70" s="58"/>
      <c r="C70" s="65"/>
      <c r="D70" s="15"/>
      <c r="E70" s="15"/>
      <c r="F70" s="15"/>
      <c r="G70" s="422"/>
      <c r="H70" s="17" t="str">
        <f t="shared" si="0"/>
        <v/>
      </c>
      <c r="I70" s="18"/>
      <c r="J70" s="62"/>
      <c r="K70" s="62"/>
      <c r="L70" s="420" t="str">
        <f t="shared" si="3"/>
        <v/>
      </c>
      <c r="M70" s="401" t="str">
        <f t="shared" si="4"/>
        <v/>
      </c>
    </row>
    <row r="71" spans="2:13" x14ac:dyDescent="0.25">
      <c r="B71" s="58"/>
      <c r="C71" s="70"/>
      <c r="D71" s="61"/>
      <c r="E71" s="61"/>
      <c r="F71" s="61"/>
      <c r="G71" s="422"/>
      <c r="H71" s="17" t="str">
        <f t="shared" si="0"/>
        <v/>
      </c>
      <c r="I71" s="18"/>
      <c r="J71" s="62"/>
      <c r="K71" s="62"/>
      <c r="L71" s="420" t="str">
        <f t="shared" si="3"/>
        <v/>
      </c>
      <c r="M71" s="401" t="str">
        <f t="shared" si="4"/>
        <v/>
      </c>
    </row>
    <row r="72" spans="2:13" x14ac:dyDescent="0.25">
      <c r="B72" s="58"/>
      <c r="C72" s="786"/>
      <c r="D72" s="61"/>
      <c r="E72" s="61"/>
      <c r="F72" s="61"/>
      <c r="G72" s="422"/>
      <c r="H72" s="17" t="str">
        <f t="shared" ref="H72" si="5">IF(D72="","",F72*G72)</f>
        <v/>
      </c>
      <c r="I72" s="18"/>
      <c r="J72" s="62"/>
      <c r="K72" s="62"/>
      <c r="L72" s="420" t="str">
        <f t="shared" ref="L72" si="6">IF(J72="","",F72*K72)</f>
        <v/>
      </c>
      <c r="M72" s="401" t="str">
        <f t="shared" ref="M72" si="7">IF(J72="","",IF(SUM(H72)=0,"",L72/H72))</f>
        <v/>
      </c>
    </row>
    <row r="73" spans="2:13" s="28" customFormat="1" ht="20.149999999999999" customHeight="1" x14ac:dyDescent="0.25">
      <c r="B73" s="80" t="str">
        <f>B12</f>
        <v>C1.2</v>
      </c>
      <c r="C73" s="30" t="str">
        <f>"TOTAL CARRIED FORWARD"&amp;IF(H73=H$1," TO SUMMARY","")</f>
        <v>TOTAL CARRIED FORWARD TO SUMMARY</v>
      </c>
      <c r="D73" s="31"/>
      <c r="E73" s="31"/>
      <c r="F73" s="32"/>
      <c r="G73" s="31"/>
      <c r="H73" s="33">
        <f>SUM(H11:H72)</f>
        <v>276015</v>
      </c>
      <c r="I73" s="34"/>
      <c r="J73" s="408"/>
      <c r="K73" s="406"/>
      <c r="L73" s="418">
        <f>SUM(L11:L72)</f>
        <v>6983.9999999999991</v>
      </c>
      <c r="M73" s="407" t="str">
        <f t="shared" ref="M73" si="8">IF(J73="","",IF(SUM(H73)=0,"",L73/H73))</f>
        <v/>
      </c>
    </row>
    <row r="74" spans="2:13" ht="13" x14ac:dyDescent="0.25">
      <c r="B74" s="1108" t="str">
        <f>Client1</f>
        <v>Province of KwaZulu-Natal</v>
      </c>
      <c r="C74" s="1108"/>
      <c r="D74" s="1108"/>
      <c r="E74" s="87"/>
      <c r="F74" s="1109" t="str">
        <f>"Contract No. "&amp;ContractNo</f>
        <v>Contract No. ZNB 00399/00000/HOD/INF/21/T</v>
      </c>
      <c r="G74" s="1109"/>
      <c r="H74" s="1109"/>
    </row>
    <row r="75" spans="2:13" ht="13" x14ac:dyDescent="0.25">
      <c r="B75" s="1108" t="str">
        <f>Client2</f>
        <v>Department of Transport</v>
      </c>
      <c r="C75" s="1108"/>
      <c r="D75" s="1108"/>
      <c r="E75" s="87"/>
      <c r="F75" s="1109"/>
      <c r="G75" s="1109"/>
      <c r="H75" s="1109"/>
    </row>
    <row r="76" spans="2:13" x14ac:dyDescent="0.25">
      <c r="B76" s="1111"/>
      <c r="C76" s="1111"/>
      <c r="D76" s="1111"/>
      <c r="E76" s="78"/>
      <c r="F76" s="1110"/>
      <c r="G76" s="1110"/>
      <c r="H76" s="1110"/>
    </row>
    <row r="77" spans="2:13" ht="13" x14ac:dyDescent="0.25">
      <c r="B77" s="1112" t="s">
        <v>1773</v>
      </c>
      <c r="C77" s="1113"/>
      <c r="D77" s="1113"/>
      <c r="E77" s="1113"/>
      <c r="F77" s="1113"/>
      <c r="G77" s="1113"/>
      <c r="H77" s="1114" t="str">
        <f>$H$6</f>
        <v>CHAPTER C1.2</v>
      </c>
      <c r="I77" s="6"/>
    </row>
    <row r="78" spans="2:13" ht="40.5" customHeight="1" x14ac:dyDescent="0.25">
      <c r="B78" s="1117" t="str">
        <f>ContractDescription</f>
        <v>THE CONSTRUCTION OF EARTHWORKS, LAYERWORKS, SURFACING, CULVERTS AND CWAKA RIVER BRIDGE FROM KM 11.600 TO KM 14.000 ON MAIN ROAD P494 IN THE KING CETSHWAYO DISTRICT UNDER EMPANGENI REGION</v>
      </c>
      <c r="C78" s="1148"/>
      <c r="D78" s="1148"/>
      <c r="E78" s="1148"/>
      <c r="F78" s="1148"/>
      <c r="G78" s="1148"/>
      <c r="H78" s="1115"/>
      <c r="I78" s="8"/>
    </row>
    <row r="79" spans="2:13" ht="25.5" customHeight="1" x14ac:dyDescent="0.25">
      <c r="B79" s="1149" t="s">
        <v>1775</v>
      </c>
      <c r="C79" s="1150"/>
      <c r="D79" s="1150"/>
      <c r="E79" s="1150"/>
      <c r="F79" s="1150"/>
      <c r="G79" s="1150"/>
      <c r="H79" s="1115"/>
      <c r="I79" s="8"/>
    </row>
    <row r="80" spans="2:13" ht="13" x14ac:dyDescent="0.25">
      <c r="B80" s="611"/>
      <c r="C80" s="612"/>
      <c r="D80" s="612"/>
      <c r="E80" s="612"/>
      <c r="F80" s="612"/>
      <c r="G80" s="612"/>
      <c r="H80" s="1116"/>
      <c r="I80" s="8"/>
    </row>
    <row r="81" spans="2:13" s="9" customFormat="1" ht="25" customHeight="1" x14ac:dyDescent="0.25">
      <c r="B81" s="74" t="s">
        <v>0</v>
      </c>
      <c r="C81" s="11" t="s">
        <v>1</v>
      </c>
      <c r="D81" s="11" t="s">
        <v>2</v>
      </c>
      <c r="E81" s="11"/>
      <c r="F81" s="11" t="s">
        <v>3</v>
      </c>
      <c r="G81" s="11" t="s">
        <v>4</v>
      </c>
      <c r="H81" s="11" t="s">
        <v>5</v>
      </c>
      <c r="I81" s="12"/>
      <c r="J81" s="408" t="s">
        <v>996</v>
      </c>
      <c r="K81" s="253" t="s">
        <v>997</v>
      </c>
      <c r="L81" s="253" t="s">
        <v>998</v>
      </c>
      <c r="M81" s="253" t="s">
        <v>999</v>
      </c>
    </row>
    <row r="82" spans="2:13" s="28" customFormat="1" ht="20.149999999999999" customHeight="1" x14ac:dyDescent="0.25">
      <c r="B82" s="80"/>
      <c r="C82" s="30" t="s">
        <v>27</v>
      </c>
      <c r="D82" s="31"/>
      <c r="E82" s="31"/>
      <c r="F82" s="32"/>
      <c r="G82" s="31"/>
      <c r="H82" s="33">
        <f>H73</f>
        <v>276015</v>
      </c>
      <c r="I82" s="34"/>
      <c r="J82" s="416"/>
      <c r="K82" s="409"/>
      <c r="L82" s="419">
        <f>L73</f>
        <v>6983.9999999999991</v>
      </c>
      <c r="M82" s="410" t="str">
        <f>IF(F82="","",IF(SUM(I82)=0,"",L82/I82))</f>
        <v/>
      </c>
    </row>
    <row r="83" spans="2:13" x14ac:dyDescent="0.25">
      <c r="B83" s="75"/>
      <c r="C83" s="14"/>
      <c r="D83" s="15"/>
      <c r="E83" s="15"/>
      <c r="F83" s="15"/>
      <c r="G83" s="64"/>
      <c r="H83" s="17" t="str">
        <f t="shared" ref="H83" si="9">IF(D83="","",F83*G83)</f>
        <v/>
      </c>
      <c r="I83" s="18"/>
      <c r="J83" s="61"/>
      <c r="K83" s="399"/>
      <c r="L83" s="420" t="str">
        <f t="shared" ref="L83" si="10">IF(J83="","",F83*K83)</f>
        <v/>
      </c>
      <c r="M83" s="401" t="str">
        <f t="shared" ref="M83" si="11">IF(J83="","",IF(SUM(H83)=0,"",L83/H83))</f>
        <v/>
      </c>
    </row>
    <row r="84" spans="2:13" ht="13" x14ac:dyDescent="0.25">
      <c r="B84" s="73"/>
      <c r="C84" s="19"/>
      <c r="D84" s="15"/>
      <c r="E84" s="15"/>
      <c r="F84" s="15"/>
      <c r="G84" s="64"/>
      <c r="H84" s="17" t="str">
        <f t="shared" ref="H84:H142" si="12">IF(D84="","",F84*G84)</f>
        <v/>
      </c>
      <c r="I84" s="18"/>
      <c r="J84" s="61"/>
      <c r="K84" s="399"/>
      <c r="L84" s="420" t="str">
        <f t="shared" ref="L84:L142" si="13">IF(J84="","",F84*K84)</f>
        <v/>
      </c>
      <c r="M84" s="401" t="str">
        <f t="shared" ref="M84:M142" si="14">IF(J84="","",IF(SUM(H84)=0,"",L84/H84))</f>
        <v/>
      </c>
    </row>
    <row r="85" spans="2:13" x14ac:dyDescent="0.25">
      <c r="B85" s="46"/>
      <c r="C85" s="14"/>
      <c r="D85" s="15"/>
      <c r="E85" s="15"/>
      <c r="F85" s="15"/>
      <c r="G85" s="64"/>
      <c r="H85" s="17" t="str">
        <f t="shared" si="12"/>
        <v/>
      </c>
      <c r="I85" s="18"/>
      <c r="J85" s="61"/>
      <c r="K85" s="399"/>
      <c r="L85" s="420" t="str">
        <f t="shared" si="13"/>
        <v/>
      </c>
      <c r="M85" s="401" t="str">
        <f t="shared" si="14"/>
        <v/>
      </c>
    </row>
    <row r="86" spans="2:13" x14ac:dyDescent="0.25">
      <c r="B86" s="46"/>
      <c r="C86" s="14"/>
      <c r="D86" s="15"/>
      <c r="E86" s="15"/>
      <c r="F86" s="15"/>
      <c r="G86" s="64"/>
      <c r="H86" s="17" t="str">
        <f t="shared" si="12"/>
        <v/>
      </c>
      <c r="I86" s="18"/>
      <c r="J86" s="61"/>
      <c r="K86" s="399"/>
      <c r="L86" s="420" t="str">
        <f t="shared" si="13"/>
        <v/>
      </c>
      <c r="M86" s="401" t="str">
        <f t="shared" si="14"/>
        <v/>
      </c>
    </row>
    <row r="87" spans="2:13" x14ac:dyDescent="0.25">
      <c r="B87" s="46"/>
      <c r="C87" s="14"/>
      <c r="D87" s="15"/>
      <c r="E87" s="15"/>
      <c r="F87" s="15"/>
      <c r="G87" s="64"/>
      <c r="H87" s="17" t="str">
        <f t="shared" si="12"/>
        <v/>
      </c>
      <c r="I87" s="18"/>
      <c r="J87" s="61"/>
      <c r="K87" s="400"/>
      <c r="L87" s="420" t="str">
        <f t="shared" si="13"/>
        <v/>
      </c>
      <c r="M87" s="401" t="str">
        <f t="shared" si="14"/>
        <v/>
      </c>
    </row>
    <row r="88" spans="2:13" x14ac:dyDescent="0.25">
      <c r="B88" s="46"/>
      <c r="C88" s="14"/>
      <c r="D88" s="15"/>
      <c r="E88" s="15"/>
      <c r="F88" s="580"/>
      <c r="G88" s="64"/>
      <c r="H88" s="17" t="str">
        <f t="shared" si="12"/>
        <v/>
      </c>
      <c r="I88" s="18"/>
      <c r="J88" s="61"/>
      <c r="K88" s="399"/>
      <c r="L88" s="420" t="str">
        <f t="shared" si="13"/>
        <v/>
      </c>
      <c r="M88" s="401" t="str">
        <f t="shared" si="14"/>
        <v/>
      </c>
    </row>
    <row r="89" spans="2:13" x14ac:dyDescent="0.25">
      <c r="B89" s="46"/>
      <c r="C89" s="14"/>
      <c r="D89" s="15"/>
      <c r="E89" s="15"/>
      <c r="F89" s="15"/>
      <c r="G89" s="64"/>
      <c r="H89" s="17" t="str">
        <f t="shared" si="12"/>
        <v/>
      </c>
      <c r="I89" s="18"/>
      <c r="J89" s="61"/>
      <c r="K89" s="399"/>
      <c r="L89" s="420" t="str">
        <f t="shared" si="13"/>
        <v/>
      </c>
      <c r="M89" s="401" t="str">
        <f t="shared" si="14"/>
        <v/>
      </c>
    </row>
    <row r="90" spans="2:13" x14ac:dyDescent="0.25">
      <c r="B90" s="46"/>
      <c r="C90" s="14"/>
      <c r="D90" s="15"/>
      <c r="E90" s="15"/>
      <c r="F90" s="15"/>
      <c r="G90" s="64"/>
      <c r="H90" s="17" t="str">
        <f t="shared" si="12"/>
        <v/>
      </c>
      <c r="I90" s="18"/>
      <c r="J90" s="61"/>
      <c r="K90" s="399"/>
      <c r="L90" s="420" t="str">
        <f t="shared" si="13"/>
        <v/>
      </c>
      <c r="M90" s="401" t="str">
        <f t="shared" si="14"/>
        <v/>
      </c>
    </row>
    <row r="91" spans="2:13" x14ac:dyDescent="0.25">
      <c r="B91" s="46"/>
      <c r="C91" s="14"/>
      <c r="D91" s="15"/>
      <c r="E91" s="15"/>
      <c r="F91" s="15"/>
      <c r="G91" s="64"/>
      <c r="H91" s="17" t="str">
        <f t="shared" si="12"/>
        <v/>
      </c>
      <c r="I91" s="18"/>
      <c r="J91" s="61"/>
      <c r="K91" s="402"/>
      <c r="L91" s="420" t="str">
        <f t="shared" si="13"/>
        <v/>
      </c>
      <c r="M91" s="401" t="str">
        <f t="shared" si="14"/>
        <v/>
      </c>
    </row>
    <row r="92" spans="2:13" x14ac:dyDescent="0.25">
      <c r="B92" s="46"/>
      <c r="C92" s="14"/>
      <c r="D92" s="15"/>
      <c r="E92" s="15"/>
      <c r="F92" s="15"/>
      <c r="G92" s="64"/>
      <c r="H92" s="17" t="str">
        <f t="shared" si="12"/>
        <v/>
      </c>
      <c r="I92" s="18"/>
      <c r="J92" s="61"/>
      <c r="K92" s="402"/>
      <c r="L92" s="420" t="str">
        <f t="shared" si="13"/>
        <v/>
      </c>
      <c r="M92" s="401" t="str">
        <f t="shared" si="14"/>
        <v/>
      </c>
    </row>
    <row r="93" spans="2:13" x14ac:dyDescent="0.25">
      <c r="B93" s="46"/>
      <c r="C93" s="14"/>
      <c r="D93" s="15"/>
      <c r="E93" s="15"/>
      <c r="F93" s="15"/>
      <c r="G93" s="64"/>
      <c r="H93" s="17" t="str">
        <f t="shared" si="12"/>
        <v/>
      </c>
      <c r="I93" s="18"/>
      <c r="J93" s="61"/>
      <c r="K93" s="402"/>
      <c r="L93" s="420" t="str">
        <f t="shared" si="13"/>
        <v/>
      </c>
      <c r="M93" s="401" t="str">
        <f t="shared" si="14"/>
        <v/>
      </c>
    </row>
    <row r="94" spans="2:13" x14ac:dyDescent="0.25">
      <c r="B94" s="46"/>
      <c r="C94" s="14"/>
      <c r="D94" s="15"/>
      <c r="E94" s="15"/>
      <c r="F94" s="15"/>
      <c r="G94" s="64"/>
      <c r="H94" s="17" t="str">
        <f t="shared" si="12"/>
        <v/>
      </c>
      <c r="I94" s="18"/>
      <c r="J94" s="61"/>
      <c r="K94" s="402"/>
      <c r="L94" s="420" t="str">
        <f t="shared" si="13"/>
        <v/>
      </c>
      <c r="M94" s="401" t="str">
        <f t="shared" si="14"/>
        <v/>
      </c>
    </row>
    <row r="95" spans="2:13" x14ac:dyDescent="0.25">
      <c r="B95" s="46"/>
      <c r="C95" s="14"/>
      <c r="D95" s="15"/>
      <c r="E95" s="15"/>
      <c r="F95" s="15"/>
      <c r="G95" s="64"/>
      <c r="H95" s="17" t="str">
        <f t="shared" si="12"/>
        <v/>
      </c>
      <c r="I95" s="18"/>
      <c r="J95" s="61"/>
      <c r="K95" s="402"/>
      <c r="L95" s="420" t="str">
        <f t="shared" si="13"/>
        <v/>
      </c>
      <c r="M95" s="401" t="str">
        <f t="shared" si="14"/>
        <v/>
      </c>
    </row>
    <row r="96" spans="2:13" x14ac:dyDescent="0.25">
      <c r="B96" s="46"/>
      <c r="C96" s="14"/>
      <c r="D96" s="15"/>
      <c r="E96" s="15"/>
      <c r="F96" s="15"/>
      <c r="G96" s="64"/>
      <c r="H96" s="17" t="str">
        <f t="shared" si="12"/>
        <v/>
      </c>
      <c r="I96" s="18"/>
      <c r="J96" s="61"/>
      <c r="K96" s="402"/>
      <c r="L96" s="420" t="str">
        <f t="shared" si="13"/>
        <v/>
      </c>
      <c r="M96" s="401" t="str">
        <f t="shared" si="14"/>
        <v/>
      </c>
    </row>
    <row r="97" spans="2:13" x14ac:dyDescent="0.25">
      <c r="B97" s="46"/>
      <c r="C97" s="14"/>
      <c r="D97" s="15"/>
      <c r="E97" s="15"/>
      <c r="F97" s="15"/>
      <c r="G97" s="64"/>
      <c r="H97" s="17" t="str">
        <f t="shared" si="12"/>
        <v/>
      </c>
      <c r="I97" s="18"/>
      <c r="J97" s="61"/>
      <c r="K97" s="399"/>
      <c r="L97" s="420" t="str">
        <f t="shared" si="13"/>
        <v/>
      </c>
      <c r="M97" s="401" t="str">
        <f t="shared" si="14"/>
        <v/>
      </c>
    </row>
    <row r="98" spans="2:13" x14ac:dyDescent="0.25">
      <c r="B98" s="46"/>
      <c r="C98" s="14"/>
      <c r="D98" s="15"/>
      <c r="E98" s="15"/>
      <c r="F98" s="15"/>
      <c r="G98" s="64"/>
      <c r="H98" s="17" t="str">
        <f t="shared" si="12"/>
        <v/>
      </c>
      <c r="I98" s="18"/>
      <c r="J98" s="61"/>
      <c r="K98" s="399"/>
      <c r="L98" s="420" t="str">
        <f t="shared" si="13"/>
        <v/>
      </c>
      <c r="M98" s="401" t="str">
        <f t="shared" si="14"/>
        <v/>
      </c>
    </row>
    <row r="99" spans="2:13" x14ac:dyDescent="0.25">
      <c r="B99" s="46"/>
      <c r="C99" s="14"/>
      <c r="D99" s="15"/>
      <c r="E99" s="15"/>
      <c r="F99" s="15"/>
      <c r="G99" s="64"/>
      <c r="H99" s="17" t="str">
        <f t="shared" si="12"/>
        <v/>
      </c>
      <c r="I99" s="18"/>
      <c r="J99" s="61"/>
      <c r="K99" s="400"/>
      <c r="L99" s="420" t="str">
        <f t="shared" si="13"/>
        <v/>
      </c>
      <c r="M99" s="401" t="str">
        <f t="shared" si="14"/>
        <v/>
      </c>
    </row>
    <row r="100" spans="2:13" x14ac:dyDescent="0.25">
      <c r="B100" s="46"/>
      <c r="C100" s="14"/>
      <c r="D100" s="15"/>
      <c r="E100" s="15"/>
      <c r="F100" s="15"/>
      <c r="G100" s="64"/>
      <c r="H100" s="17" t="str">
        <f t="shared" si="12"/>
        <v/>
      </c>
      <c r="I100" s="18"/>
      <c r="J100" s="61"/>
      <c r="K100" s="399"/>
      <c r="L100" s="420" t="str">
        <f t="shared" si="13"/>
        <v/>
      </c>
      <c r="M100" s="401" t="str">
        <f t="shared" si="14"/>
        <v/>
      </c>
    </row>
    <row r="101" spans="2:13" x14ac:dyDescent="0.25">
      <c r="B101" s="46"/>
      <c r="C101" s="14"/>
      <c r="D101" s="15"/>
      <c r="E101" s="15"/>
      <c r="F101" s="15"/>
      <c r="G101" s="64"/>
      <c r="H101" s="17" t="str">
        <f t="shared" si="12"/>
        <v/>
      </c>
      <c r="I101" s="18"/>
      <c r="J101" s="61"/>
      <c r="K101" s="399"/>
      <c r="L101" s="420" t="str">
        <f t="shared" si="13"/>
        <v/>
      </c>
      <c r="M101" s="401" t="str">
        <f t="shared" si="14"/>
        <v/>
      </c>
    </row>
    <row r="102" spans="2:13" x14ac:dyDescent="0.25">
      <c r="B102" s="46"/>
      <c r="C102" s="14"/>
      <c r="D102" s="15"/>
      <c r="E102" s="15"/>
      <c r="F102" s="15"/>
      <c r="G102" s="64"/>
      <c r="H102" s="17" t="str">
        <f t="shared" si="12"/>
        <v/>
      </c>
      <c r="I102" s="18"/>
      <c r="J102" s="61"/>
      <c r="K102" s="399"/>
      <c r="L102" s="420" t="str">
        <f t="shared" si="13"/>
        <v/>
      </c>
      <c r="M102" s="401" t="str">
        <f t="shared" si="14"/>
        <v/>
      </c>
    </row>
    <row r="103" spans="2:13" x14ac:dyDescent="0.25">
      <c r="B103" s="46"/>
      <c r="C103" s="14"/>
      <c r="D103" s="15"/>
      <c r="E103" s="15"/>
      <c r="F103" s="15"/>
      <c r="G103" s="64"/>
      <c r="H103" s="17" t="str">
        <f t="shared" si="12"/>
        <v/>
      </c>
      <c r="I103" s="18"/>
      <c r="J103" s="61"/>
      <c r="K103" s="399"/>
      <c r="L103" s="420" t="str">
        <f t="shared" si="13"/>
        <v/>
      </c>
      <c r="M103" s="401" t="str">
        <f t="shared" si="14"/>
        <v/>
      </c>
    </row>
    <row r="104" spans="2:13" x14ac:dyDescent="0.25">
      <c r="B104" s="46"/>
      <c r="C104" s="14"/>
      <c r="D104" s="15"/>
      <c r="E104" s="15"/>
      <c r="F104" s="15"/>
      <c r="G104" s="64"/>
      <c r="H104" s="17" t="str">
        <f t="shared" si="12"/>
        <v/>
      </c>
      <c r="I104" s="18"/>
      <c r="J104" s="61"/>
      <c r="K104" s="399"/>
      <c r="L104" s="420" t="str">
        <f t="shared" si="13"/>
        <v/>
      </c>
      <c r="M104" s="401" t="str">
        <f t="shared" si="14"/>
        <v/>
      </c>
    </row>
    <row r="105" spans="2:13" x14ac:dyDescent="0.25">
      <c r="B105" s="46"/>
      <c r="C105" s="14"/>
      <c r="D105" s="15"/>
      <c r="E105" s="15"/>
      <c r="F105" s="15"/>
      <c r="G105" s="64"/>
      <c r="H105" s="17" t="str">
        <f t="shared" si="12"/>
        <v/>
      </c>
      <c r="I105" s="18"/>
      <c r="J105" s="61"/>
      <c r="K105" s="400"/>
      <c r="L105" s="420" t="str">
        <f t="shared" si="13"/>
        <v/>
      </c>
      <c r="M105" s="401" t="str">
        <f t="shared" si="14"/>
        <v/>
      </c>
    </row>
    <row r="106" spans="2:13" x14ac:dyDescent="0.25">
      <c r="B106" s="46"/>
      <c r="C106" s="14"/>
      <c r="D106" s="15"/>
      <c r="E106" s="15"/>
      <c r="F106" s="15"/>
      <c r="G106" s="64"/>
      <c r="H106" s="17" t="str">
        <f t="shared" si="12"/>
        <v/>
      </c>
      <c r="I106" s="18"/>
      <c r="J106" s="61"/>
      <c r="K106" s="399"/>
      <c r="L106" s="420" t="str">
        <f t="shared" si="13"/>
        <v/>
      </c>
      <c r="M106" s="401" t="str">
        <f t="shared" si="14"/>
        <v/>
      </c>
    </row>
    <row r="107" spans="2:13" x14ac:dyDescent="0.25">
      <c r="B107" s="46"/>
      <c r="C107" s="14"/>
      <c r="D107" s="15"/>
      <c r="E107" s="15"/>
      <c r="F107" s="15"/>
      <c r="G107" s="64"/>
      <c r="H107" s="17" t="str">
        <f t="shared" si="12"/>
        <v/>
      </c>
      <c r="I107" s="18"/>
      <c r="J107" s="61"/>
      <c r="K107" s="399"/>
      <c r="L107" s="420" t="str">
        <f t="shared" si="13"/>
        <v/>
      </c>
      <c r="M107" s="401" t="str">
        <f t="shared" si="14"/>
        <v/>
      </c>
    </row>
    <row r="108" spans="2:13" x14ac:dyDescent="0.25">
      <c r="B108" s="46"/>
      <c r="C108" s="14"/>
      <c r="D108" s="15"/>
      <c r="E108" s="15"/>
      <c r="F108" s="15"/>
      <c r="G108" s="64"/>
      <c r="H108" s="17" t="str">
        <f t="shared" si="12"/>
        <v/>
      </c>
      <c r="I108" s="18"/>
      <c r="J108" s="61"/>
      <c r="K108" s="399"/>
      <c r="L108" s="420" t="str">
        <f t="shared" si="13"/>
        <v/>
      </c>
      <c r="M108" s="401" t="str">
        <f t="shared" si="14"/>
        <v/>
      </c>
    </row>
    <row r="109" spans="2:13" x14ac:dyDescent="0.25">
      <c r="B109" s="46"/>
      <c r="C109" s="14"/>
      <c r="D109" s="15"/>
      <c r="E109" s="15"/>
      <c r="F109" s="15"/>
      <c r="G109" s="64"/>
      <c r="H109" s="17" t="str">
        <f t="shared" si="12"/>
        <v/>
      </c>
      <c r="I109" s="18"/>
      <c r="J109" s="61"/>
      <c r="K109" s="399"/>
      <c r="L109" s="420" t="str">
        <f t="shared" si="13"/>
        <v/>
      </c>
      <c r="M109" s="401" t="str">
        <f t="shared" si="14"/>
        <v/>
      </c>
    </row>
    <row r="110" spans="2:13" x14ac:dyDescent="0.25">
      <c r="B110" s="46"/>
      <c r="C110" s="14"/>
      <c r="D110" s="15"/>
      <c r="E110" s="15"/>
      <c r="F110" s="15"/>
      <c r="G110" s="64"/>
      <c r="H110" s="17" t="str">
        <f t="shared" si="12"/>
        <v/>
      </c>
      <c r="I110" s="18"/>
      <c r="J110" s="61"/>
      <c r="K110" s="399"/>
      <c r="L110" s="420" t="str">
        <f t="shared" si="13"/>
        <v/>
      </c>
      <c r="M110" s="401" t="str">
        <f t="shared" si="14"/>
        <v/>
      </c>
    </row>
    <row r="111" spans="2:13" x14ac:dyDescent="0.25">
      <c r="B111" s="46"/>
      <c r="C111" s="14"/>
      <c r="D111" s="15"/>
      <c r="E111" s="15"/>
      <c r="F111" s="15"/>
      <c r="G111" s="64"/>
      <c r="H111" s="17" t="str">
        <f t="shared" si="12"/>
        <v/>
      </c>
      <c r="I111" s="18"/>
      <c r="J111" s="61"/>
      <c r="K111" s="399"/>
      <c r="L111" s="420" t="str">
        <f t="shared" si="13"/>
        <v/>
      </c>
      <c r="M111" s="401" t="str">
        <f t="shared" si="14"/>
        <v/>
      </c>
    </row>
    <row r="112" spans="2:13" x14ac:dyDescent="0.25">
      <c r="B112" s="46"/>
      <c r="C112" s="14"/>
      <c r="D112" s="15"/>
      <c r="E112" s="15"/>
      <c r="F112" s="15"/>
      <c r="G112" s="236"/>
      <c r="H112" s="17" t="str">
        <f t="shared" si="12"/>
        <v/>
      </c>
      <c r="I112" s="18"/>
      <c r="J112" s="61"/>
      <c r="K112" s="399"/>
      <c r="L112" s="420" t="str">
        <f t="shared" si="13"/>
        <v/>
      </c>
      <c r="M112" s="401" t="str">
        <f t="shared" si="14"/>
        <v/>
      </c>
    </row>
    <row r="113" spans="2:13" x14ac:dyDescent="0.25">
      <c r="B113" s="46"/>
      <c r="C113" s="14"/>
      <c r="D113" s="15"/>
      <c r="E113" s="15"/>
      <c r="F113" s="15"/>
      <c r="G113" s="64"/>
      <c r="H113" s="17" t="str">
        <f t="shared" si="12"/>
        <v/>
      </c>
      <c r="I113" s="18"/>
      <c r="J113" s="61"/>
      <c r="K113" s="399"/>
      <c r="L113" s="420" t="str">
        <f t="shared" si="13"/>
        <v/>
      </c>
      <c r="M113" s="401" t="str">
        <f t="shared" si="14"/>
        <v/>
      </c>
    </row>
    <row r="114" spans="2:13" x14ac:dyDescent="0.25">
      <c r="B114" s="46"/>
      <c r="C114" s="14"/>
      <c r="D114" s="15"/>
      <c r="E114" s="15"/>
      <c r="F114" s="15"/>
      <c r="G114" s="236"/>
      <c r="H114" s="17" t="str">
        <f t="shared" si="12"/>
        <v/>
      </c>
      <c r="I114" s="18"/>
      <c r="J114" s="61"/>
      <c r="K114" s="399"/>
      <c r="L114" s="420" t="str">
        <f t="shared" si="13"/>
        <v/>
      </c>
      <c r="M114" s="401" t="str">
        <f t="shared" si="14"/>
        <v/>
      </c>
    </row>
    <row r="115" spans="2:13" x14ac:dyDescent="0.25">
      <c r="B115" s="46"/>
      <c r="C115" s="14"/>
      <c r="D115" s="15"/>
      <c r="E115" s="15"/>
      <c r="F115" s="15"/>
      <c r="G115" s="64"/>
      <c r="H115" s="17" t="str">
        <f t="shared" si="12"/>
        <v/>
      </c>
      <c r="I115" s="18"/>
      <c r="J115" s="61"/>
      <c r="K115" s="399"/>
      <c r="L115" s="420" t="str">
        <f t="shared" si="13"/>
        <v/>
      </c>
      <c r="M115" s="401" t="str">
        <f t="shared" si="14"/>
        <v/>
      </c>
    </row>
    <row r="116" spans="2:13" x14ac:dyDescent="0.25">
      <c r="B116" s="46"/>
      <c r="C116" s="14"/>
      <c r="D116" s="15"/>
      <c r="E116" s="15"/>
      <c r="F116" s="15"/>
      <c r="G116" s="64"/>
      <c r="H116" s="17" t="str">
        <f t="shared" si="12"/>
        <v/>
      </c>
      <c r="I116" s="18"/>
      <c r="J116" s="61"/>
      <c r="K116" s="399"/>
      <c r="L116" s="420" t="str">
        <f t="shared" si="13"/>
        <v/>
      </c>
      <c r="M116" s="401" t="str">
        <f t="shared" si="14"/>
        <v/>
      </c>
    </row>
    <row r="117" spans="2:13" x14ac:dyDescent="0.25">
      <c r="B117" s="46"/>
      <c r="C117" s="14"/>
      <c r="D117" s="15"/>
      <c r="E117" s="15"/>
      <c r="F117" s="15"/>
      <c r="G117" s="64"/>
      <c r="H117" s="17" t="str">
        <f t="shared" si="12"/>
        <v/>
      </c>
      <c r="I117" s="18"/>
      <c r="J117" s="61"/>
      <c r="K117" s="402"/>
      <c r="L117" s="420" t="str">
        <f t="shared" si="13"/>
        <v/>
      </c>
      <c r="M117" s="401" t="str">
        <f t="shared" si="14"/>
        <v/>
      </c>
    </row>
    <row r="118" spans="2:13" x14ac:dyDescent="0.25">
      <c r="B118" s="46"/>
      <c r="C118" s="14"/>
      <c r="D118" s="15"/>
      <c r="E118" s="15"/>
      <c r="F118" s="15"/>
      <c r="G118" s="64"/>
      <c r="H118" s="17" t="str">
        <f t="shared" si="12"/>
        <v/>
      </c>
      <c r="I118" s="18"/>
      <c r="J118" s="61"/>
      <c r="K118" s="399"/>
      <c r="L118" s="420" t="str">
        <f t="shared" si="13"/>
        <v/>
      </c>
      <c r="M118" s="401" t="str">
        <f t="shared" si="14"/>
        <v/>
      </c>
    </row>
    <row r="119" spans="2:13" x14ac:dyDescent="0.25">
      <c r="B119" s="46"/>
      <c r="C119" s="14"/>
      <c r="D119" s="15"/>
      <c r="E119" s="15"/>
      <c r="F119" s="15"/>
      <c r="G119" s="64"/>
      <c r="H119" s="17" t="str">
        <f t="shared" si="12"/>
        <v/>
      </c>
      <c r="I119" s="18"/>
      <c r="J119" s="61"/>
      <c r="K119" s="402"/>
      <c r="L119" s="420" t="str">
        <f t="shared" si="13"/>
        <v/>
      </c>
      <c r="M119" s="401" t="str">
        <f t="shared" si="14"/>
        <v/>
      </c>
    </row>
    <row r="120" spans="2:13" x14ac:dyDescent="0.25">
      <c r="B120" s="46"/>
      <c r="C120" s="14"/>
      <c r="D120" s="15"/>
      <c r="E120" s="15"/>
      <c r="F120" s="15"/>
      <c r="G120" s="64"/>
      <c r="H120" s="17" t="str">
        <f t="shared" si="12"/>
        <v/>
      </c>
      <c r="I120" s="18"/>
      <c r="J120" s="62"/>
      <c r="K120" s="62"/>
      <c r="L120" s="420" t="str">
        <f t="shared" si="13"/>
        <v/>
      </c>
      <c r="M120" s="401" t="str">
        <f t="shared" si="14"/>
        <v/>
      </c>
    </row>
    <row r="121" spans="2:13" x14ac:dyDescent="0.25">
      <c r="B121" s="46"/>
      <c r="C121" s="14"/>
      <c r="D121" s="15"/>
      <c r="E121" s="15"/>
      <c r="F121" s="15"/>
      <c r="G121" s="64"/>
      <c r="H121" s="17" t="str">
        <f t="shared" si="12"/>
        <v/>
      </c>
      <c r="I121" s="18"/>
      <c r="J121" s="62"/>
      <c r="K121" s="62"/>
      <c r="L121" s="420" t="str">
        <f t="shared" si="13"/>
        <v/>
      </c>
      <c r="M121" s="401" t="str">
        <f t="shared" si="14"/>
        <v/>
      </c>
    </row>
    <row r="122" spans="2:13" x14ac:dyDescent="0.25">
      <c r="B122" s="46"/>
      <c r="C122" s="14"/>
      <c r="D122" s="15"/>
      <c r="E122" s="15"/>
      <c r="F122" s="15"/>
      <c r="G122" s="64"/>
      <c r="H122" s="17" t="str">
        <f t="shared" si="12"/>
        <v/>
      </c>
      <c r="I122" s="18"/>
      <c r="J122" s="62"/>
      <c r="K122" s="62"/>
      <c r="L122" s="420" t="str">
        <f t="shared" si="13"/>
        <v/>
      </c>
      <c r="M122" s="401" t="str">
        <f t="shared" si="14"/>
        <v/>
      </c>
    </row>
    <row r="123" spans="2:13" x14ac:dyDescent="0.25">
      <c r="B123" s="46"/>
      <c r="C123" s="14"/>
      <c r="D123" s="15"/>
      <c r="E123" s="15"/>
      <c r="F123" s="15"/>
      <c r="G123" s="64"/>
      <c r="H123" s="17" t="str">
        <f t="shared" si="12"/>
        <v/>
      </c>
      <c r="I123" s="18"/>
      <c r="J123" s="62"/>
      <c r="K123" s="62"/>
      <c r="L123" s="420" t="str">
        <f t="shared" si="13"/>
        <v/>
      </c>
      <c r="M123" s="401" t="str">
        <f t="shared" si="14"/>
        <v/>
      </c>
    </row>
    <row r="124" spans="2:13" x14ac:dyDescent="0.25">
      <c r="B124" s="46"/>
      <c r="C124" s="14"/>
      <c r="D124" s="15"/>
      <c r="E124" s="15"/>
      <c r="F124" s="15"/>
      <c r="G124" s="64"/>
      <c r="H124" s="17" t="str">
        <f t="shared" si="12"/>
        <v/>
      </c>
      <c r="I124" s="18"/>
      <c r="J124" s="62"/>
      <c r="K124" s="62"/>
      <c r="L124" s="420" t="str">
        <f t="shared" si="13"/>
        <v/>
      </c>
      <c r="M124" s="401" t="str">
        <f t="shared" si="14"/>
        <v/>
      </c>
    </row>
    <row r="125" spans="2:13" x14ac:dyDescent="0.25">
      <c r="B125" s="46"/>
      <c r="C125" s="14"/>
      <c r="D125" s="15"/>
      <c r="E125" s="15"/>
      <c r="F125" s="15"/>
      <c r="G125" s="64"/>
      <c r="H125" s="17" t="str">
        <f t="shared" si="12"/>
        <v/>
      </c>
      <c r="I125" s="18"/>
      <c r="J125" s="62"/>
      <c r="K125" s="62"/>
      <c r="L125" s="420" t="str">
        <f t="shared" si="13"/>
        <v/>
      </c>
      <c r="M125" s="401" t="str">
        <f t="shared" si="14"/>
        <v/>
      </c>
    </row>
    <row r="126" spans="2:13" x14ac:dyDescent="0.25">
      <c r="B126" s="46"/>
      <c r="C126" s="14"/>
      <c r="D126" s="15"/>
      <c r="E126" s="15"/>
      <c r="F126" s="15"/>
      <c r="G126" s="64"/>
      <c r="H126" s="17" t="str">
        <f t="shared" si="12"/>
        <v/>
      </c>
      <c r="I126" s="18"/>
      <c r="J126" s="62"/>
      <c r="K126" s="62"/>
      <c r="L126" s="420" t="str">
        <f t="shared" si="13"/>
        <v/>
      </c>
      <c r="M126" s="401" t="str">
        <f t="shared" si="14"/>
        <v/>
      </c>
    </row>
    <row r="127" spans="2:13" x14ac:dyDescent="0.25">
      <c r="B127" s="46"/>
      <c r="C127" s="14"/>
      <c r="D127" s="15"/>
      <c r="E127" s="15"/>
      <c r="F127" s="15"/>
      <c r="G127" s="64"/>
      <c r="H127" s="17" t="str">
        <f t="shared" si="12"/>
        <v/>
      </c>
      <c r="I127" s="18"/>
      <c r="J127" s="62"/>
      <c r="K127" s="62"/>
      <c r="L127" s="420" t="str">
        <f t="shared" si="13"/>
        <v/>
      </c>
      <c r="M127" s="401" t="str">
        <f t="shared" si="14"/>
        <v/>
      </c>
    </row>
    <row r="128" spans="2:13" x14ac:dyDescent="0.25">
      <c r="B128" s="46"/>
      <c r="C128" s="14"/>
      <c r="D128" s="15"/>
      <c r="E128" s="15"/>
      <c r="F128" s="15"/>
      <c r="G128" s="64"/>
      <c r="H128" s="17" t="str">
        <f t="shared" si="12"/>
        <v/>
      </c>
      <c r="I128" s="18"/>
      <c r="J128" s="62"/>
      <c r="K128" s="62"/>
      <c r="L128" s="420" t="str">
        <f t="shared" si="13"/>
        <v/>
      </c>
      <c r="M128" s="401" t="str">
        <f t="shared" si="14"/>
        <v/>
      </c>
    </row>
    <row r="129" spans="2:13" x14ac:dyDescent="0.25">
      <c r="B129" s="46"/>
      <c r="C129" s="14"/>
      <c r="D129" s="15"/>
      <c r="E129" s="15"/>
      <c r="F129" s="15"/>
      <c r="G129" s="64"/>
      <c r="H129" s="17" t="str">
        <f t="shared" si="12"/>
        <v/>
      </c>
      <c r="I129" s="18"/>
      <c r="J129" s="62"/>
      <c r="K129" s="62"/>
      <c r="L129" s="420" t="str">
        <f t="shared" si="13"/>
        <v/>
      </c>
      <c r="M129" s="401" t="str">
        <f t="shared" si="14"/>
        <v/>
      </c>
    </row>
    <row r="130" spans="2:13" x14ac:dyDescent="0.25">
      <c r="B130" s="237"/>
      <c r="C130" s="238"/>
      <c r="D130" s="15"/>
      <c r="E130" s="15"/>
      <c r="F130" s="15"/>
      <c r="G130" s="64"/>
      <c r="H130" s="17" t="str">
        <f t="shared" si="12"/>
        <v/>
      </c>
      <c r="I130" s="18"/>
      <c r="J130" s="62"/>
      <c r="K130" s="62"/>
      <c r="L130" s="420" t="str">
        <f t="shared" si="13"/>
        <v/>
      </c>
      <c r="M130" s="401" t="str">
        <f t="shared" si="14"/>
        <v/>
      </c>
    </row>
    <row r="131" spans="2:13" x14ac:dyDescent="0.25">
      <c r="B131" s="46"/>
      <c r="C131" s="14"/>
      <c r="D131" s="15"/>
      <c r="E131" s="15"/>
      <c r="F131" s="15"/>
      <c r="G131" s="64"/>
      <c r="H131" s="17" t="str">
        <f t="shared" si="12"/>
        <v/>
      </c>
      <c r="I131" s="18"/>
      <c r="J131" s="62"/>
      <c r="K131" s="62"/>
      <c r="L131" s="420" t="str">
        <f t="shared" si="13"/>
        <v/>
      </c>
      <c r="M131" s="401" t="str">
        <f t="shared" si="14"/>
        <v/>
      </c>
    </row>
    <row r="132" spans="2:13" x14ac:dyDescent="0.25">
      <c r="B132" s="237"/>
      <c r="C132" s="238"/>
      <c r="D132" s="15"/>
      <c r="E132" s="15"/>
      <c r="F132" s="15"/>
      <c r="G132" s="64"/>
      <c r="H132" s="17" t="str">
        <f t="shared" si="12"/>
        <v/>
      </c>
      <c r="I132" s="18"/>
      <c r="J132" s="61"/>
      <c r="K132" s="62"/>
      <c r="L132" s="420" t="str">
        <f t="shared" si="13"/>
        <v/>
      </c>
      <c r="M132" s="401" t="str">
        <f t="shared" si="14"/>
        <v/>
      </c>
    </row>
    <row r="133" spans="2:13" x14ac:dyDescent="0.25">
      <c r="B133" s="46"/>
      <c r="C133" s="14"/>
      <c r="D133" s="15"/>
      <c r="E133" s="15"/>
      <c r="F133" s="15"/>
      <c r="G133" s="64"/>
      <c r="H133" s="17" t="str">
        <f t="shared" si="12"/>
        <v/>
      </c>
      <c r="I133" s="18"/>
      <c r="J133" s="62"/>
      <c r="K133" s="62"/>
      <c r="L133" s="420" t="str">
        <f t="shared" si="13"/>
        <v/>
      </c>
      <c r="M133" s="401" t="str">
        <f t="shared" si="14"/>
        <v/>
      </c>
    </row>
    <row r="134" spans="2:13" x14ac:dyDescent="0.25">
      <c r="B134" s="46"/>
      <c r="C134" s="14"/>
      <c r="D134" s="15"/>
      <c r="E134" s="15"/>
      <c r="F134" s="15"/>
      <c r="G134" s="64"/>
      <c r="H134" s="17" t="str">
        <f t="shared" si="12"/>
        <v/>
      </c>
      <c r="I134" s="18"/>
      <c r="J134" s="62"/>
      <c r="K134" s="62"/>
      <c r="L134" s="420" t="str">
        <f t="shared" si="13"/>
        <v/>
      </c>
      <c r="M134" s="401" t="str">
        <f t="shared" si="14"/>
        <v/>
      </c>
    </row>
    <row r="135" spans="2:13" x14ac:dyDescent="0.25">
      <c r="B135" s="46"/>
      <c r="C135" s="14"/>
      <c r="D135" s="15"/>
      <c r="E135" s="15"/>
      <c r="F135" s="15"/>
      <c r="G135" s="64"/>
      <c r="H135" s="17" t="str">
        <f t="shared" si="12"/>
        <v/>
      </c>
      <c r="I135" s="18"/>
      <c r="J135" s="62"/>
      <c r="K135" s="62"/>
      <c r="L135" s="420" t="str">
        <f t="shared" si="13"/>
        <v/>
      </c>
      <c r="M135" s="401" t="str">
        <f t="shared" si="14"/>
        <v/>
      </c>
    </row>
    <row r="136" spans="2:13" x14ac:dyDescent="0.25">
      <c r="B136" s="46"/>
      <c r="C136" s="14"/>
      <c r="D136" s="15"/>
      <c r="E136" s="15"/>
      <c r="F136" s="15"/>
      <c r="G136" s="64"/>
      <c r="H136" s="17" t="str">
        <f t="shared" si="12"/>
        <v/>
      </c>
      <c r="I136" s="18"/>
      <c r="J136" s="62"/>
      <c r="K136" s="62"/>
      <c r="L136" s="420" t="str">
        <f t="shared" si="13"/>
        <v/>
      </c>
      <c r="M136" s="401" t="str">
        <f t="shared" si="14"/>
        <v/>
      </c>
    </row>
    <row r="137" spans="2:13" x14ac:dyDescent="0.25">
      <c r="B137" s="46"/>
      <c r="C137" s="14"/>
      <c r="D137" s="15"/>
      <c r="E137" s="15"/>
      <c r="F137" s="15"/>
      <c r="G137" s="64"/>
      <c r="H137" s="17" t="str">
        <f t="shared" si="12"/>
        <v/>
      </c>
      <c r="I137" s="18"/>
      <c r="J137" s="62"/>
      <c r="K137" s="62"/>
      <c r="L137" s="420" t="str">
        <f t="shared" si="13"/>
        <v/>
      </c>
      <c r="M137" s="401" t="str">
        <f t="shared" si="14"/>
        <v/>
      </c>
    </row>
    <row r="138" spans="2:13" x14ac:dyDescent="0.25">
      <c r="B138" s="46"/>
      <c r="C138" s="14"/>
      <c r="D138" s="15"/>
      <c r="E138" s="15"/>
      <c r="F138" s="15"/>
      <c r="G138" s="64"/>
      <c r="H138" s="17" t="str">
        <f t="shared" si="12"/>
        <v/>
      </c>
      <c r="I138" s="18"/>
      <c r="J138" s="62"/>
      <c r="K138" s="62"/>
      <c r="L138" s="420" t="str">
        <f t="shared" si="13"/>
        <v/>
      </c>
      <c r="M138" s="401" t="str">
        <f t="shared" si="14"/>
        <v/>
      </c>
    </row>
    <row r="139" spans="2:13" x14ac:dyDescent="0.25">
      <c r="B139" s="237"/>
      <c r="C139" s="238"/>
      <c r="D139" s="394"/>
      <c r="E139" s="394"/>
      <c r="F139" s="15"/>
      <c r="G139" s="64"/>
      <c r="H139" s="17" t="str">
        <f t="shared" si="12"/>
        <v/>
      </c>
      <c r="I139" s="18"/>
      <c r="J139" s="62"/>
      <c r="K139" s="62"/>
      <c r="L139" s="420" t="str">
        <f t="shared" si="13"/>
        <v/>
      </c>
      <c r="M139" s="401" t="str">
        <f t="shared" si="14"/>
        <v/>
      </c>
    </row>
    <row r="140" spans="2:13" x14ac:dyDescent="0.25">
      <c r="B140" s="237"/>
      <c r="C140" s="238"/>
      <c r="D140" s="394"/>
      <c r="E140" s="394"/>
      <c r="F140" s="15"/>
      <c r="G140" s="64"/>
      <c r="H140" s="17" t="str">
        <f t="shared" si="12"/>
        <v/>
      </c>
      <c r="I140" s="18"/>
      <c r="J140" s="62"/>
      <c r="K140" s="62"/>
      <c r="L140" s="420" t="str">
        <f t="shared" si="13"/>
        <v/>
      </c>
      <c r="M140" s="401" t="str">
        <f t="shared" si="14"/>
        <v/>
      </c>
    </row>
    <row r="141" spans="2:13" x14ac:dyDescent="0.25">
      <c r="B141" s="237"/>
      <c r="C141" s="238"/>
      <c r="D141" s="394"/>
      <c r="E141" s="394"/>
      <c r="F141" s="15"/>
      <c r="G141" s="64"/>
      <c r="H141" s="17" t="str">
        <f t="shared" si="12"/>
        <v/>
      </c>
      <c r="I141" s="18"/>
      <c r="J141" s="62"/>
      <c r="K141" s="62"/>
      <c r="L141" s="420" t="str">
        <f t="shared" si="13"/>
        <v/>
      </c>
      <c r="M141" s="401" t="str">
        <f t="shared" si="14"/>
        <v/>
      </c>
    </row>
    <row r="142" spans="2:13" x14ac:dyDescent="0.25">
      <c r="B142" s="46"/>
      <c r="C142" s="14"/>
      <c r="D142" s="15"/>
      <c r="E142" s="15"/>
      <c r="F142" s="15"/>
      <c r="G142" s="64"/>
      <c r="H142" s="17" t="str">
        <f t="shared" si="12"/>
        <v/>
      </c>
      <c r="I142" s="18"/>
      <c r="J142" s="61"/>
      <c r="K142" s="696"/>
      <c r="L142" s="420" t="str">
        <f t="shared" si="13"/>
        <v/>
      </c>
      <c r="M142" s="401" t="str">
        <f t="shared" si="14"/>
        <v/>
      </c>
    </row>
    <row r="143" spans="2:13" s="28" customFormat="1" ht="20.149999999999999" customHeight="1" x14ac:dyDescent="0.25">
      <c r="B143" s="80" t="str">
        <f>B73</f>
        <v>C1.2</v>
      </c>
      <c r="C143" s="30" t="str">
        <f>"TOTAL CARRIED FORWARD"&amp;IF(H143=H$1," TO SUMMARY","")</f>
        <v>TOTAL CARRIED FORWARD TO SUMMARY</v>
      </c>
      <c r="D143" s="31"/>
      <c r="E143" s="31"/>
      <c r="F143" s="32"/>
      <c r="G143" s="31"/>
      <c r="H143" s="33">
        <f>SUM(H82:H142)</f>
        <v>276015</v>
      </c>
      <c r="I143" s="34"/>
      <c r="J143" s="408"/>
      <c r="K143" s="406"/>
      <c r="L143" s="418">
        <f>SUM(L82:L142)</f>
        <v>6983.9999999999991</v>
      </c>
      <c r="M143" s="407" t="str">
        <f t="shared" ref="M143" si="15">IF(J143="","",IF(SUM(H143)=0,"",L143/H143))</f>
        <v/>
      </c>
    </row>
    <row r="144" spans="2:13" ht="13" x14ac:dyDescent="0.25">
      <c r="B144" s="1108" t="str">
        <f>Client1</f>
        <v>Province of KwaZulu-Natal</v>
      </c>
      <c r="C144" s="1108"/>
      <c r="D144" s="1108"/>
      <c r="E144" s="87"/>
      <c r="F144" s="1109" t="str">
        <f>"Contract No. "&amp;ContractNo</f>
        <v>Contract No. ZNB 00399/00000/HOD/INF/21/T</v>
      </c>
      <c r="G144" s="1109"/>
      <c r="H144" s="1109"/>
    </row>
    <row r="145" spans="2:13" ht="13" x14ac:dyDescent="0.25">
      <c r="B145" s="1108" t="str">
        <f>Client2</f>
        <v>Department of Transport</v>
      </c>
      <c r="C145" s="1108"/>
      <c r="D145" s="1108"/>
      <c r="E145" s="87"/>
      <c r="F145" s="1109"/>
      <c r="G145" s="1109"/>
      <c r="H145" s="1109"/>
    </row>
    <row r="146" spans="2:13" x14ac:dyDescent="0.25">
      <c r="B146" s="1111"/>
      <c r="C146" s="1111"/>
      <c r="D146" s="1111"/>
      <c r="E146" s="78"/>
      <c r="F146" s="1110"/>
      <c r="G146" s="1110"/>
      <c r="H146" s="1110"/>
    </row>
    <row r="147" spans="2:13" ht="13" x14ac:dyDescent="0.25">
      <c r="B147" s="1112" t="s">
        <v>1773</v>
      </c>
      <c r="C147" s="1113"/>
      <c r="D147" s="1113"/>
      <c r="E147" s="1113"/>
      <c r="F147" s="1113"/>
      <c r="G147" s="1113"/>
      <c r="H147" s="1114" t="str">
        <f>$H$6</f>
        <v>CHAPTER C1.2</v>
      </c>
      <c r="I147" s="6"/>
    </row>
    <row r="148" spans="2:13" ht="33" customHeight="1" x14ac:dyDescent="0.25">
      <c r="B148" s="1117" t="str">
        <f>ContractDescription</f>
        <v>THE CONSTRUCTION OF EARTHWORKS, LAYERWORKS, SURFACING, CULVERTS AND CWAKA RIVER BRIDGE FROM KM 11.600 TO KM 14.000 ON MAIN ROAD P494 IN THE KING CETSHWAYO DISTRICT UNDER EMPANGENI REGION</v>
      </c>
      <c r="C148" s="1148"/>
      <c r="D148" s="1148"/>
      <c r="E148" s="1148"/>
      <c r="F148" s="1148"/>
      <c r="G148" s="1148"/>
      <c r="H148" s="1115"/>
      <c r="I148" s="8"/>
    </row>
    <row r="149" spans="2:13" ht="24" customHeight="1" x14ac:dyDescent="0.25">
      <c r="B149" s="1149" t="s">
        <v>1775</v>
      </c>
      <c r="C149" s="1150"/>
      <c r="D149" s="1150"/>
      <c r="E149" s="1150"/>
      <c r="F149" s="1150"/>
      <c r="G149" s="1150"/>
      <c r="H149" s="1115"/>
      <c r="I149" s="8"/>
    </row>
    <row r="150" spans="2:13" ht="13" x14ac:dyDescent="0.25">
      <c r="B150" s="611"/>
      <c r="C150" s="612"/>
      <c r="D150" s="612"/>
      <c r="E150" s="612"/>
      <c r="F150" s="612"/>
      <c r="G150" s="612"/>
      <c r="H150" s="1116"/>
      <c r="I150" s="8"/>
    </row>
    <row r="151" spans="2:13" s="9" customFormat="1" ht="25" customHeight="1" x14ac:dyDescent="0.25">
      <c r="B151" s="74" t="s">
        <v>0</v>
      </c>
      <c r="C151" s="11" t="s">
        <v>1</v>
      </c>
      <c r="D151" s="11" t="s">
        <v>2</v>
      </c>
      <c r="E151" s="11"/>
      <c r="F151" s="11" t="s">
        <v>3</v>
      </c>
      <c r="G151" s="11" t="s">
        <v>4</v>
      </c>
      <c r="H151" s="11" t="s">
        <v>5</v>
      </c>
      <c r="I151" s="12"/>
      <c r="J151" s="408" t="s">
        <v>996</v>
      </c>
      <c r="K151" s="253" t="s">
        <v>997</v>
      </c>
      <c r="L151" s="253" t="s">
        <v>998</v>
      </c>
      <c r="M151" s="253" t="s">
        <v>999</v>
      </c>
    </row>
    <row r="152" spans="2:13" s="28" customFormat="1" ht="20.149999999999999" customHeight="1" x14ac:dyDescent="0.25">
      <c r="B152" s="80"/>
      <c r="C152" s="30" t="s">
        <v>27</v>
      </c>
      <c r="D152" s="31"/>
      <c r="E152" s="31"/>
      <c r="F152" s="32"/>
      <c r="G152" s="31"/>
      <c r="H152" s="33">
        <f>H143</f>
        <v>276015</v>
      </c>
      <c r="I152" s="34"/>
      <c r="J152" s="416"/>
      <c r="K152" s="409"/>
      <c r="L152" s="419">
        <f>L143</f>
        <v>6983.9999999999991</v>
      </c>
      <c r="M152" s="410" t="str">
        <f>IF(F152="","",IF(SUM(I152)=0,"",L152/I152))</f>
        <v/>
      </c>
    </row>
    <row r="153" spans="2:13" x14ac:dyDescent="0.25">
      <c r="B153" s="75"/>
      <c r="C153" s="14"/>
      <c r="D153" s="15"/>
      <c r="E153" s="15"/>
      <c r="F153" s="15"/>
      <c r="G153" s="64"/>
      <c r="H153" s="17" t="str">
        <f t="shared" ref="H153" si="16">IF(D153="","",F153*G153)</f>
        <v/>
      </c>
      <c r="I153" s="18"/>
      <c r="J153" s="61"/>
      <c r="K153" s="399"/>
      <c r="L153" s="420" t="str">
        <f t="shared" ref="L153" si="17">IF(J153="","",F153*K153)</f>
        <v/>
      </c>
      <c r="M153" s="401" t="str">
        <f t="shared" ref="M153" si="18">IF(J153="","",IF(SUM(H153)=0,"",L153/H153))</f>
        <v/>
      </c>
    </row>
    <row r="154" spans="2:13" x14ac:dyDescent="0.25">
      <c r="B154" s="75"/>
      <c r="C154" s="14"/>
      <c r="D154" s="15"/>
      <c r="E154" s="15"/>
      <c r="F154" s="15"/>
      <c r="G154" s="64"/>
      <c r="H154" s="17" t="str">
        <f t="shared" ref="H154" si="19">IF(D154="","",F154*G154)</f>
        <v/>
      </c>
      <c r="I154" s="18"/>
      <c r="J154" s="61"/>
      <c r="K154" s="399"/>
      <c r="L154" s="420" t="str">
        <f t="shared" ref="L154" si="20">IF(J154="","",F154*K154)</f>
        <v/>
      </c>
      <c r="M154" s="401" t="str">
        <f t="shared" ref="M154:M211" si="21">IF(J154="","",IF(SUM(H154)=0,"",L154/H154))</f>
        <v/>
      </c>
    </row>
    <row r="155" spans="2:13" x14ac:dyDescent="0.25">
      <c r="B155" s="75"/>
      <c r="C155" s="14"/>
      <c r="D155" s="15"/>
      <c r="E155" s="15"/>
      <c r="F155" s="15"/>
      <c r="G155" s="64"/>
      <c r="H155" s="17" t="str">
        <f t="shared" ref="H155:H210" si="22">IF(D155="","",F155*G155)</f>
        <v/>
      </c>
      <c r="I155" s="18"/>
      <c r="J155" s="61"/>
      <c r="K155" s="399"/>
      <c r="L155" s="420" t="str">
        <f t="shared" ref="L155:L210" si="23">IF(J155="","",F155*K155)</f>
        <v/>
      </c>
      <c r="M155" s="401" t="str">
        <f t="shared" ref="M155:M210" si="24">IF(J155="","",IF(SUM(H155)=0,"",L155/H155))</f>
        <v/>
      </c>
    </row>
    <row r="156" spans="2:13" x14ac:dyDescent="0.25">
      <c r="B156" s="75"/>
      <c r="C156" s="14"/>
      <c r="D156" s="15"/>
      <c r="E156" s="15"/>
      <c r="F156" s="15"/>
      <c r="G156" s="64"/>
      <c r="H156" s="17" t="str">
        <f t="shared" si="22"/>
        <v/>
      </c>
      <c r="I156" s="18"/>
      <c r="J156" s="61"/>
      <c r="K156" s="399"/>
      <c r="L156" s="420" t="str">
        <f t="shared" si="23"/>
        <v/>
      </c>
      <c r="M156" s="401" t="str">
        <f t="shared" si="24"/>
        <v/>
      </c>
    </row>
    <row r="157" spans="2:13" x14ac:dyDescent="0.25">
      <c r="B157" s="75"/>
      <c r="C157" s="14"/>
      <c r="D157" s="15"/>
      <c r="E157" s="15"/>
      <c r="F157" s="15"/>
      <c r="G157" s="64"/>
      <c r="H157" s="17" t="str">
        <f t="shared" si="22"/>
        <v/>
      </c>
      <c r="I157" s="18"/>
      <c r="J157" s="61"/>
      <c r="K157" s="400"/>
      <c r="L157" s="420" t="str">
        <f t="shared" si="23"/>
        <v/>
      </c>
      <c r="M157" s="401" t="str">
        <f t="shared" si="24"/>
        <v/>
      </c>
    </row>
    <row r="158" spans="2:13" x14ac:dyDescent="0.25">
      <c r="B158" s="75"/>
      <c r="C158" s="14"/>
      <c r="D158" s="15"/>
      <c r="E158" s="15"/>
      <c r="F158" s="15"/>
      <c r="G158" s="64"/>
      <c r="H158" s="17" t="str">
        <f t="shared" si="22"/>
        <v/>
      </c>
      <c r="I158" s="18"/>
      <c r="J158" s="61"/>
      <c r="K158" s="399"/>
      <c r="L158" s="420" t="str">
        <f t="shared" si="23"/>
        <v/>
      </c>
      <c r="M158" s="401" t="str">
        <f t="shared" si="24"/>
        <v/>
      </c>
    </row>
    <row r="159" spans="2:13" x14ac:dyDescent="0.25">
      <c r="B159" s="75"/>
      <c r="C159" s="14"/>
      <c r="D159" s="15"/>
      <c r="E159" s="15"/>
      <c r="F159" s="15"/>
      <c r="G159" s="64"/>
      <c r="H159" s="17" t="str">
        <f t="shared" si="22"/>
        <v/>
      </c>
      <c r="I159" s="18"/>
      <c r="J159" s="61"/>
      <c r="K159" s="399"/>
      <c r="L159" s="420" t="str">
        <f t="shared" si="23"/>
        <v/>
      </c>
      <c r="M159" s="401" t="str">
        <f t="shared" si="24"/>
        <v/>
      </c>
    </row>
    <row r="160" spans="2:13" x14ac:dyDescent="0.25">
      <c r="B160" s="75"/>
      <c r="C160" s="14"/>
      <c r="D160" s="15"/>
      <c r="E160" s="15"/>
      <c r="F160" s="15"/>
      <c r="G160" s="64"/>
      <c r="H160" s="17" t="str">
        <f t="shared" si="22"/>
        <v/>
      </c>
      <c r="I160" s="18"/>
      <c r="J160" s="61"/>
      <c r="K160" s="399"/>
      <c r="L160" s="420" t="str">
        <f t="shared" si="23"/>
        <v/>
      </c>
      <c r="M160" s="401" t="str">
        <f t="shared" si="24"/>
        <v/>
      </c>
    </row>
    <row r="161" spans="2:13" x14ac:dyDescent="0.25">
      <c r="B161" s="75"/>
      <c r="C161" s="14"/>
      <c r="D161" s="15"/>
      <c r="E161" s="15"/>
      <c r="F161" s="15"/>
      <c r="G161" s="64"/>
      <c r="H161" s="17" t="str">
        <f t="shared" si="22"/>
        <v/>
      </c>
      <c r="I161" s="18"/>
      <c r="J161" s="61"/>
      <c r="K161" s="402"/>
      <c r="L161" s="420" t="str">
        <f t="shared" si="23"/>
        <v/>
      </c>
      <c r="M161" s="401" t="str">
        <f t="shared" si="24"/>
        <v/>
      </c>
    </row>
    <row r="162" spans="2:13" x14ac:dyDescent="0.25">
      <c r="B162" s="75"/>
      <c r="C162" s="14"/>
      <c r="D162" s="15"/>
      <c r="E162" s="15"/>
      <c r="F162" s="15"/>
      <c r="G162" s="64"/>
      <c r="H162" s="17" t="str">
        <f t="shared" si="22"/>
        <v/>
      </c>
      <c r="I162" s="18"/>
      <c r="J162" s="61"/>
      <c r="K162" s="402"/>
      <c r="L162" s="420" t="str">
        <f t="shared" si="23"/>
        <v/>
      </c>
      <c r="M162" s="401" t="str">
        <f t="shared" si="24"/>
        <v/>
      </c>
    </row>
    <row r="163" spans="2:13" x14ac:dyDescent="0.25">
      <c r="B163" s="75"/>
      <c r="C163" s="14"/>
      <c r="D163" s="15"/>
      <c r="E163" s="15"/>
      <c r="F163" s="15"/>
      <c r="G163" s="64"/>
      <c r="H163" s="17" t="str">
        <f t="shared" si="22"/>
        <v/>
      </c>
      <c r="I163" s="18"/>
      <c r="J163" s="61"/>
      <c r="K163" s="402"/>
      <c r="L163" s="420" t="str">
        <f t="shared" si="23"/>
        <v/>
      </c>
      <c r="M163" s="401" t="str">
        <f t="shared" si="24"/>
        <v/>
      </c>
    </row>
    <row r="164" spans="2:13" x14ac:dyDescent="0.25">
      <c r="B164" s="75"/>
      <c r="C164" s="14"/>
      <c r="D164" s="15"/>
      <c r="E164" s="15"/>
      <c r="F164" s="15"/>
      <c r="G164" s="64"/>
      <c r="H164" s="17" t="str">
        <f t="shared" si="22"/>
        <v/>
      </c>
      <c r="I164" s="18"/>
      <c r="J164" s="61"/>
      <c r="K164" s="402"/>
      <c r="L164" s="420" t="str">
        <f t="shared" si="23"/>
        <v/>
      </c>
      <c r="M164" s="401" t="str">
        <f t="shared" si="24"/>
        <v/>
      </c>
    </row>
    <row r="165" spans="2:13" x14ac:dyDescent="0.25">
      <c r="B165" s="75"/>
      <c r="C165" s="14"/>
      <c r="D165" s="15"/>
      <c r="E165" s="15"/>
      <c r="F165" s="15"/>
      <c r="G165" s="64"/>
      <c r="H165" s="17" t="str">
        <f t="shared" si="22"/>
        <v/>
      </c>
      <c r="I165" s="18"/>
      <c r="J165" s="61"/>
      <c r="K165" s="402"/>
      <c r="L165" s="420" t="str">
        <f t="shared" si="23"/>
        <v/>
      </c>
      <c r="M165" s="401" t="str">
        <f t="shared" si="24"/>
        <v/>
      </c>
    </row>
    <row r="166" spans="2:13" x14ac:dyDescent="0.25">
      <c r="B166" s="75"/>
      <c r="C166" s="14"/>
      <c r="D166" s="15"/>
      <c r="E166" s="15"/>
      <c r="F166" s="15"/>
      <c r="G166" s="64"/>
      <c r="H166" s="17" t="str">
        <f t="shared" si="22"/>
        <v/>
      </c>
      <c r="I166" s="18"/>
      <c r="J166" s="61"/>
      <c r="K166" s="402"/>
      <c r="L166" s="420" t="str">
        <f t="shared" si="23"/>
        <v/>
      </c>
      <c r="M166" s="401" t="str">
        <f t="shared" si="24"/>
        <v/>
      </c>
    </row>
    <row r="167" spans="2:13" x14ac:dyDescent="0.25">
      <c r="B167" s="75"/>
      <c r="C167" s="14"/>
      <c r="D167" s="15"/>
      <c r="E167" s="15"/>
      <c r="F167" s="15"/>
      <c r="G167" s="64"/>
      <c r="H167" s="17" t="str">
        <f t="shared" si="22"/>
        <v/>
      </c>
      <c r="I167" s="18"/>
      <c r="J167" s="61"/>
      <c r="K167" s="399"/>
      <c r="L167" s="420" t="str">
        <f t="shared" si="23"/>
        <v/>
      </c>
      <c r="M167" s="401" t="str">
        <f t="shared" si="24"/>
        <v/>
      </c>
    </row>
    <row r="168" spans="2:13" x14ac:dyDescent="0.25">
      <c r="B168" s="75"/>
      <c r="C168" s="14"/>
      <c r="D168" s="15"/>
      <c r="E168" s="15"/>
      <c r="F168" s="15"/>
      <c r="G168" s="425"/>
      <c r="H168" s="17" t="str">
        <f t="shared" si="22"/>
        <v/>
      </c>
      <c r="I168" s="18"/>
      <c r="J168" s="61"/>
      <c r="K168" s="399"/>
      <c r="L168" s="420" t="str">
        <f t="shared" si="23"/>
        <v/>
      </c>
      <c r="M168" s="401" t="str">
        <f t="shared" si="24"/>
        <v/>
      </c>
    </row>
    <row r="169" spans="2:13" x14ac:dyDescent="0.25">
      <c r="B169" s="75"/>
      <c r="C169" s="14"/>
      <c r="D169" s="15"/>
      <c r="E169" s="15"/>
      <c r="F169" s="15"/>
      <c r="G169" s="64"/>
      <c r="H169" s="17" t="str">
        <f t="shared" si="22"/>
        <v/>
      </c>
      <c r="I169" s="18"/>
      <c r="J169" s="61"/>
      <c r="K169" s="400"/>
      <c r="L169" s="420" t="str">
        <f t="shared" si="23"/>
        <v/>
      </c>
      <c r="M169" s="401" t="str">
        <f t="shared" si="24"/>
        <v/>
      </c>
    </row>
    <row r="170" spans="2:13" x14ac:dyDescent="0.25">
      <c r="B170" s="75"/>
      <c r="C170" s="14"/>
      <c r="D170" s="15"/>
      <c r="E170" s="15"/>
      <c r="F170" s="15"/>
      <c r="G170" s="64"/>
      <c r="H170" s="17" t="str">
        <f t="shared" si="22"/>
        <v/>
      </c>
      <c r="I170" s="18"/>
      <c r="J170" s="61"/>
      <c r="K170" s="399"/>
      <c r="L170" s="420" t="str">
        <f t="shared" si="23"/>
        <v/>
      </c>
      <c r="M170" s="401" t="str">
        <f t="shared" si="24"/>
        <v/>
      </c>
    </row>
    <row r="171" spans="2:13" x14ac:dyDescent="0.25">
      <c r="B171" s="75"/>
      <c r="C171" s="14"/>
      <c r="D171" s="15"/>
      <c r="E171" s="15"/>
      <c r="F171" s="15"/>
      <c r="G171" s="64"/>
      <c r="H171" s="17" t="str">
        <f t="shared" si="22"/>
        <v/>
      </c>
      <c r="I171" s="18"/>
      <c r="J171" s="61"/>
      <c r="K171" s="399"/>
      <c r="L171" s="420" t="str">
        <f t="shared" si="23"/>
        <v/>
      </c>
      <c r="M171" s="401" t="str">
        <f t="shared" si="24"/>
        <v/>
      </c>
    </row>
    <row r="172" spans="2:13" x14ac:dyDescent="0.25">
      <c r="B172" s="75"/>
      <c r="C172" s="14"/>
      <c r="D172" s="15"/>
      <c r="E172" s="15"/>
      <c r="F172" s="15"/>
      <c r="G172" s="64"/>
      <c r="H172" s="17" t="str">
        <f t="shared" si="22"/>
        <v/>
      </c>
      <c r="I172" s="18"/>
      <c r="J172" s="61"/>
      <c r="K172" s="399"/>
      <c r="L172" s="420" t="str">
        <f t="shared" si="23"/>
        <v/>
      </c>
      <c r="M172" s="401" t="str">
        <f t="shared" si="24"/>
        <v/>
      </c>
    </row>
    <row r="173" spans="2:13" x14ac:dyDescent="0.25">
      <c r="B173" s="75"/>
      <c r="C173" s="14"/>
      <c r="D173" s="15"/>
      <c r="E173" s="15"/>
      <c r="F173" s="15"/>
      <c r="G173" s="64"/>
      <c r="H173" s="17" t="str">
        <f t="shared" si="22"/>
        <v/>
      </c>
      <c r="I173" s="18"/>
      <c r="J173" s="61"/>
      <c r="K173" s="399"/>
      <c r="L173" s="420" t="str">
        <f t="shared" si="23"/>
        <v/>
      </c>
      <c r="M173" s="401" t="str">
        <f t="shared" si="24"/>
        <v/>
      </c>
    </row>
    <row r="174" spans="2:13" x14ac:dyDescent="0.25">
      <c r="B174" s="75"/>
      <c r="C174" s="14"/>
      <c r="D174" s="15"/>
      <c r="E174" s="15"/>
      <c r="F174" s="15"/>
      <c r="G174" s="64"/>
      <c r="H174" s="17" t="str">
        <f t="shared" si="22"/>
        <v/>
      </c>
      <c r="I174" s="18"/>
      <c r="J174" s="61"/>
      <c r="K174" s="399"/>
      <c r="L174" s="420" t="str">
        <f t="shared" si="23"/>
        <v/>
      </c>
      <c r="M174" s="401" t="str">
        <f t="shared" si="24"/>
        <v/>
      </c>
    </row>
    <row r="175" spans="2:13" x14ac:dyDescent="0.25">
      <c r="B175" s="75"/>
      <c r="C175" s="14"/>
      <c r="D175" s="15"/>
      <c r="E175" s="15"/>
      <c r="F175" s="15"/>
      <c r="G175" s="64"/>
      <c r="H175" s="17" t="str">
        <f t="shared" si="22"/>
        <v/>
      </c>
      <c r="I175" s="18"/>
      <c r="J175" s="61"/>
      <c r="K175" s="400"/>
      <c r="L175" s="420" t="str">
        <f t="shared" si="23"/>
        <v/>
      </c>
      <c r="M175" s="401" t="str">
        <f t="shared" si="24"/>
        <v/>
      </c>
    </row>
    <row r="176" spans="2:13" x14ac:dyDescent="0.25">
      <c r="B176" s="75"/>
      <c r="C176" s="14"/>
      <c r="D176" s="15"/>
      <c r="E176" s="15"/>
      <c r="F176" s="15"/>
      <c r="G176" s="64"/>
      <c r="H176" s="17" t="str">
        <f t="shared" si="22"/>
        <v/>
      </c>
      <c r="I176" s="18"/>
      <c r="J176" s="61"/>
      <c r="K176" s="399"/>
      <c r="L176" s="420" t="str">
        <f t="shared" si="23"/>
        <v/>
      </c>
      <c r="M176" s="401" t="str">
        <f t="shared" si="24"/>
        <v/>
      </c>
    </row>
    <row r="177" spans="2:13" x14ac:dyDescent="0.25">
      <c r="B177" s="75"/>
      <c r="C177" s="14"/>
      <c r="D177" s="15"/>
      <c r="E177" s="15"/>
      <c r="F177" s="15"/>
      <c r="G177" s="64"/>
      <c r="H177" s="17" t="str">
        <f t="shared" si="22"/>
        <v/>
      </c>
      <c r="I177" s="18"/>
      <c r="J177" s="61"/>
      <c r="K177" s="399"/>
      <c r="L177" s="420" t="str">
        <f t="shared" si="23"/>
        <v/>
      </c>
      <c r="M177" s="401" t="str">
        <f t="shared" si="24"/>
        <v/>
      </c>
    </row>
    <row r="178" spans="2:13" x14ac:dyDescent="0.25">
      <c r="B178" s="234"/>
      <c r="C178" s="234"/>
      <c r="D178" s="15"/>
      <c r="E178" s="15"/>
      <c r="F178" s="15"/>
      <c r="G178" s="64"/>
      <c r="H178" s="17" t="str">
        <f t="shared" si="22"/>
        <v/>
      </c>
      <c r="I178" s="18"/>
      <c r="J178" s="61"/>
      <c r="K178" s="399"/>
      <c r="L178" s="420" t="str">
        <f t="shared" si="23"/>
        <v/>
      </c>
      <c r="M178" s="401" t="str">
        <f t="shared" si="24"/>
        <v/>
      </c>
    </row>
    <row r="179" spans="2:13" x14ac:dyDescent="0.25">
      <c r="B179" s="75"/>
      <c r="C179" s="14"/>
      <c r="D179" s="15"/>
      <c r="E179" s="15"/>
      <c r="F179" s="15"/>
      <c r="G179" s="64"/>
      <c r="H179" s="17" t="str">
        <f t="shared" si="22"/>
        <v/>
      </c>
      <c r="I179" s="18"/>
      <c r="J179" s="61"/>
      <c r="K179" s="399"/>
      <c r="L179" s="420" t="str">
        <f t="shared" si="23"/>
        <v/>
      </c>
      <c r="M179" s="401" t="str">
        <f t="shared" si="24"/>
        <v/>
      </c>
    </row>
    <row r="180" spans="2:13" x14ac:dyDescent="0.25">
      <c r="B180" s="234"/>
      <c r="C180" s="234"/>
      <c r="D180" s="15"/>
      <c r="E180" s="15"/>
      <c r="F180" s="15"/>
      <c r="G180" s="64"/>
      <c r="H180" s="17" t="str">
        <f t="shared" si="22"/>
        <v/>
      </c>
      <c r="I180" s="18"/>
      <c r="J180" s="61"/>
      <c r="K180" s="399"/>
      <c r="L180" s="420" t="str">
        <f t="shared" si="23"/>
        <v/>
      </c>
      <c r="M180" s="401" t="str">
        <f t="shared" si="24"/>
        <v/>
      </c>
    </row>
    <row r="181" spans="2:13" x14ac:dyDescent="0.25">
      <c r="B181" s="75"/>
      <c r="C181" s="14"/>
      <c r="D181" s="15"/>
      <c r="E181" s="15"/>
      <c r="F181" s="15"/>
      <c r="G181" s="64"/>
      <c r="H181" s="17" t="str">
        <f t="shared" si="22"/>
        <v/>
      </c>
      <c r="I181" s="18"/>
      <c r="J181" s="61"/>
      <c r="K181" s="399"/>
      <c r="L181" s="420" t="str">
        <f t="shared" si="23"/>
        <v/>
      </c>
      <c r="M181" s="401" t="str">
        <f t="shared" si="24"/>
        <v/>
      </c>
    </row>
    <row r="182" spans="2:13" x14ac:dyDescent="0.25">
      <c r="B182" s="234"/>
      <c r="C182" s="235"/>
      <c r="D182" s="15"/>
      <c r="E182" s="15"/>
      <c r="F182" s="15"/>
      <c r="G182" s="425"/>
      <c r="H182" s="17" t="str">
        <f t="shared" si="22"/>
        <v/>
      </c>
      <c r="I182" s="18"/>
      <c r="J182" s="61"/>
      <c r="K182" s="399"/>
      <c r="L182" s="420" t="str">
        <f t="shared" si="23"/>
        <v/>
      </c>
      <c r="M182" s="401" t="str">
        <f t="shared" si="24"/>
        <v/>
      </c>
    </row>
    <row r="183" spans="2:13" x14ac:dyDescent="0.25">
      <c r="B183" s="75"/>
      <c r="C183" s="14"/>
      <c r="D183" s="15"/>
      <c r="E183" s="15"/>
      <c r="F183" s="15"/>
      <c r="G183" s="64"/>
      <c r="H183" s="17" t="str">
        <f t="shared" si="22"/>
        <v/>
      </c>
      <c r="I183" s="18"/>
      <c r="J183" s="61"/>
      <c r="K183" s="399"/>
      <c r="L183" s="420" t="str">
        <f t="shared" si="23"/>
        <v/>
      </c>
      <c r="M183" s="401" t="str">
        <f t="shared" si="24"/>
        <v/>
      </c>
    </row>
    <row r="184" spans="2:13" x14ac:dyDescent="0.25">
      <c r="B184" s="75"/>
      <c r="C184" s="14"/>
      <c r="D184" s="15"/>
      <c r="E184" s="15"/>
      <c r="F184" s="15"/>
      <c r="G184" s="64"/>
      <c r="H184" s="17" t="str">
        <f t="shared" si="22"/>
        <v/>
      </c>
      <c r="I184" s="18"/>
      <c r="J184" s="61"/>
      <c r="K184" s="399"/>
      <c r="L184" s="420" t="str">
        <f t="shared" si="23"/>
        <v/>
      </c>
      <c r="M184" s="401" t="str">
        <f t="shared" si="24"/>
        <v/>
      </c>
    </row>
    <row r="185" spans="2:13" x14ac:dyDescent="0.25">
      <c r="B185" s="75"/>
      <c r="C185" s="14"/>
      <c r="D185" s="15"/>
      <c r="E185" s="15"/>
      <c r="F185" s="15"/>
      <c r="G185" s="64"/>
      <c r="H185" s="17" t="str">
        <f t="shared" si="22"/>
        <v/>
      </c>
      <c r="I185" s="18"/>
      <c r="J185" s="61"/>
      <c r="K185" s="399"/>
      <c r="L185" s="420" t="str">
        <f t="shared" si="23"/>
        <v/>
      </c>
      <c r="M185" s="401" t="str">
        <f t="shared" si="24"/>
        <v/>
      </c>
    </row>
    <row r="186" spans="2:13" x14ac:dyDescent="0.25">
      <c r="B186" s="75"/>
      <c r="C186" s="14"/>
      <c r="D186" s="15"/>
      <c r="E186" s="15"/>
      <c r="F186" s="15"/>
      <c r="G186" s="64"/>
      <c r="H186" s="17" t="str">
        <f t="shared" si="22"/>
        <v/>
      </c>
      <c r="I186" s="18"/>
      <c r="J186" s="61"/>
      <c r="K186" s="399"/>
      <c r="L186" s="420" t="str">
        <f t="shared" si="23"/>
        <v/>
      </c>
      <c r="M186" s="401" t="str">
        <f t="shared" si="24"/>
        <v/>
      </c>
    </row>
    <row r="187" spans="2:13" x14ac:dyDescent="0.25">
      <c r="B187" s="75"/>
      <c r="C187" s="14"/>
      <c r="D187" s="15"/>
      <c r="E187" s="15"/>
      <c r="F187" s="15"/>
      <c r="G187" s="64"/>
      <c r="H187" s="17" t="str">
        <f t="shared" si="22"/>
        <v/>
      </c>
      <c r="I187" s="18"/>
      <c r="J187" s="61"/>
      <c r="K187" s="402"/>
      <c r="L187" s="420" t="str">
        <f t="shared" si="23"/>
        <v/>
      </c>
      <c r="M187" s="401" t="str">
        <f t="shared" si="24"/>
        <v/>
      </c>
    </row>
    <row r="188" spans="2:13" x14ac:dyDescent="0.25">
      <c r="B188" s="75"/>
      <c r="C188" s="14"/>
      <c r="D188" s="15"/>
      <c r="E188" s="15"/>
      <c r="F188" s="15"/>
      <c r="G188" s="64"/>
      <c r="H188" s="17" t="str">
        <f t="shared" si="22"/>
        <v/>
      </c>
      <c r="I188" s="18"/>
      <c r="J188" s="61"/>
      <c r="K188" s="399"/>
      <c r="L188" s="420" t="str">
        <f t="shared" si="23"/>
        <v/>
      </c>
      <c r="M188" s="401" t="str">
        <f t="shared" si="24"/>
        <v/>
      </c>
    </row>
    <row r="189" spans="2:13" x14ac:dyDescent="0.25">
      <c r="B189" s="75"/>
      <c r="C189" s="14"/>
      <c r="D189" s="15"/>
      <c r="E189" s="15"/>
      <c r="F189" s="15"/>
      <c r="G189" s="64"/>
      <c r="H189" s="17" t="str">
        <f t="shared" si="22"/>
        <v/>
      </c>
      <c r="I189" s="18"/>
      <c r="J189" s="61"/>
      <c r="K189" s="402"/>
      <c r="L189" s="420" t="str">
        <f t="shared" si="23"/>
        <v/>
      </c>
      <c r="M189" s="401" t="str">
        <f t="shared" si="24"/>
        <v/>
      </c>
    </row>
    <row r="190" spans="2:13" x14ac:dyDescent="0.25">
      <c r="B190" s="75"/>
      <c r="C190" s="14"/>
      <c r="D190" s="15"/>
      <c r="E190" s="15"/>
      <c r="F190" s="15"/>
      <c r="G190" s="64"/>
      <c r="H190" s="17" t="str">
        <f t="shared" si="22"/>
        <v/>
      </c>
      <c r="I190" s="18"/>
      <c r="J190" s="62"/>
      <c r="K190" s="62"/>
      <c r="L190" s="420" t="str">
        <f t="shared" si="23"/>
        <v/>
      </c>
      <c r="M190" s="401" t="str">
        <f t="shared" si="24"/>
        <v/>
      </c>
    </row>
    <row r="191" spans="2:13" x14ac:dyDescent="0.25">
      <c r="B191" s="75"/>
      <c r="C191" s="14"/>
      <c r="D191" s="15"/>
      <c r="E191" s="15"/>
      <c r="F191" s="15"/>
      <c r="G191" s="64"/>
      <c r="H191" s="17" t="str">
        <f t="shared" si="22"/>
        <v/>
      </c>
      <c r="I191" s="18"/>
      <c r="J191" s="62"/>
      <c r="K191" s="62"/>
      <c r="L191" s="420" t="str">
        <f t="shared" si="23"/>
        <v/>
      </c>
      <c r="M191" s="401" t="str">
        <f t="shared" si="24"/>
        <v/>
      </c>
    </row>
    <row r="192" spans="2:13" x14ac:dyDescent="0.25">
      <c r="B192" s="75"/>
      <c r="C192" s="14"/>
      <c r="D192" s="15"/>
      <c r="E192" s="15"/>
      <c r="F192" s="15"/>
      <c r="G192" s="64"/>
      <c r="H192" s="17" t="str">
        <f t="shared" si="22"/>
        <v/>
      </c>
      <c r="I192" s="18"/>
      <c r="J192" s="62"/>
      <c r="K192" s="62"/>
      <c r="L192" s="420" t="str">
        <f t="shared" si="23"/>
        <v/>
      </c>
      <c r="M192" s="401" t="str">
        <f t="shared" si="24"/>
        <v/>
      </c>
    </row>
    <row r="193" spans="2:13" x14ac:dyDescent="0.25">
      <c r="B193" s="75"/>
      <c r="C193" s="14"/>
      <c r="D193" s="15"/>
      <c r="E193" s="15"/>
      <c r="F193" s="15"/>
      <c r="G193" s="64"/>
      <c r="H193" s="17" t="str">
        <f t="shared" si="22"/>
        <v/>
      </c>
      <c r="I193" s="18"/>
      <c r="J193" s="62"/>
      <c r="K193" s="62"/>
      <c r="L193" s="420" t="str">
        <f t="shared" si="23"/>
        <v/>
      </c>
      <c r="M193" s="401" t="str">
        <f t="shared" si="24"/>
        <v/>
      </c>
    </row>
    <row r="194" spans="2:13" x14ac:dyDescent="0.25">
      <c r="B194" s="75"/>
      <c r="C194" s="14"/>
      <c r="D194" s="15"/>
      <c r="E194" s="15"/>
      <c r="F194" s="15"/>
      <c r="G194" s="64"/>
      <c r="H194" s="17" t="str">
        <f t="shared" si="22"/>
        <v/>
      </c>
      <c r="I194" s="18"/>
      <c r="J194" s="62"/>
      <c r="K194" s="62"/>
      <c r="L194" s="420" t="str">
        <f t="shared" si="23"/>
        <v/>
      </c>
      <c r="M194" s="401" t="str">
        <f t="shared" si="24"/>
        <v/>
      </c>
    </row>
    <row r="195" spans="2:13" x14ac:dyDescent="0.25">
      <c r="B195" s="75"/>
      <c r="C195" s="14"/>
      <c r="D195" s="15"/>
      <c r="E195" s="15"/>
      <c r="F195" s="15"/>
      <c r="G195" s="64"/>
      <c r="H195" s="17" t="str">
        <f t="shared" si="22"/>
        <v/>
      </c>
      <c r="I195" s="18"/>
      <c r="J195" s="62"/>
      <c r="K195" s="62"/>
      <c r="L195" s="420" t="str">
        <f t="shared" si="23"/>
        <v/>
      </c>
      <c r="M195" s="401" t="str">
        <f t="shared" si="24"/>
        <v/>
      </c>
    </row>
    <row r="196" spans="2:13" x14ac:dyDescent="0.25">
      <c r="B196" s="75"/>
      <c r="C196" s="14"/>
      <c r="D196" s="15"/>
      <c r="E196" s="15"/>
      <c r="F196" s="15"/>
      <c r="G196" s="64"/>
      <c r="H196" s="17" t="str">
        <f t="shared" si="22"/>
        <v/>
      </c>
      <c r="I196" s="18"/>
      <c r="J196" s="62"/>
      <c r="K196" s="62"/>
      <c r="L196" s="420" t="str">
        <f t="shared" si="23"/>
        <v/>
      </c>
      <c r="M196" s="401" t="str">
        <f t="shared" si="24"/>
        <v/>
      </c>
    </row>
    <row r="197" spans="2:13" x14ac:dyDescent="0.25">
      <c r="B197" s="75"/>
      <c r="C197" s="14"/>
      <c r="D197" s="15"/>
      <c r="E197" s="15"/>
      <c r="F197" s="15"/>
      <c r="G197" s="64"/>
      <c r="H197" s="17" t="str">
        <f t="shared" si="22"/>
        <v/>
      </c>
      <c r="I197" s="18"/>
      <c r="J197" s="62"/>
      <c r="K197" s="62"/>
      <c r="L197" s="420" t="str">
        <f t="shared" si="23"/>
        <v/>
      </c>
      <c r="M197" s="401" t="str">
        <f t="shared" si="24"/>
        <v/>
      </c>
    </row>
    <row r="198" spans="2:13" x14ac:dyDescent="0.25">
      <c r="B198" s="75"/>
      <c r="C198" s="14"/>
      <c r="D198" s="15"/>
      <c r="E198" s="15"/>
      <c r="F198" s="15"/>
      <c r="G198" s="64"/>
      <c r="H198" s="17" t="str">
        <f t="shared" si="22"/>
        <v/>
      </c>
      <c r="I198" s="18"/>
      <c r="J198" s="62"/>
      <c r="K198" s="62"/>
      <c r="L198" s="420" t="str">
        <f t="shared" si="23"/>
        <v/>
      </c>
      <c r="M198" s="401" t="str">
        <f t="shared" si="24"/>
        <v/>
      </c>
    </row>
    <row r="199" spans="2:13" x14ac:dyDescent="0.25">
      <c r="B199" s="75"/>
      <c r="C199" s="14"/>
      <c r="D199" s="15"/>
      <c r="E199" s="15"/>
      <c r="F199" s="15"/>
      <c r="G199" s="64"/>
      <c r="H199" s="17" t="str">
        <f t="shared" si="22"/>
        <v/>
      </c>
      <c r="I199" s="18"/>
      <c r="J199" s="62"/>
      <c r="K199" s="62"/>
      <c r="L199" s="420" t="str">
        <f t="shared" si="23"/>
        <v/>
      </c>
      <c r="M199" s="401" t="str">
        <f t="shared" si="24"/>
        <v/>
      </c>
    </row>
    <row r="200" spans="2:13" x14ac:dyDescent="0.25">
      <c r="B200" s="75"/>
      <c r="C200" s="14"/>
      <c r="D200" s="15"/>
      <c r="E200" s="15"/>
      <c r="F200" s="15"/>
      <c r="G200" s="64"/>
      <c r="H200" s="17" t="str">
        <f t="shared" si="22"/>
        <v/>
      </c>
      <c r="I200" s="18"/>
      <c r="J200" s="62"/>
      <c r="K200" s="62"/>
      <c r="L200" s="420" t="str">
        <f t="shared" si="23"/>
        <v/>
      </c>
      <c r="M200" s="401" t="str">
        <f t="shared" si="24"/>
        <v/>
      </c>
    </row>
    <row r="201" spans="2:13" x14ac:dyDescent="0.25">
      <c r="B201" s="75"/>
      <c r="C201" s="14"/>
      <c r="D201" s="15"/>
      <c r="E201" s="15"/>
      <c r="F201" s="15"/>
      <c r="G201" s="64"/>
      <c r="H201" s="17" t="str">
        <f t="shared" si="22"/>
        <v/>
      </c>
      <c r="I201" s="18"/>
      <c r="J201" s="62"/>
      <c r="K201" s="62"/>
      <c r="L201" s="420" t="str">
        <f t="shared" si="23"/>
        <v/>
      </c>
      <c r="M201" s="401" t="str">
        <f t="shared" si="24"/>
        <v/>
      </c>
    </row>
    <row r="202" spans="2:13" x14ac:dyDescent="0.25">
      <c r="B202" s="75"/>
      <c r="C202" s="14"/>
      <c r="D202" s="15"/>
      <c r="E202" s="15"/>
      <c r="F202" s="15"/>
      <c r="G202" s="64"/>
      <c r="H202" s="17" t="str">
        <f t="shared" si="22"/>
        <v/>
      </c>
      <c r="I202" s="18"/>
      <c r="J202" s="61"/>
      <c r="K202" s="62"/>
      <c r="L202" s="420" t="str">
        <f t="shared" si="23"/>
        <v/>
      </c>
      <c r="M202" s="401" t="str">
        <f t="shared" si="24"/>
        <v/>
      </c>
    </row>
    <row r="203" spans="2:13" x14ac:dyDescent="0.25">
      <c r="B203" s="75"/>
      <c r="C203" s="14"/>
      <c r="D203" s="15"/>
      <c r="E203" s="15"/>
      <c r="F203" s="15"/>
      <c r="G203" s="64"/>
      <c r="H203" s="17" t="str">
        <f t="shared" si="22"/>
        <v/>
      </c>
      <c r="I203" s="18"/>
      <c r="J203" s="62"/>
      <c r="K203" s="62"/>
      <c r="L203" s="420" t="str">
        <f t="shared" si="23"/>
        <v/>
      </c>
      <c r="M203" s="401" t="str">
        <f t="shared" si="24"/>
        <v/>
      </c>
    </row>
    <row r="204" spans="2:13" x14ac:dyDescent="0.25">
      <c r="B204" s="75"/>
      <c r="C204" s="14"/>
      <c r="D204" s="15"/>
      <c r="E204" s="15"/>
      <c r="F204" s="15"/>
      <c r="G204" s="64"/>
      <c r="H204" s="17" t="str">
        <f t="shared" si="22"/>
        <v/>
      </c>
      <c r="I204" s="18"/>
      <c r="J204" s="62"/>
      <c r="K204" s="62"/>
      <c r="L204" s="420" t="str">
        <f t="shared" si="23"/>
        <v/>
      </c>
      <c r="M204" s="401" t="str">
        <f t="shared" si="24"/>
        <v/>
      </c>
    </row>
    <row r="205" spans="2:13" x14ac:dyDescent="0.25">
      <c r="B205" s="75"/>
      <c r="C205" s="14"/>
      <c r="D205" s="15"/>
      <c r="E205" s="15"/>
      <c r="F205" s="15"/>
      <c r="G205" s="64"/>
      <c r="H205" s="17" t="str">
        <f t="shared" si="22"/>
        <v/>
      </c>
      <c r="I205" s="18"/>
      <c r="J205" s="62"/>
      <c r="K205" s="62"/>
      <c r="L205" s="420" t="str">
        <f t="shared" si="23"/>
        <v/>
      </c>
      <c r="M205" s="401" t="str">
        <f t="shared" si="24"/>
        <v/>
      </c>
    </row>
    <row r="206" spans="2:13" x14ac:dyDescent="0.25">
      <c r="B206" s="75"/>
      <c r="C206" s="14"/>
      <c r="D206" s="15"/>
      <c r="E206" s="15"/>
      <c r="F206" s="15"/>
      <c r="G206" s="64"/>
      <c r="H206" s="17" t="str">
        <f t="shared" si="22"/>
        <v/>
      </c>
      <c r="I206" s="18"/>
      <c r="J206" s="62"/>
      <c r="K206" s="62"/>
      <c r="L206" s="420" t="str">
        <f t="shared" si="23"/>
        <v/>
      </c>
      <c r="M206" s="401" t="str">
        <f t="shared" si="24"/>
        <v/>
      </c>
    </row>
    <row r="207" spans="2:13" x14ac:dyDescent="0.25">
      <c r="B207" s="75"/>
      <c r="C207" s="14"/>
      <c r="D207" s="15"/>
      <c r="E207" s="15"/>
      <c r="F207" s="15"/>
      <c r="G207" s="64"/>
      <c r="H207" s="17" t="str">
        <f t="shared" si="22"/>
        <v/>
      </c>
      <c r="I207" s="18"/>
      <c r="J207" s="62"/>
      <c r="K207" s="62"/>
      <c r="L207" s="420" t="str">
        <f t="shared" si="23"/>
        <v/>
      </c>
      <c r="M207" s="401" t="str">
        <f t="shared" si="24"/>
        <v/>
      </c>
    </row>
    <row r="208" spans="2:13" x14ac:dyDescent="0.25">
      <c r="B208" s="75"/>
      <c r="C208" s="14"/>
      <c r="D208" s="15"/>
      <c r="E208" s="15"/>
      <c r="F208" s="15"/>
      <c r="G208" s="64"/>
      <c r="H208" s="17" t="str">
        <f t="shared" si="22"/>
        <v/>
      </c>
      <c r="I208" s="18"/>
      <c r="J208" s="61"/>
      <c r="K208" s="62"/>
      <c r="L208" s="420" t="str">
        <f t="shared" si="23"/>
        <v/>
      </c>
      <c r="M208" s="401" t="str">
        <f t="shared" si="24"/>
        <v/>
      </c>
    </row>
    <row r="209" spans="2:13" x14ac:dyDescent="0.25">
      <c r="B209" s="75"/>
      <c r="C209" s="14"/>
      <c r="D209" s="15"/>
      <c r="E209" s="15"/>
      <c r="F209" s="15"/>
      <c r="G209" s="64"/>
      <c r="H209" s="17" t="str">
        <f t="shared" si="22"/>
        <v/>
      </c>
      <c r="I209" s="18"/>
      <c r="J209" s="61"/>
      <c r="K209" s="695"/>
      <c r="L209" s="420" t="str">
        <f t="shared" si="23"/>
        <v/>
      </c>
      <c r="M209" s="401" t="str">
        <f t="shared" si="24"/>
        <v/>
      </c>
    </row>
    <row r="210" spans="2:13" x14ac:dyDescent="0.25">
      <c r="B210" s="75"/>
      <c r="C210" s="14"/>
      <c r="D210" s="15"/>
      <c r="E210" s="15"/>
      <c r="F210" s="15"/>
      <c r="G210" s="64"/>
      <c r="H210" s="17" t="str">
        <f t="shared" si="22"/>
        <v/>
      </c>
      <c r="I210" s="18"/>
      <c r="J210" s="61"/>
      <c r="K210" s="696"/>
      <c r="L210" s="420" t="str">
        <f t="shared" si="23"/>
        <v/>
      </c>
      <c r="M210" s="401" t="str">
        <f t="shared" si="24"/>
        <v/>
      </c>
    </row>
    <row r="211" spans="2:13" s="28" customFormat="1" ht="25" customHeight="1" x14ac:dyDescent="0.25">
      <c r="B211" s="29" t="str">
        <f>B12</f>
        <v>C1.2</v>
      </c>
      <c r="C211" s="30" t="str">
        <f>"TOTAL CARRIED FORWARD"&amp;IF(H211=H$1," TO SUMMARY","")</f>
        <v>TOTAL CARRIED FORWARD TO SUMMARY</v>
      </c>
      <c r="D211" s="31"/>
      <c r="E211" s="31"/>
      <c r="F211" s="32"/>
      <c r="G211" s="31"/>
      <c r="H211" s="33">
        <f>SUM(H152:H210)</f>
        <v>276015</v>
      </c>
      <c r="I211" s="34"/>
      <c r="J211" s="408"/>
      <c r="K211" s="406"/>
      <c r="L211" s="418">
        <f>SUM(L152:L210)</f>
        <v>6983.9999999999991</v>
      </c>
      <c r="M211" s="407" t="str">
        <f t="shared" si="21"/>
        <v/>
      </c>
    </row>
  </sheetData>
  <mergeCells count="24">
    <mergeCell ref="B3:D3"/>
    <mergeCell ref="F3:H5"/>
    <mergeCell ref="B4:D4"/>
    <mergeCell ref="B5:D5"/>
    <mergeCell ref="B6:G6"/>
    <mergeCell ref="H6:H9"/>
    <mergeCell ref="B7:G7"/>
    <mergeCell ref="B8:G8"/>
    <mergeCell ref="B74:D74"/>
    <mergeCell ref="F74:H76"/>
    <mergeCell ref="B75:D75"/>
    <mergeCell ref="B76:D76"/>
    <mergeCell ref="B77:G77"/>
    <mergeCell ref="H77:H80"/>
    <mergeCell ref="B78:G78"/>
    <mergeCell ref="B79:G79"/>
    <mergeCell ref="B144:D144"/>
    <mergeCell ref="F144:H146"/>
    <mergeCell ref="B145:D145"/>
    <mergeCell ref="B146:D146"/>
    <mergeCell ref="B147:G147"/>
    <mergeCell ref="H147:H150"/>
    <mergeCell ref="B148:G148"/>
    <mergeCell ref="B149:G149"/>
  </mergeCells>
  <conditionalFormatting sqref="G11:H73 G82:H143 G152:H211">
    <cfRule type="expression" dxfId="14" priority="1">
      <formula>_Show_Price=FALSE</formula>
    </cfRule>
  </conditionalFormatting>
  <pageMargins left="0.43307086614173229" right="0.31496062992125984" top="0.43307086614173229" bottom="0.62992125984251968" header="0.35433070866141736" footer="0.31496062992125984"/>
  <pageSetup paperSize="9" scale="77" firstPageNumber="31"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2" manualBreakCount="2">
    <brk id="73" max="7" man="1"/>
    <brk id="14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8">
    <tabColor rgb="FFFFFF00"/>
  </sheetPr>
  <dimension ref="A1:R74"/>
  <sheetViews>
    <sheetView view="pageBreakPreview"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2.81640625" style="1" customWidth="1"/>
    <col min="12" max="12" width="14.1796875" style="1" customWidth="1"/>
    <col min="13" max="14" width="14.7265625" style="1" customWidth="1"/>
    <col min="15" max="16384" width="6.81640625" style="1"/>
  </cols>
  <sheetData>
    <row r="1" spans="1:18" s="242" customFormat="1" ht="11.5" x14ac:dyDescent="0.25">
      <c r="B1" s="243"/>
      <c r="C1" s="244" t="s">
        <v>993</v>
      </c>
      <c r="D1" s="245"/>
      <c r="E1" s="245"/>
      <c r="F1" s="246" t="s">
        <v>994</v>
      </c>
      <c r="G1" s="244">
        <v>1</v>
      </c>
      <c r="H1" s="247">
        <f>MAX(H2:H74)</f>
        <v>840000</v>
      </c>
      <c r="I1" s="247">
        <f>MAX(I2:I208)</f>
        <v>0</v>
      </c>
      <c r="J1" s="248"/>
      <c r="K1" s="247">
        <f>MAX(K2:K74)</f>
        <v>0</v>
      </c>
      <c r="L1" s="249">
        <f>MAX(L2:L208)</f>
        <v>0</v>
      </c>
      <c r="M1" s="249"/>
      <c r="N1" s="250"/>
      <c r="O1" s="256"/>
      <c r="P1" s="257" t="s">
        <v>1001</v>
      </c>
      <c r="Q1" s="255">
        <f>K1</f>
        <v>0</v>
      </c>
      <c r="R1" s="256"/>
    </row>
    <row r="2" spans="1:18" s="242" customFormat="1" ht="11.5" x14ac:dyDescent="0.25">
      <c r="A2" s="250"/>
      <c r="B2" s="251" t="s">
        <v>995</v>
      </c>
      <c r="C2" s="252" t="s">
        <v>1</v>
      </c>
      <c r="D2" s="252" t="s">
        <v>2</v>
      </c>
      <c r="E2" s="252" t="s">
        <v>996</v>
      </c>
      <c r="F2" s="252" t="s">
        <v>3</v>
      </c>
      <c r="G2" s="252" t="s">
        <v>4</v>
      </c>
      <c r="H2" s="252" t="s">
        <v>5</v>
      </c>
      <c r="I2" s="254"/>
      <c r="J2" s="398" t="s">
        <v>996</v>
      </c>
      <c r="K2" s="253" t="s">
        <v>997</v>
      </c>
      <c r="L2" s="253" t="s">
        <v>998</v>
      </c>
      <c r="M2" s="253" t="s">
        <v>999</v>
      </c>
      <c r="N2" s="253" t="s">
        <v>1000</v>
      </c>
      <c r="O2" s="256"/>
      <c r="P2" s="256"/>
      <c r="Q2" s="256"/>
      <c r="R2" s="256"/>
    </row>
    <row r="3" spans="1:18" ht="13" x14ac:dyDescent="0.25">
      <c r="B3" s="2" t="str">
        <f>Client1</f>
        <v>Province of KwaZulu-Natal</v>
      </c>
      <c r="F3" s="1124" t="str">
        <f>"Contract No. "&amp;ContractNo</f>
        <v>Contract No. ZNB 00399/00000/HOD/INF/21/T</v>
      </c>
      <c r="G3" s="1124"/>
      <c r="H3" s="1124"/>
    </row>
    <row r="4" spans="1:18" ht="13" x14ac:dyDescent="0.25">
      <c r="B4" s="87" t="str">
        <f>Client2</f>
        <v>Department of Transport</v>
      </c>
    </row>
    <row r="5" spans="1:18" x14ac:dyDescent="0.25">
      <c r="B5" s="77"/>
      <c r="C5" s="77"/>
      <c r="D5" s="78"/>
      <c r="E5" s="78"/>
      <c r="F5" s="78"/>
      <c r="G5" s="79"/>
      <c r="H5" s="89"/>
    </row>
    <row r="6" spans="1:18" ht="13" x14ac:dyDescent="0.25">
      <c r="B6" s="1112" t="s">
        <v>1773</v>
      </c>
      <c r="C6" s="1113"/>
      <c r="D6" s="1113"/>
      <c r="E6" s="1113"/>
      <c r="F6" s="1113"/>
      <c r="G6" s="1113"/>
      <c r="H6" s="1121" t="str">
        <f>"CHAPTER "&amp;B12</f>
        <v>CHAPTER C1.3</v>
      </c>
      <c r="I6" s="6"/>
    </row>
    <row r="7" spans="1:18" ht="38.2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8" ht="28.5" customHeight="1" x14ac:dyDescent="0.25">
      <c r="B8" s="1152" t="s">
        <v>1775</v>
      </c>
      <c r="C8" s="1153"/>
      <c r="D8" s="1153"/>
      <c r="E8" s="1153"/>
      <c r="F8" s="1153"/>
      <c r="G8" s="1153"/>
      <c r="H8" s="1122"/>
      <c r="I8" s="8"/>
    </row>
    <row r="9" spans="1:18" ht="7.5" customHeight="1" x14ac:dyDescent="0.25">
      <c r="B9" s="611"/>
      <c r="C9" s="612"/>
      <c r="D9" s="612"/>
      <c r="E9" s="612"/>
      <c r="F9" s="612"/>
      <c r="G9" s="612"/>
      <c r="H9" s="1123"/>
      <c r="I9" s="8"/>
    </row>
    <row r="10" spans="1:18"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8" x14ac:dyDescent="0.25">
      <c r="B11" s="58"/>
      <c r="C11" s="65"/>
      <c r="D11" s="15"/>
      <c r="E11" s="15"/>
      <c r="F11" s="580"/>
      <c r="G11" s="411"/>
      <c r="H11" s="17" t="str">
        <f t="shared" ref="H11" si="0">IF(D11="","",F11*G11)</f>
        <v/>
      </c>
      <c r="I11" s="18"/>
      <c r="J11" s="61"/>
      <c r="K11" s="399"/>
      <c r="L11" s="420" t="str">
        <f t="shared" ref="L11" si="1">IF(J11="","",F11*K11)</f>
        <v/>
      </c>
      <c r="M11" s="401" t="str">
        <f t="shared" ref="M11" si="2">IF(J11="","",IF(SUM(H11)=0,"",L11/H11))</f>
        <v/>
      </c>
    </row>
    <row r="12" spans="1:18" ht="26" x14ac:dyDescent="0.25">
      <c r="B12" s="146" t="s">
        <v>53</v>
      </c>
      <c r="C12" s="672" t="s">
        <v>54</v>
      </c>
      <c r="D12" s="15"/>
      <c r="E12" s="15"/>
      <c r="F12" s="580"/>
      <c r="G12" s="411"/>
      <c r="H12" s="17" t="str">
        <f t="shared" ref="H12:H73" si="3">IF(D12="","",F12*G12)</f>
        <v/>
      </c>
      <c r="I12" s="18"/>
      <c r="J12" s="61"/>
      <c r="K12" s="399"/>
      <c r="L12" s="420" t="str">
        <f t="shared" ref="L12:L73" si="4">IF(J12="","",F12*K12)</f>
        <v/>
      </c>
      <c r="M12" s="401" t="str">
        <f t="shared" ref="M12:M73" si="5">IF(J12="","",IF(SUM(H12)=0,"",L12/H12))</f>
        <v/>
      </c>
    </row>
    <row r="13" spans="1:18" x14ac:dyDescent="0.25">
      <c r="B13" s="58"/>
      <c r="C13" s="65"/>
      <c r="D13" s="15"/>
      <c r="E13" s="15"/>
      <c r="F13" s="580"/>
      <c r="G13" s="411"/>
      <c r="H13" s="17" t="str">
        <f t="shared" si="3"/>
        <v/>
      </c>
      <c r="I13" s="18"/>
      <c r="J13" s="61"/>
      <c r="K13" s="399"/>
      <c r="L13" s="420" t="str">
        <f t="shared" si="4"/>
        <v/>
      </c>
      <c r="M13" s="401" t="str">
        <f t="shared" si="5"/>
        <v/>
      </c>
    </row>
    <row r="14" spans="1:18" ht="13" x14ac:dyDescent="0.25">
      <c r="B14" s="146" t="s">
        <v>1864</v>
      </c>
      <c r="C14" s="672" t="s">
        <v>55</v>
      </c>
      <c r="D14" s="15"/>
      <c r="E14" s="15"/>
      <c r="F14" s="580"/>
      <c r="G14" s="411"/>
      <c r="H14" s="17" t="str">
        <f t="shared" si="3"/>
        <v/>
      </c>
      <c r="I14" s="18"/>
      <c r="J14" s="61"/>
      <c r="K14" s="399"/>
      <c r="L14" s="420" t="str">
        <f t="shared" si="4"/>
        <v/>
      </c>
      <c r="M14" s="401" t="str">
        <f t="shared" si="5"/>
        <v/>
      </c>
    </row>
    <row r="15" spans="1:18" x14ac:dyDescent="0.25">
      <c r="B15" s="58"/>
      <c r="C15" s="65"/>
      <c r="D15" s="15"/>
      <c r="E15" s="15"/>
      <c r="F15" s="580"/>
      <c r="G15" s="411"/>
      <c r="H15" s="17" t="str">
        <f t="shared" si="3"/>
        <v/>
      </c>
      <c r="I15" s="18"/>
      <c r="J15" s="61"/>
      <c r="K15" s="399"/>
      <c r="L15" s="420" t="str">
        <f t="shared" si="4"/>
        <v/>
      </c>
      <c r="M15" s="401" t="str">
        <f t="shared" si="5"/>
        <v/>
      </c>
    </row>
    <row r="16" spans="1:18" x14ac:dyDescent="0.25">
      <c r="B16" s="58" t="s">
        <v>56</v>
      </c>
      <c r="C16" s="65" t="s">
        <v>58</v>
      </c>
      <c r="D16" s="15" t="s">
        <v>11</v>
      </c>
      <c r="E16" s="15"/>
      <c r="F16" s="24">
        <v>1</v>
      </c>
      <c r="G16" s="422">
        <v>90000</v>
      </c>
      <c r="H16" s="17">
        <f t="shared" si="3"/>
        <v>90000</v>
      </c>
      <c r="I16" s="57"/>
      <c r="J16" s="61"/>
      <c r="K16" s="400"/>
      <c r="L16" s="420" t="str">
        <f t="shared" si="4"/>
        <v/>
      </c>
      <c r="M16" s="401" t="str">
        <f t="shared" si="5"/>
        <v/>
      </c>
    </row>
    <row r="17" spans="2:13" x14ac:dyDescent="0.25">
      <c r="B17" s="58"/>
      <c r="C17" s="65"/>
      <c r="D17" s="15"/>
      <c r="E17" s="15"/>
      <c r="F17" s="24"/>
      <c r="G17" s="422"/>
      <c r="H17" s="17" t="str">
        <f t="shared" si="3"/>
        <v/>
      </c>
      <c r="I17" s="57"/>
      <c r="J17" s="61"/>
      <c r="K17" s="399"/>
      <c r="L17" s="420" t="str">
        <f t="shared" si="4"/>
        <v/>
      </c>
      <c r="M17" s="401" t="str">
        <f t="shared" si="5"/>
        <v/>
      </c>
    </row>
    <row r="18" spans="2:13" x14ac:dyDescent="0.25">
      <c r="B18" s="58" t="s">
        <v>57</v>
      </c>
      <c r="C18" s="65" t="s">
        <v>59</v>
      </c>
      <c r="D18" s="15" t="s">
        <v>18</v>
      </c>
      <c r="E18" s="15"/>
      <c r="F18" s="24">
        <v>15</v>
      </c>
      <c r="G18" s="422">
        <v>50000</v>
      </c>
      <c r="H18" s="17">
        <f t="shared" si="3"/>
        <v>750000</v>
      </c>
      <c r="I18" s="57"/>
      <c r="J18" s="61"/>
      <c r="K18" s="399"/>
      <c r="L18" s="420" t="str">
        <f t="shared" si="4"/>
        <v/>
      </c>
      <c r="M18" s="401" t="str">
        <f t="shared" si="5"/>
        <v/>
      </c>
    </row>
    <row r="19" spans="2:13" x14ac:dyDescent="0.25">
      <c r="B19" s="58"/>
      <c r="C19" s="65"/>
      <c r="D19" s="15"/>
      <c r="E19" s="15"/>
      <c r="F19" s="24"/>
      <c r="G19" s="411"/>
      <c r="H19" s="17" t="str">
        <f t="shared" si="3"/>
        <v/>
      </c>
      <c r="I19" s="57"/>
      <c r="J19" s="61"/>
      <c r="K19" s="399"/>
      <c r="L19" s="420" t="str">
        <f t="shared" si="4"/>
        <v/>
      </c>
      <c r="M19" s="401" t="str">
        <f t="shared" si="5"/>
        <v/>
      </c>
    </row>
    <row r="20" spans="2:13" x14ac:dyDescent="0.25">
      <c r="B20" s="58"/>
      <c r="C20" s="65"/>
      <c r="D20" s="15"/>
      <c r="E20" s="15"/>
      <c r="F20" s="24"/>
      <c r="G20" s="422"/>
      <c r="H20" s="17" t="str">
        <f t="shared" si="3"/>
        <v/>
      </c>
      <c r="I20" s="57"/>
      <c r="J20" s="61"/>
      <c r="K20" s="402"/>
      <c r="L20" s="420" t="str">
        <f t="shared" si="4"/>
        <v/>
      </c>
      <c r="M20" s="401" t="str">
        <f t="shared" si="5"/>
        <v/>
      </c>
    </row>
    <row r="21" spans="2:13" x14ac:dyDescent="0.25">
      <c r="B21" s="58"/>
      <c r="C21" s="65"/>
      <c r="D21" s="15"/>
      <c r="E21" s="15"/>
      <c r="F21" s="24"/>
      <c r="G21" s="411"/>
      <c r="H21" s="17" t="str">
        <f t="shared" si="3"/>
        <v/>
      </c>
      <c r="I21" s="18"/>
      <c r="J21" s="61"/>
      <c r="K21" s="402"/>
      <c r="L21" s="420" t="str">
        <f t="shared" si="4"/>
        <v/>
      </c>
      <c r="M21" s="401" t="str">
        <f t="shared" si="5"/>
        <v/>
      </c>
    </row>
    <row r="22" spans="2:13" x14ac:dyDescent="0.25">
      <c r="B22" s="58"/>
      <c r="C22" s="65"/>
      <c r="D22" s="15"/>
      <c r="E22" s="15"/>
      <c r="F22" s="24"/>
      <c r="G22" s="422"/>
      <c r="H22" s="17" t="str">
        <f t="shared" si="3"/>
        <v/>
      </c>
      <c r="I22" s="18"/>
      <c r="J22" s="61"/>
      <c r="K22" s="402"/>
      <c r="L22" s="420" t="str">
        <f t="shared" si="4"/>
        <v/>
      </c>
      <c r="M22" s="401" t="str">
        <f t="shared" si="5"/>
        <v/>
      </c>
    </row>
    <row r="23" spans="2:13" x14ac:dyDescent="0.25">
      <c r="B23" s="58"/>
      <c r="C23" s="65"/>
      <c r="D23" s="15"/>
      <c r="E23" s="15"/>
      <c r="F23" s="24"/>
      <c r="G23" s="411"/>
      <c r="H23" s="17" t="str">
        <f t="shared" si="3"/>
        <v/>
      </c>
      <c r="I23" s="60"/>
      <c r="J23" s="61"/>
      <c r="K23" s="402"/>
      <c r="L23" s="420" t="str">
        <f t="shared" si="4"/>
        <v/>
      </c>
      <c r="M23" s="401" t="str">
        <f t="shared" si="5"/>
        <v/>
      </c>
    </row>
    <row r="24" spans="2:13" x14ac:dyDescent="0.25">
      <c r="B24" s="58"/>
      <c r="C24" s="65"/>
      <c r="D24" s="15"/>
      <c r="E24" s="15"/>
      <c r="F24" s="580"/>
      <c r="G24" s="422"/>
      <c r="H24" s="17" t="str">
        <f t="shared" si="3"/>
        <v/>
      </c>
      <c r="I24" s="18"/>
      <c r="J24" s="61"/>
      <c r="K24" s="402"/>
      <c r="L24" s="420" t="str">
        <f t="shared" si="4"/>
        <v/>
      </c>
      <c r="M24" s="401" t="str">
        <f t="shared" si="5"/>
        <v/>
      </c>
    </row>
    <row r="25" spans="2:13" x14ac:dyDescent="0.25">
      <c r="B25" s="58"/>
      <c r="C25" s="65"/>
      <c r="D25" s="15"/>
      <c r="E25" s="15"/>
      <c r="F25" s="580"/>
      <c r="G25" s="422"/>
      <c r="H25" s="17" t="str">
        <f t="shared" si="3"/>
        <v/>
      </c>
      <c r="I25" s="18"/>
      <c r="J25" s="61"/>
      <c r="K25" s="402"/>
      <c r="L25" s="420" t="str">
        <f t="shared" si="4"/>
        <v/>
      </c>
      <c r="M25" s="401" t="str">
        <f t="shared" si="5"/>
        <v/>
      </c>
    </row>
    <row r="26" spans="2:13" x14ac:dyDescent="0.25">
      <c r="B26" s="58"/>
      <c r="C26" s="65"/>
      <c r="D26" s="15"/>
      <c r="E26" s="15"/>
      <c r="F26" s="580"/>
      <c r="G26" s="422"/>
      <c r="H26" s="17" t="str">
        <f t="shared" si="3"/>
        <v/>
      </c>
      <c r="I26" s="18"/>
      <c r="J26" s="61"/>
      <c r="K26" s="399"/>
      <c r="L26" s="420" t="str">
        <f t="shared" si="4"/>
        <v/>
      </c>
      <c r="M26" s="401" t="str">
        <f t="shared" si="5"/>
        <v/>
      </c>
    </row>
    <row r="27" spans="2:13" x14ac:dyDescent="0.25">
      <c r="B27" s="58"/>
      <c r="C27" s="65"/>
      <c r="D27" s="15"/>
      <c r="E27" s="15"/>
      <c r="F27" s="580"/>
      <c r="G27" s="422"/>
      <c r="H27" s="17" t="str">
        <f t="shared" si="3"/>
        <v/>
      </c>
      <c r="I27" s="18"/>
      <c r="J27" s="61"/>
      <c r="K27" s="399"/>
      <c r="L27" s="420" t="str">
        <f t="shared" si="4"/>
        <v/>
      </c>
      <c r="M27" s="401" t="str">
        <f t="shared" si="5"/>
        <v/>
      </c>
    </row>
    <row r="28" spans="2:13" x14ac:dyDescent="0.25">
      <c r="B28" s="58"/>
      <c r="C28" s="65"/>
      <c r="D28" s="15"/>
      <c r="E28" s="15"/>
      <c r="F28" s="580"/>
      <c r="G28" s="422"/>
      <c r="H28" s="17" t="str">
        <f t="shared" si="3"/>
        <v/>
      </c>
      <c r="I28" s="18"/>
      <c r="J28" s="61"/>
      <c r="K28" s="400"/>
      <c r="L28" s="420" t="str">
        <f t="shared" si="4"/>
        <v/>
      </c>
      <c r="M28" s="401" t="str">
        <f t="shared" si="5"/>
        <v/>
      </c>
    </row>
    <row r="29" spans="2:13" x14ac:dyDescent="0.25">
      <c r="B29" s="58"/>
      <c r="C29" s="65"/>
      <c r="D29" s="15"/>
      <c r="E29" s="15"/>
      <c r="F29" s="580"/>
      <c r="G29" s="422"/>
      <c r="H29" s="17" t="str">
        <f t="shared" si="3"/>
        <v/>
      </c>
      <c r="I29" s="18"/>
      <c r="J29" s="61"/>
      <c r="K29" s="399"/>
      <c r="L29" s="420" t="str">
        <f t="shared" si="4"/>
        <v/>
      </c>
      <c r="M29" s="401" t="str">
        <f t="shared" si="5"/>
        <v/>
      </c>
    </row>
    <row r="30" spans="2:13" x14ac:dyDescent="0.25">
      <c r="B30" s="58"/>
      <c r="C30" s="65"/>
      <c r="D30" s="15"/>
      <c r="E30" s="15"/>
      <c r="F30" s="580"/>
      <c r="G30" s="422"/>
      <c r="H30" s="17" t="str">
        <f t="shared" si="3"/>
        <v/>
      </c>
      <c r="I30" s="18"/>
      <c r="J30" s="61"/>
      <c r="K30" s="399"/>
      <c r="L30" s="420" t="str">
        <f t="shared" si="4"/>
        <v/>
      </c>
      <c r="M30" s="401" t="str">
        <f t="shared" si="5"/>
        <v/>
      </c>
    </row>
    <row r="31" spans="2:13" x14ac:dyDescent="0.25">
      <c r="B31" s="58"/>
      <c r="C31" s="65"/>
      <c r="D31" s="15"/>
      <c r="E31" s="15"/>
      <c r="F31" s="580"/>
      <c r="G31" s="422"/>
      <c r="H31" s="17" t="str">
        <f t="shared" si="3"/>
        <v/>
      </c>
      <c r="I31" s="18"/>
      <c r="J31" s="61"/>
      <c r="K31" s="399"/>
      <c r="L31" s="420" t="str">
        <f t="shared" si="4"/>
        <v/>
      </c>
      <c r="M31" s="401" t="str">
        <f t="shared" si="5"/>
        <v/>
      </c>
    </row>
    <row r="32" spans="2:13" x14ac:dyDescent="0.25">
      <c r="B32" s="58"/>
      <c r="C32" s="65"/>
      <c r="D32" s="15"/>
      <c r="E32" s="15"/>
      <c r="F32" s="580"/>
      <c r="G32" s="422"/>
      <c r="H32" s="17" t="str">
        <f t="shared" si="3"/>
        <v/>
      </c>
      <c r="I32" s="18"/>
      <c r="J32" s="61"/>
      <c r="K32" s="399"/>
      <c r="L32" s="420" t="str">
        <f t="shared" si="4"/>
        <v/>
      </c>
      <c r="M32" s="401" t="str">
        <f t="shared" si="5"/>
        <v/>
      </c>
    </row>
    <row r="33" spans="2:13" x14ac:dyDescent="0.25">
      <c r="B33" s="58"/>
      <c r="C33" s="65"/>
      <c r="D33" s="15"/>
      <c r="E33" s="15"/>
      <c r="F33" s="580"/>
      <c r="G33" s="422"/>
      <c r="H33" s="17" t="str">
        <f t="shared" si="3"/>
        <v/>
      </c>
      <c r="I33" s="18"/>
      <c r="J33" s="61"/>
      <c r="K33" s="399"/>
      <c r="L33" s="420" t="str">
        <f t="shared" si="4"/>
        <v/>
      </c>
      <c r="M33" s="401" t="str">
        <f t="shared" si="5"/>
        <v/>
      </c>
    </row>
    <row r="34" spans="2:13" x14ac:dyDescent="0.25">
      <c r="B34" s="58"/>
      <c r="C34" s="65"/>
      <c r="D34" s="15"/>
      <c r="E34" s="15"/>
      <c r="F34" s="580"/>
      <c r="G34" s="422"/>
      <c r="H34" s="17" t="str">
        <f t="shared" si="3"/>
        <v/>
      </c>
      <c r="I34" s="18"/>
      <c r="J34" s="61"/>
      <c r="K34" s="400"/>
      <c r="L34" s="420" t="str">
        <f t="shared" si="4"/>
        <v/>
      </c>
      <c r="M34" s="401" t="str">
        <f t="shared" si="5"/>
        <v/>
      </c>
    </row>
    <row r="35" spans="2:13" x14ac:dyDescent="0.25">
      <c r="B35" s="58"/>
      <c r="C35" s="65"/>
      <c r="D35" s="15"/>
      <c r="E35" s="15"/>
      <c r="F35" s="580"/>
      <c r="G35" s="422"/>
      <c r="H35" s="17" t="str">
        <f t="shared" si="3"/>
        <v/>
      </c>
      <c r="I35" s="18"/>
      <c r="J35" s="61"/>
      <c r="K35" s="399"/>
      <c r="L35" s="420" t="str">
        <f t="shared" si="4"/>
        <v/>
      </c>
      <c r="M35" s="401" t="str">
        <f t="shared" si="5"/>
        <v/>
      </c>
    </row>
    <row r="36" spans="2:13" x14ac:dyDescent="0.25">
      <c r="B36" s="58"/>
      <c r="C36" s="65"/>
      <c r="D36" s="15"/>
      <c r="E36" s="15"/>
      <c r="F36" s="580"/>
      <c r="G36" s="422"/>
      <c r="H36" s="17" t="str">
        <f t="shared" si="3"/>
        <v/>
      </c>
      <c r="I36" s="18"/>
      <c r="J36" s="61"/>
      <c r="K36" s="399"/>
      <c r="L36" s="420" t="str">
        <f t="shared" si="4"/>
        <v/>
      </c>
      <c r="M36" s="401" t="str">
        <f t="shared" si="5"/>
        <v/>
      </c>
    </row>
    <row r="37" spans="2:13" x14ac:dyDescent="0.25">
      <c r="B37" s="58"/>
      <c r="C37" s="65"/>
      <c r="D37" s="15"/>
      <c r="E37" s="15"/>
      <c r="F37" s="580"/>
      <c r="G37" s="422"/>
      <c r="H37" s="17" t="str">
        <f t="shared" si="3"/>
        <v/>
      </c>
      <c r="I37" s="18"/>
      <c r="J37" s="61"/>
      <c r="K37" s="399"/>
      <c r="L37" s="420" t="str">
        <f t="shared" si="4"/>
        <v/>
      </c>
      <c r="M37" s="401" t="str">
        <f t="shared" si="5"/>
        <v/>
      </c>
    </row>
    <row r="38" spans="2:13" x14ac:dyDescent="0.25">
      <c r="B38" s="58"/>
      <c r="C38" s="65"/>
      <c r="D38" s="15"/>
      <c r="E38" s="15"/>
      <c r="F38" s="580"/>
      <c r="G38" s="422"/>
      <c r="H38" s="17" t="str">
        <f t="shared" si="3"/>
        <v/>
      </c>
      <c r="I38" s="18"/>
      <c r="J38" s="61"/>
      <c r="K38" s="399"/>
      <c r="L38" s="420" t="str">
        <f t="shared" si="4"/>
        <v/>
      </c>
      <c r="M38" s="401" t="str">
        <f t="shared" si="5"/>
        <v/>
      </c>
    </row>
    <row r="39" spans="2:13" x14ac:dyDescent="0.25">
      <c r="B39" s="58"/>
      <c r="C39" s="65"/>
      <c r="D39" s="15"/>
      <c r="E39" s="15"/>
      <c r="F39" s="580"/>
      <c r="G39" s="422"/>
      <c r="H39" s="17" t="str">
        <f t="shared" si="3"/>
        <v/>
      </c>
      <c r="I39" s="18"/>
      <c r="J39" s="61"/>
      <c r="K39" s="399"/>
      <c r="L39" s="420" t="str">
        <f t="shared" si="4"/>
        <v/>
      </c>
      <c r="M39" s="401" t="str">
        <f t="shared" si="5"/>
        <v/>
      </c>
    </row>
    <row r="40" spans="2:13" x14ac:dyDescent="0.25">
      <c r="B40" s="58"/>
      <c r="C40" s="65"/>
      <c r="D40" s="15"/>
      <c r="E40" s="15"/>
      <c r="F40" s="580"/>
      <c r="G40" s="422"/>
      <c r="H40" s="17" t="str">
        <f t="shared" si="3"/>
        <v/>
      </c>
      <c r="I40" s="18"/>
      <c r="J40" s="61"/>
      <c r="K40" s="399"/>
      <c r="L40" s="420" t="str">
        <f t="shared" si="4"/>
        <v/>
      </c>
      <c r="M40" s="401" t="str">
        <f t="shared" si="5"/>
        <v/>
      </c>
    </row>
    <row r="41" spans="2:13" x14ac:dyDescent="0.25">
      <c r="B41" s="58"/>
      <c r="C41" s="65"/>
      <c r="D41" s="15"/>
      <c r="E41" s="15"/>
      <c r="F41" s="580"/>
      <c r="G41" s="422"/>
      <c r="H41" s="17" t="str">
        <f t="shared" si="3"/>
        <v/>
      </c>
      <c r="I41" s="18"/>
      <c r="J41" s="61"/>
      <c r="K41" s="399"/>
      <c r="L41" s="420" t="str">
        <f t="shared" si="4"/>
        <v/>
      </c>
      <c r="M41" s="401" t="str">
        <f t="shared" si="5"/>
        <v/>
      </c>
    </row>
    <row r="42" spans="2:13" x14ac:dyDescent="0.25">
      <c r="B42" s="58"/>
      <c r="C42" s="65"/>
      <c r="D42" s="15"/>
      <c r="E42" s="15"/>
      <c r="F42" s="580"/>
      <c r="G42" s="422"/>
      <c r="H42" s="17" t="str">
        <f t="shared" si="3"/>
        <v/>
      </c>
      <c r="I42" s="18"/>
      <c r="J42" s="61"/>
      <c r="K42" s="399"/>
      <c r="L42" s="420" t="str">
        <f t="shared" si="4"/>
        <v/>
      </c>
      <c r="M42" s="401" t="str">
        <f t="shared" si="5"/>
        <v/>
      </c>
    </row>
    <row r="43" spans="2:13" x14ac:dyDescent="0.25">
      <c r="B43" s="58"/>
      <c r="C43" s="65"/>
      <c r="D43" s="15"/>
      <c r="E43" s="15"/>
      <c r="F43" s="580"/>
      <c r="G43" s="422"/>
      <c r="H43" s="17" t="str">
        <f t="shared" si="3"/>
        <v/>
      </c>
      <c r="I43" s="18"/>
      <c r="J43" s="61"/>
      <c r="K43" s="399"/>
      <c r="L43" s="420" t="str">
        <f t="shared" si="4"/>
        <v/>
      </c>
      <c r="M43" s="401" t="str">
        <f t="shared" si="5"/>
        <v/>
      </c>
    </row>
    <row r="44" spans="2:13" x14ac:dyDescent="0.25">
      <c r="B44" s="58"/>
      <c r="C44" s="65"/>
      <c r="D44" s="15"/>
      <c r="E44" s="15"/>
      <c r="F44" s="580"/>
      <c r="G44" s="422"/>
      <c r="H44" s="17" t="str">
        <f t="shared" si="3"/>
        <v/>
      </c>
      <c r="I44" s="18"/>
      <c r="J44" s="61"/>
      <c r="K44" s="399"/>
      <c r="L44" s="420" t="str">
        <f t="shared" si="4"/>
        <v/>
      </c>
      <c r="M44" s="401" t="str">
        <f t="shared" si="5"/>
        <v/>
      </c>
    </row>
    <row r="45" spans="2:13" x14ac:dyDescent="0.25">
      <c r="B45" s="58"/>
      <c r="C45" s="65"/>
      <c r="D45" s="15"/>
      <c r="E45" s="15"/>
      <c r="F45" s="580"/>
      <c r="G45" s="422"/>
      <c r="H45" s="17" t="str">
        <f t="shared" si="3"/>
        <v/>
      </c>
      <c r="I45" s="18"/>
      <c r="J45" s="61"/>
      <c r="K45" s="399"/>
      <c r="L45" s="420" t="str">
        <f t="shared" si="4"/>
        <v/>
      </c>
      <c r="M45" s="401" t="str">
        <f t="shared" si="5"/>
        <v/>
      </c>
    </row>
    <row r="46" spans="2:13" x14ac:dyDescent="0.25">
      <c r="B46" s="58"/>
      <c r="C46" s="65"/>
      <c r="D46" s="15"/>
      <c r="E46" s="15"/>
      <c r="F46" s="580"/>
      <c r="G46" s="422"/>
      <c r="H46" s="17" t="str">
        <f t="shared" si="3"/>
        <v/>
      </c>
      <c r="I46" s="18"/>
      <c r="J46" s="61"/>
      <c r="K46" s="402"/>
      <c r="L46" s="420" t="str">
        <f t="shared" si="4"/>
        <v/>
      </c>
      <c r="M46" s="401" t="str">
        <f t="shared" si="5"/>
        <v/>
      </c>
    </row>
    <row r="47" spans="2:13" x14ac:dyDescent="0.25">
      <c r="B47" s="58"/>
      <c r="C47" s="65"/>
      <c r="D47" s="15"/>
      <c r="E47" s="15"/>
      <c r="F47" s="580"/>
      <c r="G47" s="422"/>
      <c r="H47" s="17" t="str">
        <f t="shared" si="3"/>
        <v/>
      </c>
      <c r="I47" s="18"/>
      <c r="J47" s="61"/>
      <c r="K47" s="399"/>
      <c r="L47" s="420" t="str">
        <f t="shared" si="4"/>
        <v/>
      </c>
      <c r="M47" s="401" t="str">
        <f t="shared" si="5"/>
        <v/>
      </c>
    </row>
    <row r="48" spans="2:13" x14ac:dyDescent="0.25">
      <c r="B48" s="58"/>
      <c r="C48" s="65"/>
      <c r="D48" s="15"/>
      <c r="E48" s="15"/>
      <c r="F48" s="580"/>
      <c r="G48" s="422"/>
      <c r="H48" s="17" t="str">
        <f t="shared" si="3"/>
        <v/>
      </c>
      <c r="I48" s="18"/>
      <c r="J48" s="61"/>
      <c r="K48" s="402"/>
      <c r="L48" s="420" t="str">
        <f t="shared" si="4"/>
        <v/>
      </c>
      <c r="M48" s="401" t="str">
        <f t="shared" si="5"/>
        <v/>
      </c>
    </row>
    <row r="49" spans="2:13" x14ac:dyDescent="0.25">
      <c r="B49" s="58"/>
      <c r="C49" s="65"/>
      <c r="D49" s="15"/>
      <c r="E49" s="15"/>
      <c r="F49" s="580"/>
      <c r="G49" s="422"/>
      <c r="H49" s="17" t="str">
        <f t="shared" si="3"/>
        <v/>
      </c>
      <c r="I49" s="18"/>
      <c r="J49" s="62"/>
      <c r="K49" s="62"/>
      <c r="L49" s="420" t="str">
        <f t="shared" si="4"/>
        <v/>
      </c>
      <c r="M49" s="401" t="str">
        <f t="shared" si="5"/>
        <v/>
      </c>
    </row>
    <row r="50" spans="2:13" x14ac:dyDescent="0.25">
      <c r="B50" s="58"/>
      <c r="C50" s="65"/>
      <c r="D50" s="15"/>
      <c r="E50" s="15"/>
      <c r="F50" s="580"/>
      <c r="G50" s="422"/>
      <c r="H50" s="17" t="str">
        <f t="shared" si="3"/>
        <v/>
      </c>
      <c r="I50" s="18"/>
      <c r="J50" s="62"/>
      <c r="K50" s="62"/>
      <c r="L50" s="420" t="str">
        <f t="shared" si="4"/>
        <v/>
      </c>
      <c r="M50" s="401" t="str">
        <f t="shared" si="5"/>
        <v/>
      </c>
    </row>
    <row r="51" spans="2:13" x14ac:dyDescent="0.25">
      <c r="B51" s="58"/>
      <c r="C51" s="65"/>
      <c r="D51" s="15"/>
      <c r="E51" s="15"/>
      <c r="F51" s="580"/>
      <c r="G51" s="422"/>
      <c r="H51" s="17" t="str">
        <f t="shared" si="3"/>
        <v/>
      </c>
      <c r="I51" s="18"/>
      <c r="J51" s="62"/>
      <c r="K51" s="62"/>
      <c r="L51" s="420" t="str">
        <f t="shared" si="4"/>
        <v/>
      </c>
      <c r="M51" s="401" t="str">
        <f t="shared" si="5"/>
        <v/>
      </c>
    </row>
    <row r="52" spans="2:13" x14ac:dyDescent="0.25">
      <c r="B52" s="58"/>
      <c r="C52" s="65"/>
      <c r="D52" s="15"/>
      <c r="E52" s="15"/>
      <c r="F52" s="580"/>
      <c r="G52" s="422"/>
      <c r="H52" s="17" t="str">
        <f t="shared" si="3"/>
        <v/>
      </c>
      <c r="I52" s="18"/>
      <c r="J52" s="62"/>
      <c r="K52" s="62"/>
      <c r="L52" s="420" t="str">
        <f t="shared" si="4"/>
        <v/>
      </c>
      <c r="M52" s="401" t="str">
        <f t="shared" si="5"/>
        <v/>
      </c>
    </row>
    <row r="53" spans="2:13" x14ac:dyDescent="0.25">
      <c r="B53" s="58"/>
      <c r="C53" s="65"/>
      <c r="D53" s="15"/>
      <c r="E53" s="15"/>
      <c r="F53" s="580"/>
      <c r="G53" s="422"/>
      <c r="H53" s="17" t="str">
        <f t="shared" si="3"/>
        <v/>
      </c>
      <c r="I53" s="18"/>
      <c r="J53" s="62"/>
      <c r="K53" s="62"/>
      <c r="L53" s="420" t="str">
        <f t="shared" si="4"/>
        <v/>
      </c>
      <c r="M53" s="401" t="str">
        <f t="shared" si="5"/>
        <v/>
      </c>
    </row>
    <row r="54" spans="2:13" x14ac:dyDescent="0.25">
      <c r="B54" s="58"/>
      <c r="C54" s="65"/>
      <c r="D54" s="15"/>
      <c r="E54" s="15"/>
      <c r="F54" s="580"/>
      <c r="G54" s="422"/>
      <c r="H54" s="17" t="str">
        <f t="shared" si="3"/>
        <v/>
      </c>
      <c r="I54" s="18"/>
      <c r="J54" s="62"/>
      <c r="K54" s="62"/>
      <c r="L54" s="420" t="str">
        <f t="shared" si="4"/>
        <v/>
      </c>
      <c r="M54" s="401" t="str">
        <f t="shared" si="5"/>
        <v/>
      </c>
    </row>
    <row r="55" spans="2:13" x14ac:dyDescent="0.25">
      <c r="B55" s="58"/>
      <c r="C55" s="65"/>
      <c r="D55" s="15"/>
      <c r="E55" s="15"/>
      <c r="F55" s="580"/>
      <c r="G55" s="422"/>
      <c r="H55" s="17" t="str">
        <f t="shared" si="3"/>
        <v/>
      </c>
      <c r="I55" s="18"/>
      <c r="J55" s="62"/>
      <c r="K55" s="62"/>
      <c r="L55" s="420" t="str">
        <f t="shared" si="4"/>
        <v/>
      </c>
      <c r="M55" s="401" t="str">
        <f t="shared" si="5"/>
        <v/>
      </c>
    </row>
    <row r="56" spans="2:13" x14ac:dyDescent="0.25">
      <c r="B56" s="58"/>
      <c r="C56" s="65"/>
      <c r="D56" s="15"/>
      <c r="E56" s="15"/>
      <c r="F56" s="580"/>
      <c r="G56" s="422"/>
      <c r="H56" s="17" t="str">
        <f t="shared" si="3"/>
        <v/>
      </c>
      <c r="I56" s="18"/>
      <c r="J56" s="62"/>
      <c r="K56" s="62"/>
      <c r="L56" s="420" t="str">
        <f t="shared" si="4"/>
        <v/>
      </c>
      <c r="M56" s="401" t="str">
        <f t="shared" si="5"/>
        <v/>
      </c>
    </row>
    <row r="57" spans="2:13" x14ac:dyDescent="0.25">
      <c r="B57" s="58"/>
      <c r="C57" s="65"/>
      <c r="D57" s="15"/>
      <c r="E57" s="15"/>
      <c r="F57" s="580"/>
      <c r="G57" s="422"/>
      <c r="H57" s="17" t="str">
        <f t="shared" si="3"/>
        <v/>
      </c>
      <c r="I57" s="18"/>
      <c r="J57" s="62"/>
      <c r="K57" s="62"/>
      <c r="L57" s="420" t="str">
        <f t="shared" si="4"/>
        <v/>
      </c>
      <c r="M57" s="401" t="str">
        <f t="shared" si="5"/>
        <v/>
      </c>
    </row>
    <row r="58" spans="2:13" x14ac:dyDescent="0.25">
      <c r="B58" s="58"/>
      <c r="C58" s="65"/>
      <c r="D58" s="15"/>
      <c r="E58" s="15"/>
      <c r="F58" s="580"/>
      <c r="G58" s="422"/>
      <c r="H58" s="17" t="str">
        <f t="shared" si="3"/>
        <v/>
      </c>
      <c r="I58" s="18"/>
      <c r="J58" s="62"/>
      <c r="K58" s="62"/>
      <c r="L58" s="420" t="str">
        <f t="shared" si="4"/>
        <v/>
      </c>
      <c r="M58" s="401" t="str">
        <f t="shared" si="5"/>
        <v/>
      </c>
    </row>
    <row r="59" spans="2:13" x14ac:dyDescent="0.25">
      <c r="B59" s="58"/>
      <c r="C59" s="65"/>
      <c r="D59" s="15"/>
      <c r="E59" s="15"/>
      <c r="F59" s="580"/>
      <c r="G59" s="422"/>
      <c r="H59" s="17" t="str">
        <f t="shared" si="3"/>
        <v/>
      </c>
      <c r="I59" s="18"/>
      <c r="J59" s="62"/>
      <c r="K59" s="62"/>
      <c r="L59" s="420" t="str">
        <f t="shared" si="4"/>
        <v/>
      </c>
      <c r="M59" s="401" t="str">
        <f t="shared" si="5"/>
        <v/>
      </c>
    </row>
    <row r="60" spans="2:13" x14ac:dyDescent="0.25">
      <c r="B60" s="58"/>
      <c r="C60" s="65"/>
      <c r="D60" s="15"/>
      <c r="E60" s="15"/>
      <c r="F60" s="580"/>
      <c r="G60" s="422"/>
      <c r="H60" s="17" t="str">
        <f t="shared" si="3"/>
        <v/>
      </c>
      <c r="I60" s="18"/>
      <c r="J60" s="62"/>
      <c r="K60" s="62"/>
      <c r="L60" s="420" t="str">
        <f t="shared" si="4"/>
        <v/>
      </c>
      <c r="M60" s="401" t="str">
        <f t="shared" si="5"/>
        <v/>
      </c>
    </row>
    <row r="61" spans="2:13" x14ac:dyDescent="0.25">
      <c r="B61" s="58"/>
      <c r="C61" s="65"/>
      <c r="D61" s="15"/>
      <c r="E61" s="15"/>
      <c r="F61" s="580"/>
      <c r="G61" s="422"/>
      <c r="H61" s="17" t="str">
        <f t="shared" si="3"/>
        <v/>
      </c>
      <c r="I61" s="18"/>
      <c r="J61" s="61"/>
      <c r="K61" s="62"/>
      <c r="L61" s="420" t="str">
        <f t="shared" si="4"/>
        <v/>
      </c>
      <c r="M61" s="401" t="str">
        <f t="shared" si="5"/>
        <v/>
      </c>
    </row>
    <row r="62" spans="2:13" x14ac:dyDescent="0.25">
      <c r="B62" s="58"/>
      <c r="C62" s="65"/>
      <c r="D62" s="15"/>
      <c r="E62" s="15"/>
      <c r="F62" s="580"/>
      <c r="G62" s="422"/>
      <c r="H62" s="17" t="str">
        <f t="shared" si="3"/>
        <v/>
      </c>
      <c r="I62" s="18"/>
      <c r="J62" s="62"/>
      <c r="K62" s="62"/>
      <c r="L62" s="420" t="str">
        <f t="shared" si="4"/>
        <v/>
      </c>
      <c r="M62" s="401" t="str">
        <f t="shared" si="5"/>
        <v/>
      </c>
    </row>
    <row r="63" spans="2:13" x14ac:dyDescent="0.25">
      <c r="B63" s="58"/>
      <c r="C63" s="65"/>
      <c r="D63" s="15"/>
      <c r="E63" s="15"/>
      <c r="F63" s="580"/>
      <c r="G63" s="422"/>
      <c r="H63" s="17" t="str">
        <f t="shared" si="3"/>
        <v/>
      </c>
      <c r="I63" s="18"/>
      <c r="J63" s="62"/>
      <c r="K63" s="62"/>
      <c r="L63" s="420" t="str">
        <f t="shared" si="4"/>
        <v/>
      </c>
      <c r="M63" s="401" t="str">
        <f t="shared" si="5"/>
        <v/>
      </c>
    </row>
    <row r="64" spans="2:13" x14ac:dyDescent="0.25">
      <c r="B64" s="58"/>
      <c r="C64" s="65"/>
      <c r="D64" s="15"/>
      <c r="E64" s="15"/>
      <c r="F64" s="580"/>
      <c r="G64" s="422"/>
      <c r="H64" s="17" t="str">
        <f t="shared" si="3"/>
        <v/>
      </c>
      <c r="I64" s="18"/>
      <c r="J64" s="62"/>
      <c r="K64" s="62"/>
      <c r="L64" s="420" t="str">
        <f t="shared" si="4"/>
        <v/>
      </c>
      <c r="M64" s="401" t="str">
        <f t="shared" si="5"/>
        <v/>
      </c>
    </row>
    <row r="65" spans="2:13" x14ac:dyDescent="0.25">
      <c r="B65" s="58"/>
      <c r="C65" s="65"/>
      <c r="D65" s="15"/>
      <c r="E65" s="15"/>
      <c r="F65" s="580"/>
      <c r="G65" s="422"/>
      <c r="H65" s="17" t="str">
        <f t="shared" si="3"/>
        <v/>
      </c>
      <c r="I65" s="18"/>
      <c r="J65" s="62"/>
      <c r="K65" s="62"/>
      <c r="L65" s="420" t="str">
        <f t="shared" si="4"/>
        <v/>
      </c>
      <c r="M65" s="401" t="str">
        <f t="shared" si="5"/>
        <v/>
      </c>
    </row>
    <row r="66" spans="2:13" x14ac:dyDescent="0.25">
      <c r="B66" s="58"/>
      <c r="C66" s="65"/>
      <c r="D66" s="15"/>
      <c r="E66" s="15"/>
      <c r="F66" s="580"/>
      <c r="G66" s="422"/>
      <c r="H66" s="17" t="str">
        <f t="shared" si="3"/>
        <v/>
      </c>
      <c r="I66" s="18"/>
      <c r="J66" s="62"/>
      <c r="K66" s="62"/>
      <c r="L66" s="420" t="str">
        <f t="shared" si="4"/>
        <v/>
      </c>
      <c r="M66" s="401" t="str">
        <f t="shared" si="5"/>
        <v/>
      </c>
    </row>
    <row r="67" spans="2:13" x14ac:dyDescent="0.25">
      <c r="B67" s="58"/>
      <c r="C67" s="65"/>
      <c r="D67" s="15"/>
      <c r="E67" s="15"/>
      <c r="F67" s="580"/>
      <c r="G67" s="422"/>
      <c r="H67" s="17" t="str">
        <f t="shared" si="3"/>
        <v/>
      </c>
      <c r="I67" s="18"/>
      <c r="J67" s="62"/>
      <c r="K67" s="62"/>
      <c r="L67" s="420" t="str">
        <f t="shared" si="4"/>
        <v/>
      </c>
      <c r="M67" s="401" t="str">
        <f t="shared" si="5"/>
        <v/>
      </c>
    </row>
    <row r="68" spans="2:13" x14ac:dyDescent="0.25">
      <c r="B68" s="58"/>
      <c r="C68" s="65"/>
      <c r="D68" s="15"/>
      <c r="E68" s="15"/>
      <c r="F68" s="580"/>
      <c r="G68" s="422"/>
      <c r="H68" s="17" t="str">
        <f t="shared" si="3"/>
        <v/>
      </c>
      <c r="I68" s="18"/>
      <c r="J68" s="62"/>
      <c r="K68" s="62"/>
      <c r="L68" s="420" t="str">
        <f t="shared" si="4"/>
        <v/>
      </c>
      <c r="M68" s="401" t="str">
        <f t="shared" si="5"/>
        <v/>
      </c>
    </row>
    <row r="69" spans="2:13" x14ac:dyDescent="0.25">
      <c r="B69" s="58"/>
      <c r="C69" s="65"/>
      <c r="D69" s="15"/>
      <c r="E69" s="15"/>
      <c r="F69" s="580"/>
      <c r="G69" s="422"/>
      <c r="H69" s="17" t="str">
        <f t="shared" si="3"/>
        <v/>
      </c>
      <c r="I69" s="18"/>
      <c r="J69" s="62"/>
      <c r="K69" s="62"/>
      <c r="L69" s="420" t="str">
        <f t="shared" si="4"/>
        <v/>
      </c>
      <c r="M69" s="401" t="str">
        <f t="shared" si="5"/>
        <v/>
      </c>
    </row>
    <row r="70" spans="2:13" x14ac:dyDescent="0.25">
      <c r="B70" s="58"/>
      <c r="C70" s="65"/>
      <c r="D70" s="15"/>
      <c r="E70" s="15"/>
      <c r="F70" s="580"/>
      <c r="G70" s="422"/>
      <c r="H70" s="17" t="str">
        <f t="shared" si="3"/>
        <v/>
      </c>
      <c r="I70" s="18"/>
      <c r="J70" s="62"/>
      <c r="K70" s="62"/>
      <c r="L70" s="420" t="str">
        <f t="shared" si="4"/>
        <v/>
      </c>
      <c r="M70" s="401" t="str">
        <f t="shared" si="5"/>
        <v/>
      </c>
    </row>
    <row r="71" spans="2:13" x14ac:dyDescent="0.25">
      <c r="B71" s="58"/>
      <c r="C71" s="65"/>
      <c r="D71" s="15"/>
      <c r="E71" s="15"/>
      <c r="F71" s="580"/>
      <c r="G71" s="422"/>
      <c r="H71" s="17" t="str">
        <f t="shared" si="3"/>
        <v/>
      </c>
      <c r="I71" s="18"/>
      <c r="J71" s="61"/>
      <c r="K71" s="62"/>
      <c r="L71" s="420" t="str">
        <f t="shared" si="4"/>
        <v/>
      </c>
      <c r="M71" s="401" t="str">
        <f t="shared" si="5"/>
        <v/>
      </c>
    </row>
    <row r="72" spans="2:13" x14ac:dyDescent="0.25">
      <c r="B72" s="58"/>
      <c r="C72" s="65"/>
      <c r="D72" s="15"/>
      <c r="E72" s="15"/>
      <c r="F72" s="580"/>
      <c r="G72" s="422"/>
      <c r="H72" s="17" t="str">
        <f t="shared" si="3"/>
        <v/>
      </c>
      <c r="I72" s="18"/>
      <c r="J72" s="61"/>
      <c r="K72" s="695"/>
      <c r="L72" s="420" t="str">
        <f t="shared" si="4"/>
        <v/>
      </c>
      <c r="M72" s="401" t="str">
        <f t="shared" si="5"/>
        <v/>
      </c>
    </row>
    <row r="73" spans="2:13" x14ac:dyDescent="0.25">
      <c r="B73" s="58"/>
      <c r="C73" s="65"/>
      <c r="D73" s="15"/>
      <c r="E73" s="15"/>
      <c r="F73" s="580"/>
      <c r="G73" s="422"/>
      <c r="H73" s="17" t="str">
        <f t="shared" si="3"/>
        <v/>
      </c>
      <c r="I73" s="18"/>
      <c r="J73" s="61"/>
      <c r="K73" s="696"/>
      <c r="L73" s="420" t="str">
        <f t="shared" si="4"/>
        <v/>
      </c>
      <c r="M73" s="401" t="str">
        <f t="shared" si="5"/>
        <v/>
      </c>
    </row>
    <row r="74" spans="2:13" s="28" customFormat="1" ht="25" customHeight="1" x14ac:dyDescent="0.25">
      <c r="B74" s="29" t="str">
        <f>B12</f>
        <v>C1.3</v>
      </c>
      <c r="C74" s="30" t="s">
        <v>791</v>
      </c>
      <c r="D74" s="31"/>
      <c r="E74" s="31"/>
      <c r="F74" s="32"/>
      <c r="G74" s="31"/>
      <c r="H74" s="33">
        <f>SUM(H11:H73)</f>
        <v>840000</v>
      </c>
      <c r="I74" s="34"/>
      <c r="J74" s="408"/>
      <c r="K74" s="406"/>
      <c r="L74" s="418">
        <f>SUM(L11:L73)</f>
        <v>0</v>
      </c>
      <c r="M74" s="407" t="str">
        <f t="shared" ref="M74" si="6">IF(J74="","",IF(SUM(H74)=0,"",L74/H74))</f>
        <v/>
      </c>
    </row>
  </sheetData>
  <mergeCells count="5">
    <mergeCell ref="F3:H3"/>
    <mergeCell ref="B6:G6"/>
    <mergeCell ref="H6:H9"/>
    <mergeCell ref="B7:G7"/>
    <mergeCell ref="B8:G8"/>
  </mergeCells>
  <conditionalFormatting sqref="G11:H74">
    <cfRule type="expression" dxfId="13"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19">
    <tabColor rgb="FFFFFF00"/>
  </sheetPr>
  <dimension ref="A1:N209"/>
  <sheetViews>
    <sheetView view="pageBreakPreview"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MAX(H2:H222)</f>
        <v>358750</v>
      </c>
      <c r="I1" s="247">
        <f>MAX(I2:I222)</f>
        <v>0</v>
      </c>
      <c r="J1" s="248"/>
      <c r="K1" s="249"/>
      <c r="L1" s="247">
        <f>MAX(L2:L222)</f>
        <v>110610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C13.1</v>
      </c>
      <c r="I6" s="6"/>
    </row>
    <row r="7" spans="1:14" ht="34.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18.75" customHeight="1" x14ac:dyDescent="0.25">
      <c r="B8" s="1152" t="s">
        <v>1775</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74" si="0">IF(D11="","",F11*G11)</f>
        <v/>
      </c>
      <c r="I11" s="18"/>
      <c r="J11" s="61"/>
      <c r="K11" s="399"/>
      <c r="L11" s="420" t="str">
        <f t="shared" ref="L11" si="1">IF(J11="","",F11*K11)</f>
        <v/>
      </c>
      <c r="M11" s="401" t="str">
        <f t="shared" ref="M11" si="2">IF(J11="","",IF(SUM(H11)=0,"",L11/H11))</f>
        <v/>
      </c>
    </row>
    <row r="12" spans="1:14" ht="13" x14ac:dyDescent="0.25">
      <c r="B12" s="146" t="s">
        <v>277</v>
      </c>
      <c r="C12" s="672" t="s">
        <v>278</v>
      </c>
      <c r="D12" s="15"/>
      <c r="E12" s="15"/>
      <c r="F12" s="15"/>
      <c r="G12" s="411"/>
      <c r="H12" s="17" t="str">
        <f t="shared" si="0"/>
        <v/>
      </c>
      <c r="I12" s="18"/>
      <c r="J12" s="61"/>
      <c r="K12" s="399"/>
      <c r="L12" s="420" t="str">
        <f t="shared" ref="L12:L74" si="3">IF(J12="","",F12*K12)</f>
        <v/>
      </c>
      <c r="M12" s="401" t="str">
        <f t="shared" ref="M12:M74" si="4">IF(J12="","",IF(SUM(H12)=0,"",L12/H12))</f>
        <v/>
      </c>
    </row>
    <row r="13" spans="1:14" x14ac:dyDescent="0.25">
      <c r="B13" s="58"/>
      <c r="C13" s="65"/>
      <c r="D13" s="15"/>
      <c r="E13" s="15"/>
      <c r="F13" s="15"/>
      <c r="G13" s="411"/>
      <c r="H13" s="17" t="str">
        <f t="shared" si="0"/>
        <v/>
      </c>
      <c r="I13" s="18"/>
      <c r="J13" s="61"/>
      <c r="K13" s="399"/>
      <c r="L13" s="420" t="str">
        <f t="shared" si="3"/>
        <v/>
      </c>
      <c r="M13" s="401" t="str">
        <f t="shared" si="4"/>
        <v/>
      </c>
    </row>
    <row r="14" spans="1:14" ht="13" x14ac:dyDescent="0.25">
      <c r="B14" s="146" t="s">
        <v>286</v>
      </c>
      <c r="C14" s="672" t="s">
        <v>279</v>
      </c>
      <c r="D14" s="15"/>
      <c r="E14" s="15"/>
      <c r="F14" s="15"/>
      <c r="G14" s="411"/>
      <c r="H14" s="17" t="str">
        <f t="shared" si="0"/>
        <v/>
      </c>
      <c r="I14" s="18"/>
      <c r="J14" s="61"/>
      <c r="K14" s="399"/>
      <c r="L14" s="420" t="str">
        <f t="shared" si="3"/>
        <v/>
      </c>
      <c r="M14" s="401" t="str">
        <f t="shared" si="4"/>
        <v/>
      </c>
    </row>
    <row r="15" spans="1:14" x14ac:dyDescent="0.25">
      <c r="B15" s="58"/>
      <c r="C15" s="784"/>
      <c r="D15" s="15"/>
      <c r="E15" s="15"/>
      <c r="F15" s="15"/>
      <c r="G15" s="411"/>
      <c r="H15" s="17" t="str">
        <f t="shared" si="0"/>
        <v/>
      </c>
      <c r="I15" s="18"/>
      <c r="J15" s="61"/>
      <c r="K15" s="399"/>
      <c r="L15" s="420" t="str">
        <f t="shared" si="3"/>
        <v/>
      </c>
      <c r="M15" s="401" t="str">
        <f t="shared" si="4"/>
        <v/>
      </c>
    </row>
    <row r="16" spans="1:14" ht="25" x14ac:dyDescent="0.25">
      <c r="B16" s="58" t="s">
        <v>287</v>
      </c>
      <c r="C16" s="65" t="s">
        <v>280</v>
      </c>
      <c r="D16" s="15"/>
      <c r="E16" s="15"/>
      <c r="F16" s="24"/>
      <c r="G16" s="703"/>
      <c r="H16" s="17" t="str">
        <f t="shared" si="0"/>
        <v/>
      </c>
      <c r="I16" s="57"/>
      <c r="J16" s="61"/>
      <c r="K16" s="400"/>
      <c r="L16" s="420" t="str">
        <f t="shared" si="3"/>
        <v/>
      </c>
      <c r="M16" s="401" t="str">
        <f t="shared" si="4"/>
        <v/>
      </c>
    </row>
    <row r="17" spans="2:13" x14ac:dyDescent="0.25">
      <c r="B17" s="58"/>
      <c r="C17" s="65"/>
      <c r="D17" s="15"/>
      <c r="E17" s="15"/>
      <c r="F17" s="24"/>
      <c r="G17" s="421"/>
      <c r="H17" s="17" t="str">
        <f t="shared" si="0"/>
        <v/>
      </c>
      <c r="I17" s="63"/>
      <c r="J17" s="61"/>
      <c r="K17" s="402"/>
      <c r="L17" s="420" t="str">
        <f t="shared" si="3"/>
        <v/>
      </c>
      <c r="M17" s="401" t="str">
        <f t="shared" si="4"/>
        <v/>
      </c>
    </row>
    <row r="18" spans="2:13" ht="14.5" x14ac:dyDescent="0.25">
      <c r="B18" s="58" t="s">
        <v>39</v>
      </c>
      <c r="C18" s="65" t="s">
        <v>281</v>
      </c>
      <c r="D18" s="15" t="s">
        <v>23</v>
      </c>
      <c r="E18" s="15"/>
      <c r="F18" s="24">
        <v>1100</v>
      </c>
      <c r="G18" s="423">
        <v>50</v>
      </c>
      <c r="H18" s="17">
        <f t="shared" si="0"/>
        <v>55000</v>
      </c>
      <c r="I18" s="63"/>
      <c r="J18" s="61" t="s">
        <v>1721</v>
      </c>
      <c r="K18" s="402">
        <f>IF(D18="","",ROUND(Labour_perc_structures*G18,1))</f>
        <v>1.5</v>
      </c>
      <c r="L18" s="420">
        <f t="shared" si="3"/>
        <v>1650</v>
      </c>
      <c r="M18" s="401">
        <f t="shared" si="4"/>
        <v>0.03</v>
      </c>
    </row>
    <row r="19" spans="2:13" x14ac:dyDescent="0.25">
      <c r="B19" s="58"/>
      <c r="C19" s="65"/>
      <c r="D19" s="15"/>
      <c r="E19" s="15"/>
      <c r="F19" s="24"/>
      <c r="G19" s="703"/>
      <c r="H19" s="17" t="str">
        <f t="shared" si="0"/>
        <v/>
      </c>
      <c r="I19" s="57"/>
      <c r="J19" s="61"/>
      <c r="K19" s="399"/>
      <c r="L19" s="420" t="str">
        <f t="shared" si="3"/>
        <v/>
      </c>
      <c r="M19" s="401" t="str">
        <f t="shared" si="4"/>
        <v/>
      </c>
    </row>
    <row r="20" spans="2:13" ht="25" x14ac:dyDescent="0.25">
      <c r="B20" s="58" t="s">
        <v>288</v>
      </c>
      <c r="C20" s="65" t="s">
        <v>283</v>
      </c>
      <c r="D20" s="15" t="s">
        <v>23</v>
      </c>
      <c r="E20" s="15"/>
      <c r="F20" s="24">
        <v>400</v>
      </c>
      <c r="G20" s="422">
        <v>350</v>
      </c>
      <c r="H20" s="17">
        <f t="shared" si="0"/>
        <v>140000</v>
      </c>
      <c r="I20" s="57"/>
      <c r="J20" s="61" t="s">
        <v>1721</v>
      </c>
      <c r="K20" s="402">
        <f>IF(D20="","",ROUND(Labour_perc_structures*G20,1))</f>
        <v>10.199999999999999</v>
      </c>
      <c r="L20" s="420">
        <f t="shared" si="3"/>
        <v>4079.9999999999995</v>
      </c>
      <c r="M20" s="401">
        <f t="shared" si="4"/>
        <v>2.914285714285714E-2</v>
      </c>
    </row>
    <row r="21" spans="2:13" x14ac:dyDescent="0.25">
      <c r="B21" s="58"/>
      <c r="C21" s="65"/>
      <c r="D21" s="15"/>
      <c r="E21" s="15"/>
      <c r="F21" s="24"/>
      <c r="G21" s="423"/>
      <c r="H21" s="17" t="str">
        <f t="shared" si="0"/>
        <v/>
      </c>
      <c r="I21" s="18"/>
      <c r="J21" s="61"/>
      <c r="K21" s="402"/>
      <c r="L21" s="420" t="str">
        <f t="shared" si="3"/>
        <v/>
      </c>
      <c r="M21" s="401" t="str">
        <f t="shared" si="4"/>
        <v/>
      </c>
    </row>
    <row r="22" spans="2:13" ht="14.5" x14ac:dyDescent="0.25">
      <c r="B22" s="58" t="s">
        <v>290</v>
      </c>
      <c r="C22" s="65" t="s">
        <v>285</v>
      </c>
      <c r="D22" s="15" t="s">
        <v>23</v>
      </c>
      <c r="E22" s="15" t="s">
        <v>996</v>
      </c>
      <c r="F22" s="24">
        <v>500</v>
      </c>
      <c r="G22" s="423">
        <v>230</v>
      </c>
      <c r="H22" s="17">
        <f t="shared" si="0"/>
        <v>115000</v>
      </c>
      <c r="I22" s="18"/>
      <c r="J22" s="61" t="s">
        <v>996</v>
      </c>
      <c r="K22" s="577">
        <f>IF(D22="","",ROUND(90%*G22,1))</f>
        <v>207</v>
      </c>
      <c r="L22" s="420">
        <f t="shared" si="3"/>
        <v>103500</v>
      </c>
      <c r="M22" s="401">
        <f t="shared" si="4"/>
        <v>0.9</v>
      </c>
    </row>
    <row r="23" spans="2:13" x14ac:dyDescent="0.25">
      <c r="B23" s="58"/>
      <c r="C23" s="784"/>
      <c r="D23" s="15"/>
      <c r="E23" s="15"/>
      <c r="F23" s="24"/>
      <c r="G23" s="421"/>
      <c r="H23" s="17" t="str">
        <f t="shared" si="0"/>
        <v/>
      </c>
      <c r="I23" s="63"/>
      <c r="J23" s="61"/>
      <c r="K23" s="402"/>
      <c r="L23" s="420" t="str">
        <f t="shared" si="3"/>
        <v/>
      </c>
      <c r="M23" s="401" t="str">
        <f t="shared" si="4"/>
        <v/>
      </c>
    </row>
    <row r="24" spans="2:13" ht="13" x14ac:dyDescent="0.25">
      <c r="B24" s="146" t="s">
        <v>299</v>
      </c>
      <c r="C24" s="672" t="s">
        <v>297</v>
      </c>
      <c r="D24" s="61"/>
      <c r="E24" s="61"/>
      <c r="F24" s="61"/>
      <c r="G24" s="422"/>
      <c r="H24" s="17" t="str">
        <f t="shared" si="0"/>
        <v/>
      </c>
      <c r="I24" s="63"/>
      <c r="J24" s="62"/>
      <c r="K24" s="62"/>
      <c r="L24" s="420" t="str">
        <f t="shared" si="3"/>
        <v/>
      </c>
      <c r="M24" s="401" t="str">
        <f t="shared" si="4"/>
        <v/>
      </c>
    </row>
    <row r="25" spans="2:13" x14ac:dyDescent="0.25">
      <c r="B25" s="58"/>
      <c r="C25" s="65"/>
      <c r="D25" s="15"/>
      <c r="E25" s="15"/>
      <c r="F25" s="15"/>
      <c r="G25" s="422"/>
      <c r="H25" s="17" t="str">
        <f t="shared" si="0"/>
        <v/>
      </c>
      <c r="I25" s="18"/>
      <c r="J25" s="62"/>
      <c r="K25" s="62"/>
      <c r="L25" s="420" t="str">
        <f t="shared" si="3"/>
        <v/>
      </c>
      <c r="M25" s="401" t="str">
        <f t="shared" si="4"/>
        <v/>
      </c>
    </row>
    <row r="26" spans="2:13" ht="14.5" x14ac:dyDescent="0.25">
      <c r="B26" s="58" t="s">
        <v>300</v>
      </c>
      <c r="C26" s="65" t="s">
        <v>298</v>
      </c>
      <c r="D26" s="15" t="s">
        <v>23</v>
      </c>
      <c r="E26" s="15"/>
      <c r="F26" s="15">
        <v>1100</v>
      </c>
      <c r="G26" s="422">
        <v>42.5</v>
      </c>
      <c r="H26" s="17">
        <f t="shared" si="0"/>
        <v>46750</v>
      </c>
      <c r="I26" s="18"/>
      <c r="J26" s="62" t="s">
        <v>1721</v>
      </c>
      <c r="K26" s="399">
        <f>IF(D26="","",ROUND(Labour_perc_structures*G26,1))</f>
        <v>1.2</v>
      </c>
      <c r="L26" s="420">
        <f t="shared" si="3"/>
        <v>1320</v>
      </c>
      <c r="M26" s="401">
        <f t="shared" si="4"/>
        <v>2.823529411764706E-2</v>
      </c>
    </row>
    <row r="27" spans="2:13" x14ac:dyDescent="0.25">
      <c r="B27" s="58"/>
      <c r="C27" s="65"/>
      <c r="D27" s="15"/>
      <c r="E27" s="15"/>
      <c r="F27" s="24"/>
      <c r="G27" s="421"/>
      <c r="H27" s="17" t="str">
        <f t="shared" si="0"/>
        <v/>
      </c>
      <c r="I27" s="63"/>
      <c r="J27" s="61"/>
      <c r="K27" s="399"/>
      <c r="L27" s="420" t="str">
        <f t="shared" si="3"/>
        <v/>
      </c>
      <c r="M27" s="401" t="str">
        <f t="shared" si="4"/>
        <v/>
      </c>
    </row>
    <row r="28" spans="2:13" s="36" customFormat="1" ht="14.5" x14ac:dyDescent="0.25">
      <c r="B28" s="146" t="s">
        <v>1886</v>
      </c>
      <c r="C28" s="672" t="s">
        <v>302</v>
      </c>
      <c r="D28" s="15" t="s">
        <v>23</v>
      </c>
      <c r="E28" s="15"/>
      <c r="F28" s="15">
        <v>100</v>
      </c>
      <c r="G28" s="64">
        <v>20</v>
      </c>
      <c r="H28" s="17">
        <f t="shared" si="0"/>
        <v>2000</v>
      </c>
      <c r="I28" s="18"/>
      <c r="J28" s="61" t="s">
        <v>1721</v>
      </c>
      <c r="K28" s="402">
        <f>IF(D28="","",ROUND(Labour_perc_structures*G28,1))</f>
        <v>0.6</v>
      </c>
      <c r="L28" s="420">
        <f t="shared" si="3"/>
        <v>60</v>
      </c>
      <c r="M28" s="401">
        <f t="shared" si="4"/>
        <v>0.03</v>
      </c>
    </row>
    <row r="29" spans="2:13" s="36" customFormat="1" x14ac:dyDescent="0.25">
      <c r="B29" s="58"/>
      <c r="C29" s="65"/>
      <c r="D29" s="15"/>
      <c r="E29" s="15"/>
      <c r="F29" s="24"/>
      <c r="G29" s="411"/>
      <c r="H29" s="17" t="str">
        <f t="shared" si="0"/>
        <v/>
      </c>
      <c r="I29" s="18"/>
      <c r="J29" s="61"/>
      <c r="K29" s="399"/>
      <c r="L29" s="420" t="str">
        <f t="shared" si="3"/>
        <v/>
      </c>
      <c r="M29" s="401" t="str">
        <f t="shared" si="4"/>
        <v/>
      </c>
    </row>
    <row r="30" spans="2:13" s="36" customFormat="1" x14ac:dyDescent="0.25">
      <c r="B30" s="58"/>
      <c r="C30" s="65"/>
      <c r="D30" s="15"/>
      <c r="E30" s="15"/>
      <c r="F30" s="24"/>
      <c r="G30" s="411"/>
      <c r="H30" s="17" t="str">
        <f t="shared" si="0"/>
        <v/>
      </c>
      <c r="I30" s="18"/>
      <c r="J30" s="61"/>
      <c r="K30" s="399"/>
      <c r="L30" s="420" t="str">
        <f t="shared" si="3"/>
        <v/>
      </c>
      <c r="M30" s="401" t="str">
        <f t="shared" si="4"/>
        <v/>
      </c>
    </row>
    <row r="31" spans="2:13" s="36" customFormat="1" x14ac:dyDescent="0.25">
      <c r="B31" s="58"/>
      <c r="C31" s="65"/>
      <c r="D31" s="15"/>
      <c r="E31" s="15"/>
      <c r="F31" s="24"/>
      <c r="G31" s="411"/>
      <c r="H31" s="17" t="str">
        <f t="shared" ref="H31:H35" si="5">IF(D31="","",F31*G31)</f>
        <v/>
      </c>
      <c r="I31" s="18"/>
      <c r="J31" s="61"/>
      <c r="K31" s="399"/>
      <c r="L31" s="420" t="str">
        <f t="shared" ref="L31:L35" si="6">IF(J31="","",F31*K31)</f>
        <v/>
      </c>
      <c r="M31" s="401" t="str">
        <f t="shared" ref="M31:M35" si="7">IF(J31="","",IF(SUM(H31)=0,"",L31/H31))</f>
        <v/>
      </c>
    </row>
    <row r="32" spans="2:13" s="36" customFormat="1" x14ac:dyDescent="0.25">
      <c r="B32" s="58"/>
      <c r="C32" s="65"/>
      <c r="D32" s="15"/>
      <c r="E32" s="15"/>
      <c r="F32" s="24"/>
      <c r="G32" s="411"/>
      <c r="H32" s="17" t="str">
        <f t="shared" si="5"/>
        <v/>
      </c>
      <c r="I32" s="18"/>
      <c r="J32" s="61"/>
      <c r="K32" s="399"/>
      <c r="L32" s="420" t="str">
        <f t="shared" si="6"/>
        <v/>
      </c>
      <c r="M32" s="401" t="str">
        <f t="shared" si="7"/>
        <v/>
      </c>
    </row>
    <row r="33" spans="2:13" s="36" customFormat="1" x14ac:dyDescent="0.25">
      <c r="B33" s="58"/>
      <c r="C33" s="65"/>
      <c r="D33" s="15"/>
      <c r="E33" s="15"/>
      <c r="F33" s="24"/>
      <c r="G33" s="411"/>
      <c r="H33" s="17" t="str">
        <f t="shared" si="5"/>
        <v/>
      </c>
      <c r="I33" s="18"/>
      <c r="J33" s="61"/>
      <c r="K33" s="399"/>
      <c r="L33" s="420" t="str">
        <f t="shared" si="6"/>
        <v/>
      </c>
      <c r="M33" s="401" t="str">
        <f t="shared" si="7"/>
        <v/>
      </c>
    </row>
    <row r="34" spans="2:13" x14ac:dyDescent="0.25">
      <c r="B34" s="58"/>
      <c r="C34" s="65"/>
      <c r="D34" s="15"/>
      <c r="E34" s="15"/>
      <c r="F34" s="24"/>
      <c r="G34" s="422"/>
      <c r="H34" s="17" t="str">
        <f t="shared" si="5"/>
        <v/>
      </c>
      <c r="I34" s="18"/>
      <c r="J34" s="61"/>
      <c r="K34" s="399"/>
      <c r="L34" s="420" t="str">
        <f t="shared" si="6"/>
        <v/>
      </c>
      <c r="M34" s="401" t="str">
        <f t="shared" si="7"/>
        <v/>
      </c>
    </row>
    <row r="35" spans="2:13" x14ac:dyDescent="0.25">
      <c r="B35" s="58"/>
      <c r="C35" s="65"/>
      <c r="D35" s="15"/>
      <c r="E35" s="15"/>
      <c r="F35" s="24"/>
      <c r="G35" s="411"/>
      <c r="H35" s="17" t="str">
        <f t="shared" si="5"/>
        <v/>
      </c>
      <c r="I35" s="18"/>
      <c r="J35" s="61"/>
      <c r="K35" s="399"/>
      <c r="L35" s="420" t="str">
        <f t="shared" si="6"/>
        <v/>
      </c>
      <c r="M35" s="401" t="str">
        <f t="shared" si="7"/>
        <v/>
      </c>
    </row>
    <row r="36" spans="2:13" x14ac:dyDescent="0.25">
      <c r="B36" s="58"/>
      <c r="C36" s="65"/>
      <c r="D36" s="15"/>
      <c r="E36" s="15"/>
      <c r="F36" s="24"/>
      <c r="G36" s="411"/>
      <c r="H36" s="17" t="str">
        <f t="shared" si="0"/>
        <v/>
      </c>
      <c r="I36" s="18"/>
      <c r="J36" s="61"/>
      <c r="K36" s="399"/>
      <c r="L36" s="420" t="str">
        <f t="shared" si="3"/>
        <v/>
      </c>
      <c r="M36" s="401" t="str">
        <f t="shared" si="4"/>
        <v/>
      </c>
    </row>
    <row r="37" spans="2:13" x14ac:dyDescent="0.25">
      <c r="B37" s="58"/>
      <c r="C37" s="65"/>
      <c r="D37" s="15"/>
      <c r="E37" s="15"/>
      <c r="F37" s="24"/>
      <c r="G37" s="423"/>
      <c r="H37" s="17" t="str">
        <f t="shared" si="0"/>
        <v/>
      </c>
      <c r="I37" s="18"/>
      <c r="J37" s="61"/>
      <c r="K37" s="577"/>
      <c r="L37" s="420" t="str">
        <f t="shared" si="3"/>
        <v/>
      </c>
      <c r="M37" s="401" t="str">
        <f t="shared" si="4"/>
        <v/>
      </c>
    </row>
    <row r="38" spans="2:13" x14ac:dyDescent="0.25">
      <c r="B38" s="58"/>
      <c r="C38" s="65"/>
      <c r="D38" s="15"/>
      <c r="E38" s="15"/>
      <c r="F38" s="24"/>
      <c r="G38" s="423"/>
      <c r="H38" s="17" t="str">
        <f t="shared" si="0"/>
        <v/>
      </c>
      <c r="I38" s="18"/>
      <c r="J38" s="61"/>
      <c r="K38" s="577"/>
      <c r="L38" s="420" t="str">
        <f t="shared" si="3"/>
        <v/>
      </c>
      <c r="M38" s="401" t="str">
        <f t="shared" si="4"/>
        <v/>
      </c>
    </row>
    <row r="39" spans="2:13" x14ac:dyDescent="0.25">
      <c r="B39" s="58"/>
      <c r="C39" s="65"/>
      <c r="D39" s="15"/>
      <c r="E39" s="15"/>
      <c r="F39" s="15"/>
      <c r="G39" s="411"/>
      <c r="H39" s="17" t="str">
        <f t="shared" si="0"/>
        <v/>
      </c>
      <c r="I39" s="18"/>
      <c r="J39" s="61"/>
      <c r="K39" s="399"/>
      <c r="L39" s="420" t="str">
        <f t="shared" si="3"/>
        <v/>
      </c>
      <c r="M39" s="401" t="str">
        <f t="shared" si="4"/>
        <v/>
      </c>
    </row>
    <row r="40" spans="2:13" x14ac:dyDescent="0.25">
      <c r="B40" s="58"/>
      <c r="C40" s="65"/>
      <c r="D40" s="15"/>
      <c r="E40" s="15"/>
      <c r="F40" s="15"/>
      <c r="G40" s="411"/>
      <c r="H40" s="17" t="str">
        <f t="shared" si="0"/>
        <v/>
      </c>
      <c r="I40" s="18"/>
      <c r="J40" s="61"/>
      <c r="K40" s="399"/>
      <c r="L40" s="420" t="str">
        <f t="shared" si="3"/>
        <v/>
      </c>
      <c r="M40" s="401" t="str">
        <f t="shared" si="4"/>
        <v/>
      </c>
    </row>
    <row r="41" spans="2:13" x14ac:dyDescent="0.25">
      <c r="B41" s="58"/>
      <c r="C41" s="65"/>
      <c r="D41" s="15"/>
      <c r="E41" s="15"/>
      <c r="F41" s="15"/>
      <c r="G41" s="422"/>
      <c r="H41" s="17" t="str">
        <f t="shared" si="0"/>
        <v/>
      </c>
      <c r="I41" s="18"/>
      <c r="J41" s="61"/>
      <c r="K41" s="399"/>
      <c r="L41" s="420" t="str">
        <f t="shared" si="3"/>
        <v/>
      </c>
      <c r="M41" s="401" t="str">
        <f t="shared" si="4"/>
        <v/>
      </c>
    </row>
    <row r="42" spans="2:13" x14ac:dyDescent="0.25">
      <c r="B42" s="58"/>
      <c r="C42" s="65"/>
      <c r="D42" s="15"/>
      <c r="E42" s="15"/>
      <c r="F42" s="15"/>
      <c r="G42" s="422"/>
      <c r="H42" s="17" t="str">
        <f t="shared" si="0"/>
        <v/>
      </c>
      <c r="I42" s="18"/>
      <c r="J42" s="61"/>
      <c r="K42" s="399"/>
      <c r="L42" s="420" t="str">
        <f t="shared" si="3"/>
        <v/>
      </c>
      <c r="M42" s="401" t="str">
        <f t="shared" si="4"/>
        <v/>
      </c>
    </row>
    <row r="43" spans="2:13" x14ac:dyDescent="0.25">
      <c r="B43" s="58"/>
      <c r="C43" s="65"/>
      <c r="D43" s="15"/>
      <c r="E43" s="15"/>
      <c r="F43" s="15"/>
      <c r="G43" s="422"/>
      <c r="H43" s="17" t="str">
        <f t="shared" si="0"/>
        <v/>
      </c>
      <c r="I43" s="18"/>
      <c r="J43" s="61"/>
      <c r="K43" s="399"/>
      <c r="L43" s="420" t="str">
        <f t="shared" si="3"/>
        <v/>
      </c>
      <c r="M43" s="401" t="str">
        <f t="shared" si="4"/>
        <v/>
      </c>
    </row>
    <row r="44" spans="2:13" x14ac:dyDescent="0.25">
      <c r="B44" s="58"/>
      <c r="C44" s="65"/>
      <c r="D44" s="15"/>
      <c r="E44" s="15"/>
      <c r="F44" s="15"/>
      <c r="G44" s="422"/>
      <c r="H44" s="17" t="str">
        <f t="shared" si="0"/>
        <v/>
      </c>
      <c r="I44" s="18"/>
      <c r="J44" s="61"/>
      <c r="K44" s="399"/>
      <c r="L44" s="420" t="str">
        <f t="shared" si="3"/>
        <v/>
      </c>
      <c r="M44" s="401" t="str">
        <f t="shared" si="4"/>
        <v/>
      </c>
    </row>
    <row r="45" spans="2:13" x14ac:dyDescent="0.25">
      <c r="B45" s="58"/>
      <c r="C45" s="65"/>
      <c r="D45" s="15"/>
      <c r="E45" s="15"/>
      <c r="F45" s="15"/>
      <c r="G45" s="422"/>
      <c r="H45" s="17" t="str">
        <f t="shared" si="0"/>
        <v/>
      </c>
      <c r="I45" s="18"/>
      <c r="J45" s="61"/>
      <c r="K45" s="399"/>
      <c r="L45" s="420" t="str">
        <f t="shared" si="3"/>
        <v/>
      </c>
      <c r="M45" s="401" t="str">
        <f t="shared" si="4"/>
        <v/>
      </c>
    </row>
    <row r="46" spans="2:13" x14ac:dyDescent="0.25">
      <c r="B46" s="58"/>
      <c r="C46" s="65"/>
      <c r="D46" s="15"/>
      <c r="E46" s="15"/>
      <c r="F46" s="15"/>
      <c r="G46" s="422"/>
      <c r="H46" s="17" t="str">
        <f t="shared" si="0"/>
        <v/>
      </c>
      <c r="I46" s="18"/>
      <c r="J46" s="61"/>
      <c r="K46" s="402"/>
      <c r="L46" s="420" t="str">
        <f t="shared" si="3"/>
        <v/>
      </c>
      <c r="M46" s="401" t="str">
        <f t="shared" si="4"/>
        <v/>
      </c>
    </row>
    <row r="47" spans="2:13" x14ac:dyDescent="0.25">
      <c r="B47" s="58"/>
      <c r="C47" s="65"/>
      <c r="D47" s="15"/>
      <c r="E47" s="15"/>
      <c r="F47" s="15"/>
      <c r="G47" s="422"/>
      <c r="H47" s="17" t="str">
        <f t="shared" si="0"/>
        <v/>
      </c>
      <c r="I47" s="18"/>
      <c r="J47" s="61"/>
      <c r="K47" s="399"/>
      <c r="L47" s="420" t="str">
        <f t="shared" si="3"/>
        <v/>
      </c>
      <c r="M47" s="401" t="str">
        <f t="shared" si="4"/>
        <v/>
      </c>
    </row>
    <row r="48" spans="2:13" x14ac:dyDescent="0.25">
      <c r="B48" s="58"/>
      <c r="C48" s="65"/>
      <c r="D48" s="15"/>
      <c r="E48" s="15"/>
      <c r="F48" s="15"/>
      <c r="G48" s="422"/>
      <c r="H48" s="17" t="str">
        <f t="shared" si="0"/>
        <v/>
      </c>
      <c r="I48" s="18"/>
      <c r="J48" s="61"/>
      <c r="K48" s="402"/>
      <c r="L48" s="420" t="str">
        <f t="shared" si="3"/>
        <v/>
      </c>
      <c r="M48" s="401" t="str">
        <f t="shared" si="4"/>
        <v/>
      </c>
    </row>
    <row r="49" spans="2:13" x14ac:dyDescent="0.25">
      <c r="B49" s="58"/>
      <c r="C49" s="65"/>
      <c r="D49" s="15"/>
      <c r="E49" s="15"/>
      <c r="F49" s="15"/>
      <c r="G49" s="424"/>
      <c r="H49" s="17" t="str">
        <f t="shared" si="0"/>
        <v/>
      </c>
      <c r="I49" s="18"/>
      <c r="J49" s="62"/>
      <c r="K49" s="62"/>
      <c r="L49" s="420" t="str">
        <f t="shared" si="3"/>
        <v/>
      </c>
      <c r="M49" s="401" t="str">
        <f t="shared" si="4"/>
        <v/>
      </c>
    </row>
    <row r="50" spans="2:13" x14ac:dyDescent="0.25">
      <c r="B50" s="58"/>
      <c r="C50" s="65"/>
      <c r="D50" s="15"/>
      <c r="E50" s="15"/>
      <c r="F50" s="15"/>
      <c r="G50" s="424"/>
      <c r="H50" s="17" t="str">
        <f t="shared" si="0"/>
        <v/>
      </c>
      <c r="I50" s="18"/>
      <c r="J50" s="62"/>
      <c r="K50" s="62"/>
      <c r="L50" s="420" t="str">
        <f t="shared" si="3"/>
        <v/>
      </c>
      <c r="M50" s="401" t="str">
        <f t="shared" si="4"/>
        <v/>
      </c>
    </row>
    <row r="51" spans="2:13" x14ac:dyDescent="0.25">
      <c r="B51" s="58"/>
      <c r="C51" s="65"/>
      <c r="D51" s="15"/>
      <c r="E51" s="15"/>
      <c r="F51" s="15"/>
      <c r="G51" s="422"/>
      <c r="H51" s="17" t="str">
        <f t="shared" si="0"/>
        <v/>
      </c>
      <c r="I51" s="18"/>
      <c r="J51" s="62"/>
      <c r="K51" s="62"/>
      <c r="L51" s="420" t="str">
        <f t="shared" si="3"/>
        <v/>
      </c>
      <c r="M51" s="401" t="str">
        <f t="shared" si="4"/>
        <v/>
      </c>
    </row>
    <row r="52" spans="2:13" ht="12" customHeight="1" x14ac:dyDescent="0.25">
      <c r="B52" s="58"/>
      <c r="C52" s="65"/>
      <c r="D52" s="15"/>
      <c r="E52" s="15"/>
      <c r="F52" s="15"/>
      <c r="G52" s="422"/>
      <c r="H52" s="17" t="str">
        <f t="shared" si="0"/>
        <v/>
      </c>
      <c r="I52" s="18"/>
      <c r="J52" s="62"/>
      <c r="K52" s="62"/>
      <c r="L52" s="420" t="str">
        <f t="shared" si="3"/>
        <v/>
      </c>
      <c r="M52" s="401" t="str">
        <f t="shared" si="4"/>
        <v/>
      </c>
    </row>
    <row r="53" spans="2:13" x14ac:dyDescent="0.25">
      <c r="B53" s="58"/>
      <c r="C53" s="65"/>
      <c r="D53" s="15"/>
      <c r="E53" s="15"/>
      <c r="F53" s="15"/>
      <c r="G53" s="422"/>
      <c r="H53" s="17" t="str">
        <f t="shared" si="0"/>
        <v/>
      </c>
      <c r="I53" s="18"/>
      <c r="J53" s="62"/>
      <c r="K53" s="62"/>
      <c r="L53" s="420" t="str">
        <f t="shared" si="3"/>
        <v/>
      </c>
      <c r="M53" s="401" t="str">
        <f t="shared" si="4"/>
        <v/>
      </c>
    </row>
    <row r="54" spans="2:13" ht="12" customHeight="1" x14ac:dyDescent="0.25">
      <c r="B54" s="58"/>
      <c r="C54" s="65"/>
      <c r="D54" s="15"/>
      <c r="E54" s="15"/>
      <c r="F54" s="15"/>
      <c r="G54" s="422"/>
      <c r="H54" s="17" t="str">
        <f t="shared" si="0"/>
        <v/>
      </c>
      <c r="I54" s="18"/>
      <c r="J54" s="62"/>
      <c r="K54" s="62"/>
      <c r="L54" s="420" t="str">
        <f t="shared" si="3"/>
        <v/>
      </c>
      <c r="M54" s="401" t="str">
        <f t="shared" si="4"/>
        <v/>
      </c>
    </row>
    <row r="55" spans="2:13" x14ac:dyDescent="0.25">
      <c r="B55" s="58"/>
      <c r="C55" s="65"/>
      <c r="D55" s="15"/>
      <c r="E55" s="15"/>
      <c r="F55" s="15"/>
      <c r="G55" s="422"/>
      <c r="H55" s="17" t="str">
        <f t="shared" si="0"/>
        <v/>
      </c>
      <c r="I55" s="18"/>
      <c r="J55" s="62"/>
      <c r="K55" s="62"/>
      <c r="L55" s="420" t="str">
        <f t="shared" si="3"/>
        <v/>
      </c>
      <c r="M55" s="401" t="str">
        <f t="shared" si="4"/>
        <v/>
      </c>
    </row>
    <row r="56" spans="2:13" ht="12" customHeight="1" x14ac:dyDescent="0.25">
      <c r="B56" s="58"/>
      <c r="C56" s="65"/>
      <c r="D56" s="61"/>
      <c r="E56" s="61"/>
      <c r="F56" s="61"/>
      <c r="G56" s="422"/>
      <c r="H56" s="17" t="str">
        <f t="shared" si="0"/>
        <v/>
      </c>
      <c r="I56" s="63"/>
      <c r="J56" s="62"/>
      <c r="K56" s="62"/>
      <c r="L56" s="420" t="str">
        <f t="shared" si="3"/>
        <v/>
      </c>
      <c r="M56" s="401" t="str">
        <f t="shared" si="4"/>
        <v/>
      </c>
    </row>
    <row r="57" spans="2:13" ht="12" customHeight="1" x14ac:dyDescent="0.25">
      <c r="B57" s="58"/>
      <c r="C57" s="787"/>
      <c r="D57" s="15"/>
      <c r="E57" s="15"/>
      <c r="F57" s="61"/>
      <c r="G57" s="422"/>
      <c r="H57" s="17" t="str">
        <f t="shared" si="0"/>
        <v/>
      </c>
      <c r="I57" s="63"/>
      <c r="J57" s="62"/>
      <c r="K57" s="62"/>
      <c r="L57" s="420" t="str">
        <f t="shared" si="3"/>
        <v/>
      </c>
      <c r="M57" s="401" t="str">
        <f t="shared" si="4"/>
        <v/>
      </c>
    </row>
    <row r="58" spans="2:13" ht="12" customHeight="1" x14ac:dyDescent="0.25">
      <c r="B58" s="58"/>
      <c r="C58" s="65"/>
      <c r="D58" s="61"/>
      <c r="E58" s="61"/>
      <c r="F58" s="61"/>
      <c r="G58" s="422"/>
      <c r="H58" s="17" t="str">
        <f t="shared" si="0"/>
        <v/>
      </c>
      <c r="I58" s="63"/>
      <c r="J58" s="62"/>
      <c r="K58" s="62"/>
      <c r="L58" s="420" t="str">
        <f t="shared" si="3"/>
        <v/>
      </c>
      <c r="M58" s="401" t="str">
        <f t="shared" si="4"/>
        <v/>
      </c>
    </row>
    <row r="59" spans="2:13" ht="12" customHeight="1" x14ac:dyDescent="0.25">
      <c r="B59" s="58"/>
      <c r="C59" s="787"/>
      <c r="D59" s="15"/>
      <c r="E59" s="15"/>
      <c r="F59" s="61"/>
      <c r="G59" s="422"/>
      <c r="H59" s="17" t="str">
        <f t="shared" si="0"/>
        <v/>
      </c>
      <c r="I59" s="63"/>
      <c r="J59" s="62"/>
      <c r="K59" s="62"/>
      <c r="L59" s="420" t="str">
        <f t="shared" si="3"/>
        <v/>
      </c>
      <c r="M59" s="401" t="str">
        <f t="shared" si="4"/>
        <v/>
      </c>
    </row>
    <row r="60" spans="2:13" ht="12" customHeight="1" x14ac:dyDescent="0.25">
      <c r="B60" s="58"/>
      <c r="C60" s="65"/>
      <c r="D60" s="61"/>
      <c r="E60" s="61"/>
      <c r="F60" s="61"/>
      <c r="G60" s="422"/>
      <c r="H60" s="17" t="str">
        <f t="shared" si="0"/>
        <v/>
      </c>
      <c r="I60" s="63"/>
      <c r="J60" s="61"/>
      <c r="K60" s="62"/>
      <c r="L60" s="420" t="str">
        <f t="shared" si="3"/>
        <v/>
      </c>
      <c r="M60" s="401" t="str">
        <f t="shared" si="4"/>
        <v/>
      </c>
    </row>
    <row r="61" spans="2:13" ht="12" customHeight="1" x14ac:dyDescent="0.25">
      <c r="B61" s="58"/>
      <c r="C61" s="65"/>
      <c r="D61" s="61"/>
      <c r="E61" s="61"/>
      <c r="F61" s="61"/>
      <c r="G61" s="422"/>
      <c r="H61" s="17" t="str">
        <f t="shared" si="0"/>
        <v/>
      </c>
      <c r="I61" s="63"/>
      <c r="J61" s="61"/>
      <c r="K61" s="62"/>
      <c r="L61" s="420" t="str">
        <f t="shared" si="3"/>
        <v/>
      </c>
      <c r="M61" s="401" t="str">
        <f t="shared" si="4"/>
        <v/>
      </c>
    </row>
    <row r="62" spans="2:13" ht="12" customHeight="1" x14ac:dyDescent="0.25">
      <c r="B62" s="58"/>
      <c r="C62" s="65"/>
      <c r="D62" s="61"/>
      <c r="E62" s="61"/>
      <c r="F62" s="61"/>
      <c r="G62" s="422"/>
      <c r="H62" s="17" t="str">
        <f t="shared" si="0"/>
        <v/>
      </c>
      <c r="I62" s="63"/>
      <c r="J62" s="61"/>
      <c r="K62" s="62"/>
      <c r="L62" s="420" t="str">
        <f t="shared" si="3"/>
        <v/>
      </c>
      <c r="M62" s="401" t="str">
        <f t="shared" si="4"/>
        <v/>
      </c>
    </row>
    <row r="63" spans="2:13" ht="12" customHeight="1" x14ac:dyDescent="0.25">
      <c r="B63" s="58"/>
      <c r="C63" s="65"/>
      <c r="D63" s="61"/>
      <c r="E63" s="61"/>
      <c r="F63" s="61"/>
      <c r="G63" s="422"/>
      <c r="H63" s="17" t="str">
        <f t="shared" si="0"/>
        <v/>
      </c>
      <c r="I63" s="63"/>
      <c r="J63" s="61"/>
      <c r="K63" s="62"/>
      <c r="L63" s="420" t="str">
        <f t="shared" si="3"/>
        <v/>
      </c>
      <c r="M63" s="401" t="str">
        <f t="shared" si="4"/>
        <v/>
      </c>
    </row>
    <row r="64" spans="2:13" ht="12" customHeight="1" x14ac:dyDescent="0.25">
      <c r="B64" s="58"/>
      <c r="C64" s="65"/>
      <c r="D64" s="61"/>
      <c r="E64" s="61"/>
      <c r="F64" s="61"/>
      <c r="G64" s="422"/>
      <c r="H64" s="17" t="str">
        <f t="shared" si="0"/>
        <v/>
      </c>
      <c r="I64" s="63"/>
      <c r="J64" s="61"/>
      <c r="K64" s="62"/>
      <c r="L64" s="420" t="str">
        <f t="shared" si="3"/>
        <v/>
      </c>
      <c r="M64" s="401" t="str">
        <f t="shared" si="4"/>
        <v/>
      </c>
    </row>
    <row r="65" spans="2:13" x14ac:dyDescent="0.25">
      <c r="B65" s="58"/>
      <c r="C65" s="65"/>
      <c r="D65" s="15"/>
      <c r="E65" s="15"/>
      <c r="F65" s="15"/>
      <c r="G65" s="422"/>
      <c r="H65" s="17" t="str">
        <f t="shared" si="0"/>
        <v/>
      </c>
      <c r="I65" s="18"/>
      <c r="J65" s="62"/>
      <c r="K65" s="62"/>
      <c r="L65" s="420" t="str">
        <f t="shared" si="3"/>
        <v/>
      </c>
      <c r="M65" s="401" t="str">
        <f t="shared" si="4"/>
        <v/>
      </c>
    </row>
    <row r="66" spans="2:13" ht="12" customHeight="1" x14ac:dyDescent="0.25">
      <c r="B66" s="58"/>
      <c r="C66" s="65"/>
      <c r="D66" s="61"/>
      <c r="E66" s="61"/>
      <c r="F66" s="61"/>
      <c r="G66" s="422"/>
      <c r="H66" s="17" t="str">
        <f t="shared" si="0"/>
        <v/>
      </c>
      <c r="I66" s="69"/>
      <c r="J66" s="62"/>
      <c r="K66" s="62"/>
      <c r="L66" s="420" t="str">
        <f t="shared" si="3"/>
        <v/>
      </c>
      <c r="M66" s="401" t="str">
        <f t="shared" si="4"/>
        <v/>
      </c>
    </row>
    <row r="67" spans="2:13" x14ac:dyDescent="0.25">
      <c r="B67" s="58"/>
      <c r="C67" s="65"/>
      <c r="D67" s="61"/>
      <c r="E67" s="61"/>
      <c r="F67" s="61"/>
      <c r="G67" s="422"/>
      <c r="H67" s="17" t="str">
        <f t="shared" si="0"/>
        <v/>
      </c>
      <c r="I67" s="63"/>
      <c r="J67" s="62"/>
      <c r="K67" s="62"/>
      <c r="L67" s="420" t="str">
        <f t="shared" si="3"/>
        <v/>
      </c>
      <c r="M67" s="401" t="str">
        <f t="shared" si="4"/>
        <v/>
      </c>
    </row>
    <row r="68" spans="2:13" ht="12" customHeight="1" x14ac:dyDescent="0.25">
      <c r="B68" s="58"/>
      <c r="C68" s="65"/>
      <c r="D68" s="15"/>
      <c r="E68" s="15"/>
      <c r="F68" s="15"/>
      <c r="G68" s="422"/>
      <c r="H68" s="17" t="str">
        <f t="shared" si="0"/>
        <v/>
      </c>
      <c r="I68" s="18"/>
      <c r="J68" s="62"/>
      <c r="K68" s="62"/>
      <c r="L68" s="420" t="str">
        <f t="shared" si="3"/>
        <v/>
      </c>
      <c r="M68" s="401" t="str">
        <f t="shared" si="4"/>
        <v/>
      </c>
    </row>
    <row r="69" spans="2:13" x14ac:dyDescent="0.25">
      <c r="B69" s="58"/>
      <c r="C69" s="65"/>
      <c r="D69" s="15"/>
      <c r="E69" s="15"/>
      <c r="F69" s="15"/>
      <c r="G69" s="422"/>
      <c r="H69" s="17" t="str">
        <f t="shared" si="0"/>
        <v/>
      </c>
      <c r="I69" s="18"/>
      <c r="J69" s="62"/>
      <c r="K69" s="399" t="str">
        <f>IF(D69="","",ROUND(Labour_perc_structures*G69,1))</f>
        <v/>
      </c>
      <c r="L69" s="420" t="str">
        <f t="shared" si="3"/>
        <v/>
      </c>
      <c r="M69" s="401" t="str">
        <f t="shared" si="4"/>
        <v/>
      </c>
    </row>
    <row r="70" spans="2:13" ht="12" customHeight="1" x14ac:dyDescent="0.25">
      <c r="B70" s="58"/>
      <c r="C70" s="65"/>
      <c r="D70" s="15"/>
      <c r="E70" s="15"/>
      <c r="F70" s="15"/>
      <c r="G70" s="422"/>
      <c r="H70" s="17" t="str">
        <f t="shared" si="0"/>
        <v/>
      </c>
      <c r="I70" s="18"/>
      <c r="J70" s="62"/>
      <c r="K70" s="62"/>
      <c r="L70" s="420" t="str">
        <f t="shared" si="3"/>
        <v/>
      </c>
      <c r="M70" s="401" t="str">
        <f t="shared" si="4"/>
        <v/>
      </c>
    </row>
    <row r="71" spans="2:13" x14ac:dyDescent="0.25">
      <c r="B71" s="58"/>
      <c r="C71" s="65"/>
      <c r="D71" s="15"/>
      <c r="E71" s="15"/>
      <c r="F71" s="15"/>
      <c r="G71" s="422"/>
      <c r="H71" s="17" t="str">
        <f t="shared" si="0"/>
        <v/>
      </c>
      <c r="I71" s="18"/>
      <c r="J71" s="62"/>
      <c r="K71" s="62"/>
      <c r="L71" s="420" t="str">
        <f t="shared" si="3"/>
        <v/>
      </c>
      <c r="M71" s="401" t="str">
        <f t="shared" si="4"/>
        <v/>
      </c>
    </row>
    <row r="72" spans="2:13" ht="12" customHeight="1" x14ac:dyDescent="0.25">
      <c r="B72" s="58"/>
      <c r="C72" s="65"/>
      <c r="D72" s="15"/>
      <c r="E72" s="15"/>
      <c r="F72" s="15"/>
      <c r="G72" s="422"/>
      <c r="H72" s="17" t="str">
        <f t="shared" si="0"/>
        <v/>
      </c>
      <c r="I72" s="18"/>
      <c r="J72" s="61"/>
      <c r="K72" s="62"/>
      <c r="L72" s="420" t="str">
        <f t="shared" si="3"/>
        <v/>
      </c>
      <c r="M72" s="401" t="str">
        <f t="shared" si="4"/>
        <v/>
      </c>
    </row>
    <row r="73" spans="2:13" x14ac:dyDescent="0.25">
      <c r="B73" s="58"/>
      <c r="C73" s="65"/>
      <c r="D73" s="15"/>
      <c r="E73" s="15"/>
      <c r="F73" s="15"/>
      <c r="G73" s="422"/>
      <c r="H73" s="17" t="str">
        <f t="shared" si="0"/>
        <v/>
      </c>
      <c r="I73" s="18"/>
      <c r="J73" s="61"/>
      <c r="K73" s="695"/>
      <c r="L73" s="420" t="str">
        <f t="shared" si="3"/>
        <v/>
      </c>
      <c r="M73" s="401" t="str">
        <f t="shared" si="4"/>
        <v/>
      </c>
    </row>
    <row r="74" spans="2:13" ht="12" customHeight="1" x14ac:dyDescent="0.25">
      <c r="B74" s="58"/>
      <c r="C74" s="65"/>
      <c r="D74" s="15"/>
      <c r="E74" s="15"/>
      <c r="F74" s="15"/>
      <c r="G74" s="422"/>
      <c r="H74" s="17" t="str">
        <f t="shared" si="0"/>
        <v/>
      </c>
      <c r="I74" s="18"/>
      <c r="J74" s="61"/>
      <c r="K74" s="696"/>
      <c r="L74" s="420" t="str">
        <f t="shared" si="3"/>
        <v/>
      </c>
      <c r="M74" s="401" t="str">
        <f t="shared" si="4"/>
        <v/>
      </c>
    </row>
    <row r="75" spans="2:13" s="28" customFormat="1" ht="19.5" customHeight="1" x14ac:dyDescent="0.25">
      <c r="B75" s="135" t="str">
        <f>$B$12</f>
        <v>C13.1</v>
      </c>
      <c r="C75" s="30" t="s">
        <v>12</v>
      </c>
      <c r="D75" s="31"/>
      <c r="E75" s="31"/>
      <c r="F75" s="32"/>
      <c r="G75" s="31"/>
      <c r="H75" s="33">
        <f>SUM(H11:H74)</f>
        <v>358750</v>
      </c>
      <c r="I75" s="34"/>
      <c r="J75" s="408"/>
      <c r="K75" s="406"/>
      <c r="L75" s="418">
        <f>SUM(L11:L74)</f>
        <v>110610</v>
      </c>
      <c r="M75" s="407" t="str">
        <f t="shared" ref="M75" si="8">IF(J75="","",IF(SUM(H75)=0,"",L75/H75))</f>
        <v/>
      </c>
    </row>
    <row r="76" spans="2:13" ht="13" x14ac:dyDescent="0.25">
      <c r="B76" s="1108" t="str">
        <f>Client1</f>
        <v>Province of KwaZulu-Natal</v>
      </c>
      <c r="C76" s="1108"/>
      <c r="D76" s="1108"/>
      <c r="E76" s="87"/>
      <c r="F76" s="1109" t="str">
        <f>"Contract No. "&amp;ContractNo</f>
        <v>Contract No. ZNB 00399/00000/HOD/INF/21/T</v>
      </c>
      <c r="G76" s="1109"/>
      <c r="H76" s="1109"/>
    </row>
    <row r="77" spans="2:13" ht="13" x14ac:dyDescent="0.25">
      <c r="B77" s="1108" t="str">
        <f>Client2</f>
        <v>Department of Transport</v>
      </c>
      <c r="C77" s="1108"/>
      <c r="D77" s="1108"/>
      <c r="E77" s="87"/>
      <c r="F77" s="1109"/>
      <c r="G77" s="1109"/>
      <c r="H77" s="1109"/>
    </row>
    <row r="78" spans="2:13" x14ac:dyDescent="0.25">
      <c r="B78" s="1111"/>
      <c r="C78" s="1111"/>
      <c r="D78" s="1111"/>
      <c r="E78" s="78"/>
      <c r="F78" s="1110"/>
      <c r="G78" s="1110"/>
      <c r="H78" s="1110"/>
    </row>
    <row r="79" spans="2:13" ht="13" x14ac:dyDescent="0.25">
      <c r="B79" s="1112" t="s">
        <v>1773</v>
      </c>
      <c r="C79" s="1113"/>
      <c r="D79" s="1113"/>
      <c r="E79" s="1113"/>
      <c r="F79" s="1113"/>
      <c r="G79" s="1113"/>
      <c r="H79" s="1125" t="str">
        <f>$H$6</f>
        <v>CHAPTER C13.1</v>
      </c>
      <c r="I79" s="6"/>
    </row>
    <row r="80" spans="2:13" ht="35.25" customHeight="1" x14ac:dyDescent="0.25">
      <c r="B80" s="1117" t="str">
        <f>ContractDescription</f>
        <v>THE CONSTRUCTION OF EARTHWORKS, LAYERWORKS, SURFACING, CULVERTS AND CWAKA RIVER BRIDGE FROM KM 11.600 TO KM 14.000 ON MAIN ROAD P494 IN THE KING CETSHWAYO DISTRICT UNDER EMPANGENI REGION</v>
      </c>
      <c r="C80" s="1148"/>
      <c r="D80" s="1148"/>
      <c r="E80" s="1148"/>
      <c r="F80" s="1148"/>
      <c r="G80" s="1148"/>
      <c r="H80" s="1126"/>
      <c r="I80" s="8"/>
    </row>
    <row r="81" spans="2:13" ht="23.25" customHeight="1" x14ac:dyDescent="0.25">
      <c r="B81" s="1149" t="s">
        <v>1775</v>
      </c>
      <c r="C81" s="1150"/>
      <c r="D81" s="1150"/>
      <c r="E81" s="1150"/>
      <c r="F81" s="1150"/>
      <c r="G81" s="1150"/>
      <c r="H81" s="1126"/>
      <c r="I81" s="8"/>
    </row>
    <row r="82" spans="2:13" ht="13" x14ac:dyDescent="0.25">
      <c r="B82" s="611"/>
      <c r="C82" s="612"/>
      <c r="D82" s="612"/>
      <c r="E82" s="612"/>
      <c r="F82" s="612"/>
      <c r="G82" s="612"/>
      <c r="H82" s="1127"/>
      <c r="I82" s="8"/>
    </row>
    <row r="83" spans="2:13" s="9" customFormat="1" ht="25" customHeight="1" x14ac:dyDescent="0.25">
      <c r="B83" s="74" t="s">
        <v>0</v>
      </c>
      <c r="C83" s="11" t="s">
        <v>1</v>
      </c>
      <c r="D83" s="11" t="s">
        <v>2</v>
      </c>
      <c r="E83" s="11"/>
      <c r="F83" s="11" t="s">
        <v>3</v>
      </c>
      <c r="G83" s="11" t="s">
        <v>4</v>
      </c>
      <c r="H83" s="11" t="s">
        <v>5</v>
      </c>
      <c r="I83" s="12"/>
      <c r="J83" s="408" t="s">
        <v>996</v>
      </c>
      <c r="K83" s="253" t="s">
        <v>997</v>
      </c>
      <c r="L83" s="253" t="s">
        <v>998</v>
      </c>
      <c r="M83" s="253" t="s">
        <v>999</v>
      </c>
    </row>
    <row r="84" spans="2:13" s="28" customFormat="1" ht="19.5" customHeight="1" x14ac:dyDescent="0.25">
      <c r="B84" s="80"/>
      <c r="C84" s="30" t="s">
        <v>27</v>
      </c>
      <c r="D84" s="31"/>
      <c r="E84" s="31"/>
      <c r="F84" s="32"/>
      <c r="G84" s="31"/>
      <c r="H84" s="33">
        <f>H75</f>
        <v>358750</v>
      </c>
      <c r="I84" s="34"/>
      <c r="J84" s="416"/>
      <c r="K84" s="409"/>
      <c r="L84" s="419">
        <f>L75</f>
        <v>110610</v>
      </c>
      <c r="M84" s="410" t="str">
        <f t="shared" ref="M84:M87" si="9">IF(J84="","",IF(SUM(H84)=0,"",L84/H84))</f>
        <v/>
      </c>
    </row>
    <row r="85" spans="2:13" x14ac:dyDescent="0.25">
      <c r="B85" s="46"/>
      <c r="C85" s="14"/>
      <c r="D85" s="15"/>
      <c r="E85" s="15"/>
      <c r="F85" s="15"/>
      <c r="G85" s="64"/>
      <c r="H85" s="17" t="str">
        <f t="shared" ref="H85:H86" si="10">IF(D85="","",F85*G85)</f>
        <v/>
      </c>
      <c r="I85" s="18"/>
      <c r="J85" s="61"/>
      <c r="K85" s="399"/>
      <c r="L85" s="420" t="str">
        <f t="shared" ref="L85:L86" si="11">IF(J85="","",F85*K85)</f>
        <v/>
      </c>
      <c r="M85" s="401" t="str">
        <f t="shared" ref="M85:M86" si="12">IF(J85="","",IF(SUM(H85)=0,"",L85/H85))</f>
        <v/>
      </c>
    </row>
    <row r="86" spans="2:13" x14ac:dyDescent="0.25">
      <c r="B86" s="46"/>
      <c r="C86" s="14"/>
      <c r="D86" s="15"/>
      <c r="E86" s="15"/>
      <c r="F86" s="15"/>
      <c r="G86" s="64"/>
      <c r="H86" s="17" t="str">
        <f t="shared" si="10"/>
        <v/>
      </c>
      <c r="I86" s="18"/>
      <c r="J86" s="61"/>
      <c r="K86" s="399"/>
      <c r="L86" s="420" t="str">
        <f t="shared" si="11"/>
        <v/>
      </c>
      <c r="M86" s="401" t="str">
        <f t="shared" si="12"/>
        <v/>
      </c>
    </row>
    <row r="87" spans="2:13" x14ac:dyDescent="0.25">
      <c r="B87" s="46"/>
      <c r="C87" s="14"/>
      <c r="D87" s="15"/>
      <c r="E87" s="15"/>
      <c r="F87" s="15"/>
      <c r="G87" s="64"/>
      <c r="H87" s="17" t="str">
        <f t="shared" ref="H87" si="13">IF(D87="","",F87*G87)</f>
        <v/>
      </c>
      <c r="I87" s="18"/>
      <c r="J87" s="61"/>
      <c r="K87" s="399"/>
      <c r="L87" s="420" t="str">
        <f t="shared" ref="L87" si="14">IF(J87="","",F87*K87)</f>
        <v/>
      </c>
      <c r="M87" s="401" t="str">
        <f t="shared" si="9"/>
        <v/>
      </c>
    </row>
    <row r="88" spans="2:13" x14ac:dyDescent="0.25">
      <c r="B88" s="46"/>
      <c r="C88" s="14"/>
      <c r="D88" s="15"/>
      <c r="E88" s="15"/>
      <c r="F88" s="15"/>
      <c r="G88" s="64"/>
      <c r="H88" s="17" t="str">
        <f t="shared" ref="H88:H139" si="15">IF(D88="","",F88*G88)</f>
        <v/>
      </c>
      <c r="I88" s="18"/>
      <c r="J88" s="61"/>
      <c r="K88" s="399"/>
      <c r="L88" s="420" t="str">
        <f t="shared" ref="L88:L139" si="16">IF(J88="","",F88*K88)</f>
        <v/>
      </c>
      <c r="M88" s="401" t="str">
        <f t="shared" ref="M88:M139" si="17">IF(J88="","",IF(SUM(H88)=0,"",L88/H88))</f>
        <v/>
      </c>
    </row>
    <row r="89" spans="2:13" x14ac:dyDescent="0.25">
      <c r="B89" s="46"/>
      <c r="C89" s="14"/>
      <c r="D89" s="15"/>
      <c r="E89" s="15"/>
      <c r="F89" s="15"/>
      <c r="G89" s="64"/>
      <c r="H89" s="17" t="str">
        <f t="shared" si="15"/>
        <v/>
      </c>
      <c r="I89" s="18"/>
      <c r="J89" s="61"/>
      <c r="K89" s="400"/>
      <c r="L89" s="420" t="str">
        <f t="shared" si="16"/>
        <v/>
      </c>
      <c r="M89" s="401" t="str">
        <f t="shared" si="17"/>
        <v/>
      </c>
    </row>
    <row r="90" spans="2:13" x14ac:dyDescent="0.25">
      <c r="B90" s="46"/>
      <c r="C90" s="14"/>
      <c r="D90" s="15"/>
      <c r="E90" s="15"/>
      <c r="F90" s="15"/>
      <c r="G90" s="64"/>
      <c r="H90" s="17" t="str">
        <f t="shared" si="15"/>
        <v/>
      </c>
      <c r="I90" s="18"/>
      <c r="J90" s="61"/>
      <c r="K90" s="399"/>
      <c r="L90" s="420" t="str">
        <f t="shared" si="16"/>
        <v/>
      </c>
      <c r="M90" s="401" t="str">
        <f t="shared" si="17"/>
        <v/>
      </c>
    </row>
    <row r="91" spans="2:13" x14ac:dyDescent="0.25">
      <c r="B91" s="46"/>
      <c r="C91" s="14"/>
      <c r="D91" s="15"/>
      <c r="E91" s="15"/>
      <c r="F91" s="15"/>
      <c r="G91" s="64"/>
      <c r="H91" s="17" t="str">
        <f t="shared" si="15"/>
        <v/>
      </c>
      <c r="I91" s="18"/>
      <c r="J91" s="61"/>
      <c r="K91" s="399"/>
      <c r="L91" s="420" t="str">
        <f t="shared" si="16"/>
        <v/>
      </c>
      <c r="M91" s="401" t="str">
        <f t="shared" si="17"/>
        <v/>
      </c>
    </row>
    <row r="92" spans="2:13" x14ac:dyDescent="0.25">
      <c r="B92" s="46"/>
      <c r="C92" s="14"/>
      <c r="D92" s="15"/>
      <c r="E92" s="15"/>
      <c r="F92" s="15"/>
      <c r="G92" s="64"/>
      <c r="H92" s="17" t="str">
        <f t="shared" si="15"/>
        <v/>
      </c>
      <c r="I92" s="18"/>
      <c r="J92" s="61"/>
      <c r="K92" s="399"/>
      <c r="L92" s="420" t="str">
        <f t="shared" si="16"/>
        <v/>
      </c>
      <c r="M92" s="401" t="str">
        <f t="shared" si="17"/>
        <v/>
      </c>
    </row>
    <row r="93" spans="2:13" x14ac:dyDescent="0.25">
      <c r="B93" s="46"/>
      <c r="C93" s="14"/>
      <c r="D93" s="15"/>
      <c r="E93" s="15"/>
      <c r="F93" s="15"/>
      <c r="G93" s="64"/>
      <c r="H93" s="17" t="str">
        <f t="shared" si="15"/>
        <v/>
      </c>
      <c r="I93" s="18"/>
      <c r="J93" s="61"/>
      <c r="K93" s="402"/>
      <c r="L93" s="420" t="str">
        <f t="shared" si="16"/>
        <v/>
      </c>
      <c r="M93" s="401" t="str">
        <f t="shared" si="17"/>
        <v/>
      </c>
    </row>
    <row r="94" spans="2:13" x14ac:dyDescent="0.25">
      <c r="B94" s="46"/>
      <c r="C94" s="14"/>
      <c r="D94" s="15"/>
      <c r="E94" s="15"/>
      <c r="F94" s="15"/>
      <c r="G94" s="64"/>
      <c r="H94" s="17" t="str">
        <f t="shared" si="15"/>
        <v/>
      </c>
      <c r="I94" s="18"/>
      <c r="J94" s="61"/>
      <c r="K94" s="402"/>
      <c r="L94" s="420" t="str">
        <f t="shared" si="16"/>
        <v/>
      </c>
      <c r="M94" s="401" t="str">
        <f t="shared" si="17"/>
        <v/>
      </c>
    </row>
    <row r="95" spans="2:13" x14ac:dyDescent="0.25">
      <c r="B95" s="46"/>
      <c r="C95" s="14"/>
      <c r="D95" s="15"/>
      <c r="E95" s="15"/>
      <c r="F95" s="15"/>
      <c r="G95" s="64"/>
      <c r="H95" s="17" t="str">
        <f t="shared" si="15"/>
        <v/>
      </c>
      <c r="I95" s="18"/>
      <c r="J95" s="61"/>
      <c r="K95" s="402"/>
      <c r="L95" s="420" t="str">
        <f t="shared" si="16"/>
        <v/>
      </c>
      <c r="M95" s="401" t="str">
        <f t="shared" si="17"/>
        <v/>
      </c>
    </row>
    <row r="96" spans="2:13" x14ac:dyDescent="0.25">
      <c r="B96" s="46"/>
      <c r="C96" s="14"/>
      <c r="D96" s="15"/>
      <c r="E96" s="15"/>
      <c r="F96" s="15"/>
      <c r="G96" s="64"/>
      <c r="H96" s="17" t="str">
        <f t="shared" si="15"/>
        <v/>
      </c>
      <c r="I96" s="18"/>
      <c r="J96" s="61"/>
      <c r="K96" s="402"/>
      <c r="L96" s="420" t="str">
        <f t="shared" si="16"/>
        <v/>
      </c>
      <c r="M96" s="401" t="str">
        <f t="shared" si="17"/>
        <v/>
      </c>
    </row>
    <row r="97" spans="2:13" x14ac:dyDescent="0.25">
      <c r="B97" s="46"/>
      <c r="C97" s="14"/>
      <c r="D97" s="15"/>
      <c r="E97" s="15"/>
      <c r="F97" s="15"/>
      <c r="G97" s="64"/>
      <c r="H97" s="17" t="str">
        <f t="shared" si="15"/>
        <v/>
      </c>
      <c r="I97" s="18"/>
      <c r="J97" s="61"/>
      <c r="K97" s="402"/>
      <c r="L97" s="420" t="str">
        <f t="shared" si="16"/>
        <v/>
      </c>
      <c r="M97" s="401" t="str">
        <f t="shared" si="17"/>
        <v/>
      </c>
    </row>
    <row r="98" spans="2:13" x14ac:dyDescent="0.25">
      <c r="B98" s="46"/>
      <c r="C98" s="14"/>
      <c r="D98" s="15"/>
      <c r="E98" s="15"/>
      <c r="F98" s="15"/>
      <c r="G98" s="64"/>
      <c r="H98" s="17" t="str">
        <f t="shared" si="15"/>
        <v/>
      </c>
      <c r="I98" s="18"/>
      <c r="J98" s="61"/>
      <c r="K98" s="402"/>
      <c r="L98" s="420" t="str">
        <f t="shared" si="16"/>
        <v/>
      </c>
      <c r="M98" s="401" t="str">
        <f t="shared" si="17"/>
        <v/>
      </c>
    </row>
    <row r="99" spans="2:13" x14ac:dyDescent="0.25">
      <c r="B99" s="46"/>
      <c r="C99" s="14"/>
      <c r="D99" s="15"/>
      <c r="E99" s="15"/>
      <c r="F99" s="15"/>
      <c r="G99" s="64"/>
      <c r="H99" s="17" t="str">
        <f t="shared" si="15"/>
        <v/>
      </c>
      <c r="I99" s="18"/>
      <c r="J99" s="61"/>
      <c r="K99" s="399"/>
      <c r="L99" s="420" t="str">
        <f t="shared" si="16"/>
        <v/>
      </c>
      <c r="M99" s="401" t="str">
        <f t="shared" si="17"/>
        <v/>
      </c>
    </row>
    <row r="100" spans="2:13" x14ac:dyDescent="0.25">
      <c r="B100" s="46"/>
      <c r="C100" s="14"/>
      <c r="D100" s="15"/>
      <c r="E100" s="15"/>
      <c r="F100" s="15"/>
      <c r="G100" s="64"/>
      <c r="H100" s="17" t="str">
        <f t="shared" si="15"/>
        <v/>
      </c>
      <c r="I100" s="18"/>
      <c r="J100" s="61"/>
      <c r="K100" s="399"/>
      <c r="L100" s="420" t="str">
        <f t="shared" si="16"/>
        <v/>
      </c>
      <c r="M100" s="401" t="str">
        <f t="shared" si="17"/>
        <v/>
      </c>
    </row>
    <row r="101" spans="2:13" x14ac:dyDescent="0.25">
      <c r="B101" s="46"/>
      <c r="C101" s="14"/>
      <c r="D101" s="15"/>
      <c r="E101" s="15"/>
      <c r="F101" s="15"/>
      <c r="G101" s="64"/>
      <c r="H101" s="17" t="str">
        <f t="shared" si="15"/>
        <v/>
      </c>
      <c r="I101" s="18"/>
      <c r="J101" s="61"/>
      <c r="K101" s="400"/>
      <c r="L101" s="420" t="str">
        <f t="shared" si="16"/>
        <v/>
      </c>
      <c r="M101" s="401" t="str">
        <f t="shared" si="17"/>
        <v/>
      </c>
    </row>
    <row r="102" spans="2:13" x14ac:dyDescent="0.25">
      <c r="B102" s="46"/>
      <c r="C102" s="14"/>
      <c r="D102" s="15"/>
      <c r="E102" s="15"/>
      <c r="F102" s="15"/>
      <c r="G102" s="64"/>
      <c r="H102" s="17" t="str">
        <f t="shared" si="15"/>
        <v/>
      </c>
      <c r="I102" s="18"/>
      <c r="J102" s="61"/>
      <c r="K102" s="399"/>
      <c r="L102" s="420" t="str">
        <f t="shared" si="16"/>
        <v/>
      </c>
      <c r="M102" s="401" t="str">
        <f t="shared" si="17"/>
        <v/>
      </c>
    </row>
    <row r="103" spans="2:13" x14ac:dyDescent="0.25">
      <c r="B103" s="46"/>
      <c r="C103" s="14"/>
      <c r="D103" s="15"/>
      <c r="E103" s="15"/>
      <c r="F103" s="15"/>
      <c r="G103" s="64"/>
      <c r="H103" s="17" t="str">
        <f t="shared" si="15"/>
        <v/>
      </c>
      <c r="I103" s="18"/>
      <c r="J103" s="61"/>
      <c r="K103" s="399"/>
      <c r="L103" s="420" t="str">
        <f t="shared" si="16"/>
        <v/>
      </c>
      <c r="M103" s="401" t="str">
        <f t="shared" si="17"/>
        <v/>
      </c>
    </row>
    <row r="104" spans="2:13" x14ac:dyDescent="0.25">
      <c r="B104" s="46"/>
      <c r="C104" s="14"/>
      <c r="D104" s="15"/>
      <c r="E104" s="15"/>
      <c r="F104" s="15"/>
      <c r="G104" s="64"/>
      <c r="H104" s="17" t="str">
        <f t="shared" si="15"/>
        <v/>
      </c>
      <c r="I104" s="18"/>
      <c r="J104" s="61"/>
      <c r="K104" s="399"/>
      <c r="L104" s="420" t="str">
        <f t="shared" si="16"/>
        <v/>
      </c>
      <c r="M104" s="401" t="str">
        <f t="shared" si="17"/>
        <v/>
      </c>
    </row>
    <row r="105" spans="2:13" x14ac:dyDescent="0.25">
      <c r="B105" s="46"/>
      <c r="C105" s="14"/>
      <c r="D105" s="15"/>
      <c r="E105" s="15"/>
      <c r="F105" s="15"/>
      <c r="G105" s="64"/>
      <c r="H105" s="17" t="str">
        <f t="shared" si="15"/>
        <v/>
      </c>
      <c r="I105" s="18"/>
      <c r="J105" s="61"/>
      <c r="K105" s="399"/>
      <c r="L105" s="420" t="str">
        <f t="shared" si="16"/>
        <v/>
      </c>
      <c r="M105" s="401" t="str">
        <f t="shared" si="17"/>
        <v/>
      </c>
    </row>
    <row r="106" spans="2:13" x14ac:dyDescent="0.25">
      <c r="B106" s="46"/>
      <c r="C106" s="14"/>
      <c r="D106" s="15"/>
      <c r="E106" s="15"/>
      <c r="F106" s="15"/>
      <c r="G106" s="64"/>
      <c r="H106" s="17" t="str">
        <f t="shared" si="15"/>
        <v/>
      </c>
      <c r="I106" s="18"/>
      <c r="J106" s="61"/>
      <c r="K106" s="399"/>
      <c r="L106" s="420" t="str">
        <f t="shared" si="16"/>
        <v/>
      </c>
      <c r="M106" s="401" t="str">
        <f t="shared" si="17"/>
        <v/>
      </c>
    </row>
    <row r="107" spans="2:13" x14ac:dyDescent="0.25">
      <c r="B107" s="46"/>
      <c r="C107" s="14"/>
      <c r="D107" s="15"/>
      <c r="E107" s="15"/>
      <c r="F107" s="15"/>
      <c r="G107" s="64"/>
      <c r="H107" s="17" t="str">
        <f t="shared" si="15"/>
        <v/>
      </c>
      <c r="I107" s="18"/>
      <c r="J107" s="61"/>
      <c r="K107" s="400"/>
      <c r="L107" s="420" t="str">
        <f t="shared" si="16"/>
        <v/>
      </c>
      <c r="M107" s="401" t="str">
        <f t="shared" si="17"/>
        <v/>
      </c>
    </row>
    <row r="108" spans="2:13" x14ac:dyDescent="0.25">
      <c r="B108" s="46"/>
      <c r="C108" s="14"/>
      <c r="D108" s="15"/>
      <c r="E108" s="15"/>
      <c r="F108" s="15"/>
      <c r="G108" s="64"/>
      <c r="H108" s="17" t="str">
        <f t="shared" si="15"/>
        <v/>
      </c>
      <c r="I108" s="18"/>
      <c r="J108" s="61"/>
      <c r="K108" s="399"/>
      <c r="L108" s="420" t="str">
        <f t="shared" si="16"/>
        <v/>
      </c>
      <c r="M108" s="401" t="str">
        <f t="shared" si="17"/>
        <v/>
      </c>
    </row>
    <row r="109" spans="2:13" x14ac:dyDescent="0.25">
      <c r="B109" s="46"/>
      <c r="C109" s="14"/>
      <c r="D109" s="15"/>
      <c r="E109" s="15"/>
      <c r="F109" s="15"/>
      <c r="G109" s="64"/>
      <c r="H109" s="17" t="str">
        <f t="shared" si="15"/>
        <v/>
      </c>
      <c r="I109" s="18"/>
      <c r="J109" s="61"/>
      <c r="K109" s="399"/>
      <c r="L109" s="420" t="str">
        <f t="shared" si="16"/>
        <v/>
      </c>
      <c r="M109" s="401" t="str">
        <f t="shared" si="17"/>
        <v/>
      </c>
    </row>
    <row r="110" spans="2:13" x14ac:dyDescent="0.25">
      <c r="B110" s="46"/>
      <c r="C110" s="14"/>
      <c r="D110" s="15"/>
      <c r="E110" s="15"/>
      <c r="F110" s="15"/>
      <c r="G110" s="64"/>
      <c r="H110" s="17" t="str">
        <f t="shared" si="15"/>
        <v/>
      </c>
      <c r="I110" s="18"/>
      <c r="J110" s="61"/>
      <c r="K110" s="399"/>
      <c r="L110" s="420" t="str">
        <f t="shared" si="16"/>
        <v/>
      </c>
      <c r="M110" s="401" t="str">
        <f t="shared" si="17"/>
        <v/>
      </c>
    </row>
    <row r="111" spans="2:13" x14ac:dyDescent="0.25">
      <c r="B111" s="46"/>
      <c r="C111" s="14"/>
      <c r="D111" s="15"/>
      <c r="E111" s="15"/>
      <c r="F111" s="15"/>
      <c r="G111" s="64"/>
      <c r="H111" s="17" t="str">
        <f t="shared" si="15"/>
        <v/>
      </c>
      <c r="I111" s="18"/>
      <c r="J111" s="61"/>
      <c r="K111" s="399"/>
      <c r="L111" s="420" t="str">
        <f t="shared" si="16"/>
        <v/>
      </c>
      <c r="M111" s="401" t="str">
        <f t="shared" si="17"/>
        <v/>
      </c>
    </row>
    <row r="112" spans="2:13" x14ac:dyDescent="0.25">
      <c r="B112" s="46"/>
      <c r="C112" s="14"/>
      <c r="D112" s="15"/>
      <c r="E112" s="15"/>
      <c r="F112" s="15"/>
      <c r="G112" s="64"/>
      <c r="H112" s="17" t="str">
        <f t="shared" si="15"/>
        <v/>
      </c>
      <c r="I112" s="18"/>
      <c r="J112" s="61"/>
      <c r="K112" s="399"/>
      <c r="L112" s="420" t="str">
        <f t="shared" si="16"/>
        <v/>
      </c>
      <c r="M112" s="401" t="str">
        <f t="shared" si="17"/>
        <v/>
      </c>
    </row>
    <row r="113" spans="2:13" x14ac:dyDescent="0.25">
      <c r="B113" s="46"/>
      <c r="C113" s="14"/>
      <c r="D113" s="15"/>
      <c r="E113" s="15"/>
      <c r="F113" s="15"/>
      <c r="G113" s="64"/>
      <c r="H113" s="17" t="str">
        <f t="shared" si="15"/>
        <v/>
      </c>
      <c r="I113" s="18"/>
      <c r="J113" s="61"/>
      <c r="K113" s="399"/>
      <c r="L113" s="420" t="str">
        <f t="shared" si="16"/>
        <v/>
      </c>
      <c r="M113" s="401" t="str">
        <f t="shared" si="17"/>
        <v/>
      </c>
    </row>
    <row r="114" spans="2:13" x14ac:dyDescent="0.25">
      <c r="B114" s="46"/>
      <c r="C114" s="14"/>
      <c r="D114" s="15"/>
      <c r="E114" s="15"/>
      <c r="F114" s="15"/>
      <c r="G114" s="64"/>
      <c r="H114" s="17" t="str">
        <f t="shared" si="15"/>
        <v/>
      </c>
      <c r="I114" s="18"/>
      <c r="J114" s="61"/>
      <c r="K114" s="399"/>
      <c r="L114" s="420" t="str">
        <f t="shared" si="16"/>
        <v/>
      </c>
      <c r="M114" s="401" t="str">
        <f t="shared" si="17"/>
        <v/>
      </c>
    </row>
    <row r="115" spans="2:13" x14ac:dyDescent="0.25">
      <c r="B115" s="46"/>
      <c r="C115" s="14"/>
      <c r="D115" s="15"/>
      <c r="E115" s="15"/>
      <c r="F115" s="15"/>
      <c r="G115" s="64"/>
      <c r="H115" s="17" t="str">
        <f t="shared" si="15"/>
        <v/>
      </c>
      <c r="I115" s="18"/>
      <c r="J115" s="61"/>
      <c r="K115" s="399"/>
      <c r="L115" s="420" t="str">
        <f t="shared" si="16"/>
        <v/>
      </c>
      <c r="M115" s="401" t="str">
        <f t="shared" si="17"/>
        <v/>
      </c>
    </row>
    <row r="116" spans="2:13" x14ac:dyDescent="0.25">
      <c r="B116" s="46"/>
      <c r="C116" s="14"/>
      <c r="D116" s="15"/>
      <c r="E116" s="15"/>
      <c r="F116" s="15"/>
      <c r="G116" s="64"/>
      <c r="H116" s="17" t="str">
        <f t="shared" si="15"/>
        <v/>
      </c>
      <c r="I116" s="18"/>
      <c r="J116" s="61"/>
      <c r="K116" s="399"/>
      <c r="L116" s="420" t="str">
        <f t="shared" si="16"/>
        <v/>
      </c>
      <c r="M116" s="401" t="str">
        <f t="shared" si="17"/>
        <v/>
      </c>
    </row>
    <row r="117" spans="2:13" x14ac:dyDescent="0.25">
      <c r="B117" s="46"/>
      <c r="C117" s="14"/>
      <c r="D117" s="15"/>
      <c r="E117" s="15"/>
      <c r="F117" s="15"/>
      <c r="G117" s="64"/>
      <c r="H117" s="17" t="str">
        <f t="shared" si="15"/>
        <v/>
      </c>
      <c r="I117" s="18"/>
      <c r="J117" s="61"/>
      <c r="K117" s="399"/>
      <c r="L117" s="420" t="str">
        <f t="shared" si="16"/>
        <v/>
      </c>
      <c r="M117" s="401" t="str">
        <f t="shared" si="17"/>
        <v/>
      </c>
    </row>
    <row r="118" spans="2:13" x14ac:dyDescent="0.25">
      <c r="B118" s="46"/>
      <c r="C118" s="14"/>
      <c r="D118" s="15"/>
      <c r="E118" s="15"/>
      <c r="F118" s="15"/>
      <c r="G118" s="64"/>
      <c r="H118" s="17" t="str">
        <f t="shared" si="15"/>
        <v/>
      </c>
      <c r="I118" s="18"/>
      <c r="J118" s="61"/>
      <c r="K118" s="399"/>
      <c r="L118" s="420" t="str">
        <f t="shared" si="16"/>
        <v/>
      </c>
      <c r="M118" s="401" t="str">
        <f t="shared" si="17"/>
        <v/>
      </c>
    </row>
    <row r="119" spans="2:13" x14ac:dyDescent="0.25">
      <c r="B119" s="46"/>
      <c r="C119" s="14"/>
      <c r="D119" s="15"/>
      <c r="E119" s="15"/>
      <c r="F119" s="15"/>
      <c r="G119" s="64"/>
      <c r="H119" s="17" t="str">
        <f t="shared" si="15"/>
        <v/>
      </c>
      <c r="I119" s="18"/>
      <c r="J119" s="61"/>
      <c r="K119" s="402"/>
      <c r="L119" s="420" t="str">
        <f t="shared" si="16"/>
        <v/>
      </c>
      <c r="M119" s="401" t="str">
        <f t="shared" si="17"/>
        <v/>
      </c>
    </row>
    <row r="120" spans="2:13" x14ac:dyDescent="0.25">
      <c r="B120" s="46"/>
      <c r="C120" s="14"/>
      <c r="D120" s="15"/>
      <c r="E120" s="15"/>
      <c r="F120" s="15"/>
      <c r="G120" s="64"/>
      <c r="H120" s="17" t="str">
        <f t="shared" si="15"/>
        <v/>
      </c>
      <c r="I120" s="18"/>
      <c r="J120" s="61"/>
      <c r="K120" s="399"/>
      <c r="L120" s="420" t="str">
        <f t="shared" si="16"/>
        <v/>
      </c>
      <c r="M120" s="401" t="str">
        <f t="shared" si="17"/>
        <v/>
      </c>
    </row>
    <row r="121" spans="2:13" x14ac:dyDescent="0.25">
      <c r="B121" s="46"/>
      <c r="C121" s="14"/>
      <c r="D121" s="15"/>
      <c r="E121" s="15"/>
      <c r="F121" s="15"/>
      <c r="G121" s="64"/>
      <c r="H121" s="17" t="str">
        <f t="shared" si="15"/>
        <v/>
      </c>
      <c r="I121" s="18"/>
      <c r="J121" s="61"/>
      <c r="K121" s="402"/>
      <c r="L121" s="420" t="str">
        <f t="shared" si="16"/>
        <v/>
      </c>
      <c r="M121" s="401" t="str">
        <f t="shared" si="17"/>
        <v/>
      </c>
    </row>
    <row r="122" spans="2:13" x14ac:dyDescent="0.25">
      <c r="B122" s="46"/>
      <c r="C122" s="14"/>
      <c r="D122" s="15"/>
      <c r="E122" s="15"/>
      <c r="F122" s="15"/>
      <c r="G122" s="64"/>
      <c r="H122" s="17" t="str">
        <f t="shared" si="15"/>
        <v/>
      </c>
      <c r="I122" s="18"/>
      <c r="J122" s="62"/>
      <c r="K122" s="62"/>
      <c r="L122" s="420" t="str">
        <f t="shared" si="16"/>
        <v/>
      </c>
      <c r="M122" s="401" t="str">
        <f t="shared" si="17"/>
        <v/>
      </c>
    </row>
    <row r="123" spans="2:13" x14ac:dyDescent="0.25">
      <c r="B123" s="46"/>
      <c r="C123" s="14"/>
      <c r="D123" s="15"/>
      <c r="E123" s="15"/>
      <c r="F123" s="15"/>
      <c r="G123" s="64"/>
      <c r="H123" s="17" t="str">
        <f t="shared" si="15"/>
        <v/>
      </c>
      <c r="I123" s="18"/>
      <c r="J123" s="62"/>
      <c r="K123" s="62"/>
      <c r="L123" s="420" t="str">
        <f t="shared" si="16"/>
        <v/>
      </c>
      <c r="M123" s="401" t="str">
        <f t="shared" si="17"/>
        <v/>
      </c>
    </row>
    <row r="124" spans="2:13" x14ac:dyDescent="0.25">
      <c r="B124" s="46"/>
      <c r="C124" s="14"/>
      <c r="D124" s="15"/>
      <c r="E124" s="15"/>
      <c r="F124" s="15"/>
      <c r="G124" s="64"/>
      <c r="H124" s="17" t="str">
        <f t="shared" si="15"/>
        <v/>
      </c>
      <c r="I124" s="18"/>
      <c r="J124" s="62"/>
      <c r="K124" s="62"/>
      <c r="L124" s="420" t="str">
        <f t="shared" si="16"/>
        <v/>
      </c>
      <c r="M124" s="401" t="str">
        <f t="shared" si="17"/>
        <v/>
      </c>
    </row>
    <row r="125" spans="2:13" ht="12" customHeight="1" x14ac:dyDescent="0.25">
      <c r="B125" s="46"/>
      <c r="C125" s="14"/>
      <c r="D125" s="15"/>
      <c r="E125" s="15"/>
      <c r="F125" s="15"/>
      <c r="G125" s="64"/>
      <c r="H125" s="17" t="str">
        <f t="shared" si="15"/>
        <v/>
      </c>
      <c r="I125" s="18"/>
      <c r="J125" s="62"/>
      <c r="K125" s="62"/>
      <c r="L125" s="420" t="str">
        <f t="shared" si="16"/>
        <v/>
      </c>
      <c r="M125" s="401" t="str">
        <f t="shared" si="17"/>
        <v/>
      </c>
    </row>
    <row r="126" spans="2:13" x14ac:dyDescent="0.25">
      <c r="B126" s="46"/>
      <c r="C126" s="14"/>
      <c r="D126" s="15"/>
      <c r="E126" s="15"/>
      <c r="F126" s="15"/>
      <c r="G126" s="64"/>
      <c r="H126" s="17" t="str">
        <f t="shared" si="15"/>
        <v/>
      </c>
      <c r="I126" s="18"/>
      <c r="J126" s="62"/>
      <c r="K126" s="62"/>
      <c r="L126" s="420" t="str">
        <f t="shared" si="16"/>
        <v/>
      </c>
      <c r="M126" s="401" t="str">
        <f t="shared" si="17"/>
        <v/>
      </c>
    </row>
    <row r="127" spans="2:13" ht="12" customHeight="1" x14ac:dyDescent="0.25">
      <c r="B127" s="46"/>
      <c r="C127" s="14"/>
      <c r="D127" s="15"/>
      <c r="E127" s="15"/>
      <c r="F127" s="15"/>
      <c r="G127" s="64"/>
      <c r="H127" s="17" t="str">
        <f t="shared" si="15"/>
        <v/>
      </c>
      <c r="I127" s="18"/>
      <c r="J127" s="62"/>
      <c r="K127" s="62"/>
      <c r="L127" s="420" t="str">
        <f t="shared" si="16"/>
        <v/>
      </c>
      <c r="M127" s="401" t="str">
        <f t="shared" si="17"/>
        <v/>
      </c>
    </row>
    <row r="128" spans="2:13" x14ac:dyDescent="0.25">
      <c r="B128" s="46"/>
      <c r="C128" s="14"/>
      <c r="D128" s="15"/>
      <c r="E128" s="15"/>
      <c r="F128" s="15"/>
      <c r="G128" s="64"/>
      <c r="H128" s="17" t="str">
        <f t="shared" si="15"/>
        <v/>
      </c>
      <c r="I128" s="18"/>
      <c r="J128" s="62"/>
      <c r="K128" s="62"/>
      <c r="L128" s="420" t="str">
        <f t="shared" si="16"/>
        <v/>
      </c>
      <c r="M128" s="401" t="str">
        <f t="shared" si="17"/>
        <v/>
      </c>
    </row>
    <row r="129" spans="2:13" ht="12" customHeight="1" x14ac:dyDescent="0.25">
      <c r="B129" s="46"/>
      <c r="C129" s="14"/>
      <c r="D129" s="15"/>
      <c r="E129" s="15"/>
      <c r="F129" s="15"/>
      <c r="G129" s="64"/>
      <c r="H129" s="17" t="str">
        <f t="shared" si="15"/>
        <v/>
      </c>
      <c r="I129" s="18"/>
      <c r="J129" s="62"/>
      <c r="K129" s="62"/>
      <c r="L129" s="420" t="str">
        <f t="shared" si="16"/>
        <v/>
      </c>
      <c r="M129" s="401" t="str">
        <f t="shared" si="17"/>
        <v/>
      </c>
    </row>
    <row r="130" spans="2:13" x14ac:dyDescent="0.25">
      <c r="B130" s="46"/>
      <c r="C130" s="14"/>
      <c r="D130" s="15"/>
      <c r="E130" s="15"/>
      <c r="F130" s="15"/>
      <c r="G130" s="64"/>
      <c r="H130" s="17" t="str">
        <f t="shared" si="15"/>
        <v/>
      </c>
      <c r="I130" s="18"/>
      <c r="J130" s="62"/>
      <c r="K130" s="62"/>
      <c r="L130" s="420" t="str">
        <f t="shared" si="16"/>
        <v/>
      </c>
      <c r="M130" s="401" t="str">
        <f t="shared" si="17"/>
        <v/>
      </c>
    </row>
    <row r="131" spans="2:13" ht="12" customHeight="1" x14ac:dyDescent="0.25">
      <c r="B131" s="46"/>
      <c r="C131" s="14"/>
      <c r="D131" s="15"/>
      <c r="E131" s="15"/>
      <c r="F131" s="15"/>
      <c r="G131" s="64"/>
      <c r="H131" s="17" t="str">
        <f t="shared" si="15"/>
        <v/>
      </c>
      <c r="I131" s="18"/>
      <c r="J131" s="62"/>
      <c r="K131" s="62"/>
      <c r="L131" s="420" t="str">
        <f t="shared" si="16"/>
        <v/>
      </c>
      <c r="M131" s="401" t="str">
        <f t="shared" si="17"/>
        <v/>
      </c>
    </row>
    <row r="132" spans="2:13" x14ac:dyDescent="0.25">
      <c r="B132" s="46"/>
      <c r="C132" s="14"/>
      <c r="D132" s="15"/>
      <c r="E132" s="15"/>
      <c r="F132" s="15"/>
      <c r="G132" s="64"/>
      <c r="H132" s="17" t="str">
        <f t="shared" si="15"/>
        <v/>
      </c>
      <c r="I132" s="18"/>
      <c r="J132" s="62"/>
      <c r="K132" s="62"/>
      <c r="L132" s="420" t="str">
        <f t="shared" si="16"/>
        <v/>
      </c>
      <c r="M132" s="401" t="str">
        <f t="shared" si="17"/>
        <v/>
      </c>
    </row>
    <row r="133" spans="2:13" ht="12" customHeight="1" x14ac:dyDescent="0.25">
      <c r="B133" s="46"/>
      <c r="C133" s="14"/>
      <c r="D133" s="15"/>
      <c r="E133" s="15"/>
      <c r="F133" s="15"/>
      <c r="G133" s="64"/>
      <c r="H133" s="17" t="str">
        <f t="shared" si="15"/>
        <v/>
      </c>
      <c r="I133" s="18"/>
      <c r="J133" s="62"/>
      <c r="K133" s="62"/>
      <c r="L133" s="420" t="str">
        <f t="shared" si="16"/>
        <v/>
      </c>
      <c r="M133" s="401" t="str">
        <f t="shared" si="17"/>
        <v/>
      </c>
    </row>
    <row r="134" spans="2:13" x14ac:dyDescent="0.25">
      <c r="B134" s="46"/>
      <c r="C134" s="14"/>
      <c r="D134" s="15"/>
      <c r="E134" s="15"/>
      <c r="F134" s="15"/>
      <c r="G134" s="64"/>
      <c r="H134" s="17" t="str">
        <f t="shared" si="15"/>
        <v/>
      </c>
      <c r="I134" s="18"/>
      <c r="J134" s="61"/>
      <c r="K134" s="62"/>
      <c r="L134" s="420" t="str">
        <f t="shared" si="16"/>
        <v/>
      </c>
      <c r="M134" s="401" t="str">
        <f t="shared" si="17"/>
        <v/>
      </c>
    </row>
    <row r="135" spans="2:13" ht="12" customHeight="1" x14ac:dyDescent="0.25">
      <c r="B135" s="46"/>
      <c r="C135" s="14"/>
      <c r="D135" s="15"/>
      <c r="E135" s="15"/>
      <c r="F135" s="15"/>
      <c r="G135" s="64"/>
      <c r="H135" s="17" t="str">
        <f t="shared" si="15"/>
        <v/>
      </c>
      <c r="I135" s="18"/>
      <c r="J135" s="62"/>
      <c r="K135" s="62"/>
      <c r="L135" s="420" t="str">
        <f t="shared" si="16"/>
        <v/>
      </c>
      <c r="M135" s="401" t="str">
        <f t="shared" si="17"/>
        <v/>
      </c>
    </row>
    <row r="136" spans="2:13" x14ac:dyDescent="0.25">
      <c r="B136" s="46"/>
      <c r="C136" s="14"/>
      <c r="D136" s="15"/>
      <c r="E136" s="15"/>
      <c r="F136" s="15"/>
      <c r="G136" s="64"/>
      <c r="H136" s="17" t="str">
        <f t="shared" si="15"/>
        <v/>
      </c>
      <c r="I136" s="18"/>
      <c r="J136" s="62"/>
      <c r="K136" s="62"/>
      <c r="L136" s="420" t="str">
        <f t="shared" si="16"/>
        <v/>
      </c>
      <c r="M136" s="401" t="str">
        <f t="shared" si="17"/>
        <v/>
      </c>
    </row>
    <row r="137" spans="2:13" ht="12" customHeight="1" x14ac:dyDescent="0.25">
      <c r="B137" s="46"/>
      <c r="C137" s="14"/>
      <c r="D137" s="15"/>
      <c r="E137" s="15"/>
      <c r="F137" s="15"/>
      <c r="G137" s="64"/>
      <c r="H137" s="17" t="str">
        <f t="shared" si="15"/>
        <v/>
      </c>
      <c r="I137" s="18"/>
      <c r="J137" s="61"/>
      <c r="K137" s="62"/>
      <c r="L137" s="420" t="str">
        <f t="shared" si="16"/>
        <v/>
      </c>
      <c r="M137" s="401" t="str">
        <f t="shared" si="17"/>
        <v/>
      </c>
    </row>
    <row r="138" spans="2:13" x14ac:dyDescent="0.25">
      <c r="B138" s="46"/>
      <c r="C138" s="14"/>
      <c r="D138" s="15"/>
      <c r="E138" s="15"/>
      <c r="F138" s="15"/>
      <c r="G138" s="64"/>
      <c r="H138" s="17" t="str">
        <f t="shared" si="15"/>
        <v/>
      </c>
      <c r="I138" s="18"/>
      <c r="J138" s="61"/>
      <c r="K138" s="695"/>
      <c r="L138" s="420" t="str">
        <f t="shared" si="16"/>
        <v/>
      </c>
      <c r="M138" s="401" t="str">
        <f t="shared" si="17"/>
        <v/>
      </c>
    </row>
    <row r="139" spans="2:13" ht="12" customHeight="1" x14ac:dyDescent="0.25">
      <c r="B139" s="46"/>
      <c r="C139" s="14"/>
      <c r="D139" s="15"/>
      <c r="E139" s="15"/>
      <c r="F139" s="15"/>
      <c r="G139" s="64"/>
      <c r="H139" s="17" t="str">
        <f t="shared" si="15"/>
        <v/>
      </c>
      <c r="I139" s="18"/>
      <c r="J139" s="61"/>
      <c r="K139" s="696"/>
      <c r="L139" s="420" t="str">
        <f t="shared" si="16"/>
        <v/>
      </c>
      <c r="M139" s="401" t="str">
        <f t="shared" si="17"/>
        <v/>
      </c>
    </row>
    <row r="140" spans="2:13" s="28" customFormat="1" ht="19.5" customHeight="1" x14ac:dyDescent="0.25">
      <c r="B140" s="135" t="str">
        <f>$B$12</f>
        <v>C13.1</v>
      </c>
      <c r="C140" s="30" t="s">
        <v>12</v>
      </c>
      <c r="D140" s="31"/>
      <c r="E140" s="31"/>
      <c r="F140" s="32"/>
      <c r="G140" s="31"/>
      <c r="H140" s="33">
        <f>SUM(H84:H139)</f>
        <v>358750</v>
      </c>
      <c r="I140" s="34"/>
      <c r="J140" s="408"/>
      <c r="K140" s="406"/>
      <c r="L140" s="418">
        <f>SUM(L84:L139)</f>
        <v>110610</v>
      </c>
      <c r="M140" s="407" t="str">
        <f t="shared" ref="M140" si="18">IF(J140="","",IF(SUM(H140)=0,"",L140/H140))</f>
        <v/>
      </c>
    </row>
    <row r="141" spans="2:13" ht="13" x14ac:dyDescent="0.25">
      <c r="B141" s="1108" t="str">
        <f>Client1</f>
        <v>Province of KwaZulu-Natal</v>
      </c>
      <c r="C141" s="1108"/>
      <c r="D141" s="1108"/>
      <c r="E141" s="87"/>
      <c r="F141" s="1109" t="str">
        <f>"Contract No. "&amp;ContractNo</f>
        <v>Contract No. ZNB 00399/00000/HOD/INF/21/T</v>
      </c>
      <c r="G141" s="1109"/>
      <c r="H141" s="1109"/>
    </row>
    <row r="142" spans="2:13" ht="13" x14ac:dyDescent="0.25">
      <c r="B142" s="1108" t="str">
        <f>Client2</f>
        <v>Department of Transport</v>
      </c>
      <c r="C142" s="1108"/>
      <c r="D142" s="1108"/>
      <c r="E142" s="87"/>
      <c r="F142" s="1109"/>
      <c r="G142" s="1109"/>
      <c r="H142" s="1109"/>
    </row>
    <row r="143" spans="2:13" x14ac:dyDescent="0.25">
      <c r="B143" s="1111"/>
      <c r="C143" s="1111"/>
      <c r="D143" s="1111"/>
      <c r="E143" s="78"/>
      <c r="F143" s="1110"/>
      <c r="G143" s="1110"/>
      <c r="H143" s="1110"/>
    </row>
    <row r="144" spans="2:13" ht="13" x14ac:dyDescent="0.25">
      <c r="B144" s="1112" t="s">
        <v>1773</v>
      </c>
      <c r="C144" s="1113"/>
      <c r="D144" s="1113"/>
      <c r="E144" s="1113"/>
      <c r="F144" s="1113"/>
      <c r="G144" s="1113"/>
      <c r="H144" s="1125" t="str">
        <f>$H$6</f>
        <v>CHAPTER C13.1</v>
      </c>
      <c r="I144" s="6"/>
    </row>
    <row r="145" spans="2:13" ht="36.75" customHeight="1" x14ac:dyDescent="0.25">
      <c r="B145" s="1117" t="str">
        <f>ContractDescription</f>
        <v>THE CONSTRUCTION OF EARTHWORKS, LAYERWORKS, SURFACING, CULVERTS AND CWAKA RIVER BRIDGE FROM KM 11.600 TO KM 14.000 ON MAIN ROAD P494 IN THE KING CETSHWAYO DISTRICT UNDER EMPANGENI REGION</v>
      </c>
      <c r="C145" s="1148"/>
      <c r="D145" s="1148"/>
      <c r="E145" s="1148"/>
      <c r="F145" s="1148"/>
      <c r="G145" s="1148"/>
      <c r="H145" s="1126"/>
      <c r="I145" s="8"/>
    </row>
    <row r="146" spans="2:13" ht="29.25" customHeight="1" x14ac:dyDescent="0.25">
      <c r="B146" s="1149" t="s">
        <v>1775</v>
      </c>
      <c r="C146" s="1150"/>
      <c r="D146" s="1150"/>
      <c r="E146" s="1150"/>
      <c r="F146" s="1150"/>
      <c r="G146" s="1150"/>
      <c r="H146" s="1126"/>
      <c r="I146" s="8"/>
    </row>
    <row r="147" spans="2:13" ht="13" x14ac:dyDescent="0.25">
      <c r="B147" s="611"/>
      <c r="C147" s="612"/>
      <c r="D147" s="612"/>
      <c r="E147" s="612"/>
      <c r="F147" s="612"/>
      <c r="G147" s="612"/>
      <c r="H147" s="1127"/>
      <c r="I147" s="8"/>
    </row>
    <row r="148" spans="2:13" s="9" customFormat="1" ht="25" customHeight="1" x14ac:dyDescent="0.25">
      <c r="B148" s="74" t="s">
        <v>0</v>
      </c>
      <c r="C148" s="11" t="s">
        <v>1</v>
      </c>
      <c r="D148" s="11" t="s">
        <v>2</v>
      </c>
      <c r="E148" s="11"/>
      <c r="F148" s="11" t="s">
        <v>3</v>
      </c>
      <c r="G148" s="11" t="s">
        <v>4</v>
      </c>
      <c r="H148" s="11" t="s">
        <v>5</v>
      </c>
      <c r="I148" s="12"/>
      <c r="J148" s="408" t="s">
        <v>996</v>
      </c>
      <c r="K148" s="253" t="s">
        <v>997</v>
      </c>
      <c r="L148" s="253" t="s">
        <v>998</v>
      </c>
      <c r="M148" s="253" t="s">
        <v>999</v>
      </c>
    </row>
    <row r="149" spans="2:13" s="28" customFormat="1" ht="19.5" customHeight="1" x14ac:dyDescent="0.25">
      <c r="B149" s="80"/>
      <c r="C149" s="30" t="s">
        <v>27</v>
      </c>
      <c r="D149" s="31"/>
      <c r="E149" s="31"/>
      <c r="F149" s="32"/>
      <c r="G149" s="31"/>
      <c r="H149" s="33">
        <f>H140</f>
        <v>358750</v>
      </c>
      <c r="I149" s="34"/>
      <c r="J149" s="416"/>
      <c r="K149" s="409"/>
      <c r="L149" s="419">
        <f>L140</f>
        <v>110610</v>
      </c>
      <c r="M149" s="410" t="str">
        <f t="shared" ref="M149" si="19">IF(J149="","",IF(SUM(H149)=0,"",L149/H149))</f>
        <v/>
      </c>
    </row>
    <row r="150" spans="2:13" ht="11.9" customHeight="1" x14ac:dyDescent="0.25">
      <c r="B150" s="46"/>
      <c r="C150" s="14"/>
      <c r="D150" s="15"/>
      <c r="E150" s="15"/>
      <c r="F150" s="15"/>
      <c r="G150" s="64"/>
      <c r="H150" s="17" t="str">
        <f t="shared" ref="H150:H152" si="20">IF(D150="","",F150*G150)</f>
        <v/>
      </c>
      <c r="I150" s="18"/>
      <c r="J150" s="61"/>
      <c r="K150" s="399"/>
      <c r="L150" s="420" t="str">
        <f t="shared" ref="L150:L152" si="21">IF(J150="","",F150*K150)</f>
        <v/>
      </c>
      <c r="M150" s="401" t="str">
        <f t="shared" ref="M150:M152" si="22">IF(J150="","",IF(SUM(H150)=0,"",L150/H150))</f>
        <v/>
      </c>
    </row>
    <row r="151" spans="2:13" x14ac:dyDescent="0.25">
      <c r="B151" s="46"/>
      <c r="C151" s="14"/>
      <c r="D151" s="15"/>
      <c r="E151" s="15"/>
      <c r="F151" s="15"/>
      <c r="G151" s="64"/>
      <c r="H151" s="17" t="str">
        <f t="shared" si="20"/>
        <v/>
      </c>
      <c r="I151" s="18"/>
      <c r="J151" s="61"/>
      <c r="K151" s="399"/>
      <c r="L151" s="420" t="str">
        <f t="shared" si="21"/>
        <v/>
      </c>
      <c r="M151" s="401" t="str">
        <f t="shared" si="22"/>
        <v/>
      </c>
    </row>
    <row r="152" spans="2:13" ht="11.9" customHeight="1" x14ac:dyDescent="0.25">
      <c r="B152" s="46"/>
      <c r="C152" s="14"/>
      <c r="D152" s="15"/>
      <c r="E152" s="15"/>
      <c r="F152" s="15"/>
      <c r="G152" s="64"/>
      <c r="H152" s="17" t="str">
        <f t="shared" si="20"/>
        <v/>
      </c>
      <c r="I152" s="18"/>
      <c r="J152" s="61"/>
      <c r="K152" s="399"/>
      <c r="L152" s="420" t="str">
        <f t="shared" si="21"/>
        <v/>
      </c>
      <c r="M152" s="401" t="str">
        <f t="shared" si="22"/>
        <v/>
      </c>
    </row>
    <row r="153" spans="2:13" x14ac:dyDescent="0.25">
      <c r="B153" s="46"/>
      <c r="C153" s="14"/>
      <c r="D153" s="15"/>
      <c r="E153" s="15"/>
      <c r="F153" s="15"/>
      <c r="G153" s="64"/>
      <c r="H153" s="17" t="str">
        <f t="shared" ref="H153" si="23">IF(D153="","",F153*G153)</f>
        <v/>
      </c>
      <c r="I153" s="18"/>
      <c r="J153" s="61"/>
      <c r="K153" s="399"/>
      <c r="L153" s="420" t="str">
        <f t="shared" ref="L153" si="24">IF(J153="","",F153*K153)</f>
        <v/>
      </c>
      <c r="M153" s="401" t="str">
        <f t="shared" ref="M153:M209" si="25">IF(J153="","",IF(SUM(H153)=0,"",L153/H153))</f>
        <v/>
      </c>
    </row>
    <row r="154" spans="2:13" ht="11.9" customHeight="1" x14ac:dyDescent="0.25">
      <c r="B154" s="46"/>
      <c r="C154" s="14"/>
      <c r="D154" s="15"/>
      <c r="E154" s="15"/>
      <c r="F154" s="15"/>
      <c r="G154" s="64"/>
      <c r="H154" s="17" t="str">
        <f t="shared" ref="H154:H208" si="26">IF(D154="","",F154*G154)</f>
        <v/>
      </c>
      <c r="I154" s="18"/>
      <c r="J154" s="61"/>
      <c r="K154" s="400"/>
      <c r="L154" s="420" t="str">
        <f t="shared" ref="L154:L208" si="27">IF(J154="","",F154*K154)</f>
        <v/>
      </c>
      <c r="M154" s="401" t="str">
        <f t="shared" ref="M154:M208" si="28">IF(J154="","",IF(SUM(H154)=0,"",L154/H154))</f>
        <v/>
      </c>
    </row>
    <row r="155" spans="2:13" x14ac:dyDescent="0.25">
      <c r="B155" s="46"/>
      <c r="C155" s="14"/>
      <c r="D155" s="15"/>
      <c r="E155" s="15"/>
      <c r="F155" s="15"/>
      <c r="G155" s="64"/>
      <c r="H155" s="17" t="str">
        <f t="shared" si="26"/>
        <v/>
      </c>
      <c r="I155" s="18"/>
      <c r="J155" s="61"/>
      <c r="K155" s="399"/>
      <c r="L155" s="420" t="str">
        <f t="shared" si="27"/>
        <v/>
      </c>
      <c r="M155" s="401" t="str">
        <f t="shared" si="28"/>
        <v/>
      </c>
    </row>
    <row r="156" spans="2:13" ht="11.9" customHeight="1" x14ac:dyDescent="0.25">
      <c r="B156" s="46"/>
      <c r="C156" s="14"/>
      <c r="D156" s="15"/>
      <c r="E156" s="15"/>
      <c r="F156" s="15"/>
      <c r="G156" s="64"/>
      <c r="H156" s="17" t="str">
        <f t="shared" si="26"/>
        <v/>
      </c>
      <c r="I156" s="18"/>
      <c r="J156" s="61"/>
      <c r="K156" s="399"/>
      <c r="L156" s="420" t="str">
        <f t="shared" si="27"/>
        <v/>
      </c>
      <c r="M156" s="401" t="str">
        <f t="shared" si="28"/>
        <v/>
      </c>
    </row>
    <row r="157" spans="2:13" x14ac:dyDescent="0.25">
      <c r="B157" s="46"/>
      <c r="C157" s="14"/>
      <c r="D157" s="15"/>
      <c r="E157" s="15"/>
      <c r="F157" s="15"/>
      <c r="G157" s="64"/>
      <c r="H157" s="17" t="str">
        <f t="shared" si="26"/>
        <v/>
      </c>
      <c r="I157" s="18"/>
      <c r="J157" s="61"/>
      <c r="K157" s="399"/>
      <c r="L157" s="420" t="str">
        <f t="shared" si="27"/>
        <v/>
      </c>
      <c r="M157" s="401" t="str">
        <f t="shared" si="28"/>
        <v/>
      </c>
    </row>
    <row r="158" spans="2:13" ht="11.9" customHeight="1" x14ac:dyDescent="0.25">
      <c r="B158" s="46"/>
      <c r="C158" s="14"/>
      <c r="D158" s="15"/>
      <c r="E158" s="15"/>
      <c r="F158" s="15"/>
      <c r="G158" s="64"/>
      <c r="H158" s="17" t="str">
        <f t="shared" si="26"/>
        <v/>
      </c>
      <c r="I158" s="18"/>
      <c r="J158" s="61"/>
      <c r="K158" s="402"/>
      <c r="L158" s="420" t="str">
        <f t="shared" si="27"/>
        <v/>
      </c>
      <c r="M158" s="401" t="str">
        <f t="shared" si="28"/>
        <v/>
      </c>
    </row>
    <row r="159" spans="2:13" x14ac:dyDescent="0.25">
      <c r="B159" s="46"/>
      <c r="C159" s="14"/>
      <c r="D159" s="15"/>
      <c r="E159" s="15"/>
      <c r="F159" s="15"/>
      <c r="G159" s="64"/>
      <c r="H159" s="17" t="str">
        <f t="shared" si="26"/>
        <v/>
      </c>
      <c r="I159" s="18"/>
      <c r="J159" s="61"/>
      <c r="K159" s="402"/>
      <c r="L159" s="420" t="str">
        <f t="shared" si="27"/>
        <v/>
      </c>
      <c r="M159" s="401" t="str">
        <f t="shared" si="28"/>
        <v/>
      </c>
    </row>
    <row r="160" spans="2:13" ht="11.9" customHeight="1" x14ac:dyDescent="0.25">
      <c r="B160" s="46"/>
      <c r="C160" s="14"/>
      <c r="D160" s="15"/>
      <c r="E160" s="15"/>
      <c r="F160" s="15"/>
      <c r="G160" s="64"/>
      <c r="H160" s="17" t="str">
        <f t="shared" si="26"/>
        <v/>
      </c>
      <c r="I160" s="18"/>
      <c r="J160" s="61"/>
      <c r="K160" s="402"/>
      <c r="L160" s="420" t="str">
        <f t="shared" si="27"/>
        <v/>
      </c>
      <c r="M160" s="401" t="str">
        <f t="shared" si="28"/>
        <v/>
      </c>
    </row>
    <row r="161" spans="2:13" x14ac:dyDescent="0.25">
      <c r="B161" s="46"/>
      <c r="C161" s="14"/>
      <c r="D161" s="15"/>
      <c r="E161" s="15"/>
      <c r="F161" s="15"/>
      <c r="G161" s="64"/>
      <c r="H161" s="17" t="str">
        <f t="shared" si="26"/>
        <v/>
      </c>
      <c r="I161" s="18"/>
      <c r="J161" s="61"/>
      <c r="K161" s="402"/>
      <c r="L161" s="420" t="str">
        <f t="shared" si="27"/>
        <v/>
      </c>
      <c r="M161" s="401" t="str">
        <f t="shared" si="28"/>
        <v/>
      </c>
    </row>
    <row r="162" spans="2:13" ht="11.9" customHeight="1" x14ac:dyDescent="0.25">
      <c r="B162" s="46"/>
      <c r="C162" s="14"/>
      <c r="D162" s="15"/>
      <c r="E162" s="15"/>
      <c r="F162" s="15"/>
      <c r="G162" s="64"/>
      <c r="H162" s="17" t="str">
        <f t="shared" si="26"/>
        <v/>
      </c>
      <c r="I162" s="18"/>
      <c r="J162" s="61"/>
      <c r="K162" s="402"/>
      <c r="L162" s="420" t="str">
        <f t="shared" si="27"/>
        <v/>
      </c>
      <c r="M162" s="401" t="str">
        <f t="shared" si="28"/>
        <v/>
      </c>
    </row>
    <row r="163" spans="2:13" x14ac:dyDescent="0.25">
      <c r="B163" s="46"/>
      <c r="C163" s="14"/>
      <c r="D163" s="15"/>
      <c r="E163" s="15"/>
      <c r="F163" s="15"/>
      <c r="G163" s="64"/>
      <c r="H163" s="17" t="str">
        <f t="shared" si="26"/>
        <v/>
      </c>
      <c r="I163" s="18"/>
      <c r="J163" s="61"/>
      <c r="K163" s="402"/>
      <c r="L163" s="420" t="str">
        <f t="shared" si="27"/>
        <v/>
      </c>
      <c r="M163" s="401" t="str">
        <f t="shared" si="28"/>
        <v/>
      </c>
    </row>
    <row r="164" spans="2:13" ht="11.9" customHeight="1" x14ac:dyDescent="0.25">
      <c r="B164" s="46"/>
      <c r="C164" s="14"/>
      <c r="D164" s="15"/>
      <c r="E164" s="15"/>
      <c r="F164" s="15"/>
      <c r="G164" s="64"/>
      <c r="H164" s="17" t="str">
        <f t="shared" si="26"/>
        <v/>
      </c>
      <c r="I164" s="18"/>
      <c r="J164" s="61"/>
      <c r="K164" s="399"/>
      <c r="L164" s="420" t="str">
        <f t="shared" si="27"/>
        <v/>
      </c>
      <c r="M164" s="401" t="str">
        <f t="shared" si="28"/>
        <v/>
      </c>
    </row>
    <row r="165" spans="2:13" x14ac:dyDescent="0.25">
      <c r="B165" s="46"/>
      <c r="C165" s="14"/>
      <c r="D165" s="15"/>
      <c r="E165" s="15"/>
      <c r="F165" s="15"/>
      <c r="G165" s="64"/>
      <c r="H165" s="17" t="str">
        <f t="shared" si="26"/>
        <v/>
      </c>
      <c r="I165" s="18"/>
      <c r="J165" s="61"/>
      <c r="K165" s="399"/>
      <c r="L165" s="420" t="str">
        <f t="shared" si="27"/>
        <v/>
      </c>
      <c r="M165" s="401" t="str">
        <f t="shared" si="28"/>
        <v/>
      </c>
    </row>
    <row r="166" spans="2:13" ht="11.9" customHeight="1" x14ac:dyDescent="0.25">
      <c r="B166" s="46"/>
      <c r="C166" s="14"/>
      <c r="D166" s="15"/>
      <c r="E166" s="15"/>
      <c r="F166" s="15"/>
      <c r="G166" s="64"/>
      <c r="H166" s="17" t="str">
        <f t="shared" si="26"/>
        <v/>
      </c>
      <c r="I166" s="18"/>
      <c r="J166" s="61"/>
      <c r="K166" s="400"/>
      <c r="L166" s="420" t="str">
        <f t="shared" si="27"/>
        <v/>
      </c>
      <c r="M166" s="401" t="str">
        <f t="shared" si="28"/>
        <v/>
      </c>
    </row>
    <row r="167" spans="2:13" x14ac:dyDescent="0.25">
      <c r="B167" s="46"/>
      <c r="C167" s="14"/>
      <c r="D167" s="15"/>
      <c r="E167" s="15"/>
      <c r="F167" s="15"/>
      <c r="G167" s="64"/>
      <c r="H167" s="17" t="str">
        <f t="shared" si="26"/>
        <v/>
      </c>
      <c r="I167" s="18"/>
      <c r="J167" s="61"/>
      <c r="K167" s="399"/>
      <c r="L167" s="420" t="str">
        <f t="shared" si="27"/>
        <v/>
      </c>
      <c r="M167" s="401" t="str">
        <f t="shared" si="28"/>
        <v/>
      </c>
    </row>
    <row r="168" spans="2:13" ht="11.9" customHeight="1" x14ac:dyDescent="0.25">
      <c r="B168" s="46"/>
      <c r="C168" s="14"/>
      <c r="D168" s="15"/>
      <c r="E168" s="15"/>
      <c r="F168" s="15"/>
      <c r="G168" s="64"/>
      <c r="H168" s="17" t="str">
        <f t="shared" si="26"/>
        <v/>
      </c>
      <c r="I168" s="18"/>
      <c r="J168" s="61"/>
      <c r="K168" s="399"/>
      <c r="L168" s="420" t="str">
        <f t="shared" si="27"/>
        <v/>
      </c>
      <c r="M168" s="401" t="str">
        <f t="shared" si="28"/>
        <v/>
      </c>
    </row>
    <row r="169" spans="2:13" x14ac:dyDescent="0.25">
      <c r="B169" s="46"/>
      <c r="C169" s="14"/>
      <c r="D169" s="15"/>
      <c r="E169" s="15"/>
      <c r="F169" s="15"/>
      <c r="G169" s="64"/>
      <c r="H169" s="17" t="str">
        <f t="shared" si="26"/>
        <v/>
      </c>
      <c r="I169" s="18"/>
      <c r="J169" s="61"/>
      <c r="K169" s="399"/>
      <c r="L169" s="420" t="str">
        <f t="shared" si="27"/>
        <v/>
      </c>
      <c r="M169" s="401" t="str">
        <f t="shared" si="28"/>
        <v/>
      </c>
    </row>
    <row r="170" spans="2:13" ht="11.9" customHeight="1" x14ac:dyDescent="0.25">
      <c r="B170" s="46"/>
      <c r="C170" s="14"/>
      <c r="D170" s="15"/>
      <c r="E170" s="15"/>
      <c r="F170" s="15"/>
      <c r="G170" s="64"/>
      <c r="H170" s="17" t="str">
        <f t="shared" si="26"/>
        <v/>
      </c>
      <c r="I170" s="18"/>
      <c r="J170" s="61"/>
      <c r="K170" s="399"/>
      <c r="L170" s="420" t="str">
        <f t="shared" si="27"/>
        <v/>
      </c>
      <c r="M170" s="401" t="str">
        <f t="shared" si="28"/>
        <v/>
      </c>
    </row>
    <row r="171" spans="2:13" x14ac:dyDescent="0.25">
      <c r="B171" s="46"/>
      <c r="C171" s="14"/>
      <c r="D171" s="15"/>
      <c r="E171" s="15"/>
      <c r="F171" s="15"/>
      <c r="G171" s="64"/>
      <c r="H171" s="17" t="str">
        <f t="shared" si="26"/>
        <v/>
      </c>
      <c r="I171" s="18"/>
      <c r="J171" s="61"/>
      <c r="K171" s="399"/>
      <c r="L171" s="420" t="str">
        <f t="shared" si="27"/>
        <v/>
      </c>
      <c r="M171" s="401" t="str">
        <f t="shared" si="28"/>
        <v/>
      </c>
    </row>
    <row r="172" spans="2:13" ht="11.9" customHeight="1" x14ac:dyDescent="0.25">
      <c r="B172" s="46"/>
      <c r="C172" s="14"/>
      <c r="D172" s="15"/>
      <c r="E172" s="15"/>
      <c r="F172" s="15"/>
      <c r="G172" s="64"/>
      <c r="H172" s="17" t="str">
        <f t="shared" si="26"/>
        <v/>
      </c>
      <c r="I172" s="18"/>
      <c r="J172" s="61"/>
      <c r="K172" s="400"/>
      <c r="L172" s="420" t="str">
        <f t="shared" si="27"/>
        <v/>
      </c>
      <c r="M172" s="401" t="str">
        <f t="shared" si="28"/>
        <v/>
      </c>
    </row>
    <row r="173" spans="2:13" x14ac:dyDescent="0.25">
      <c r="B173" s="46"/>
      <c r="C173" s="14"/>
      <c r="D173" s="15"/>
      <c r="E173" s="15"/>
      <c r="F173" s="15"/>
      <c r="G173" s="64"/>
      <c r="H173" s="17" t="str">
        <f t="shared" si="26"/>
        <v/>
      </c>
      <c r="I173" s="18"/>
      <c r="J173" s="61"/>
      <c r="K173" s="399"/>
      <c r="L173" s="420" t="str">
        <f t="shared" si="27"/>
        <v/>
      </c>
      <c r="M173" s="401" t="str">
        <f t="shared" si="28"/>
        <v/>
      </c>
    </row>
    <row r="174" spans="2:13" ht="11.9" customHeight="1" x14ac:dyDescent="0.25">
      <c r="B174" s="46"/>
      <c r="C174" s="14"/>
      <c r="D174" s="15"/>
      <c r="E174" s="15"/>
      <c r="F174" s="15"/>
      <c r="G174" s="64"/>
      <c r="H174" s="17" t="str">
        <f t="shared" si="26"/>
        <v/>
      </c>
      <c r="I174" s="18"/>
      <c r="J174" s="61"/>
      <c r="K174" s="399"/>
      <c r="L174" s="420" t="str">
        <f t="shared" si="27"/>
        <v/>
      </c>
      <c r="M174" s="401" t="str">
        <f t="shared" si="28"/>
        <v/>
      </c>
    </row>
    <row r="175" spans="2:13" x14ac:dyDescent="0.25">
      <c r="B175" s="46"/>
      <c r="C175" s="14"/>
      <c r="D175" s="15"/>
      <c r="E175" s="15"/>
      <c r="F175" s="15"/>
      <c r="G175" s="64"/>
      <c r="H175" s="17" t="str">
        <f t="shared" si="26"/>
        <v/>
      </c>
      <c r="I175" s="18"/>
      <c r="J175" s="61"/>
      <c r="K175" s="399"/>
      <c r="L175" s="420" t="str">
        <f t="shared" si="27"/>
        <v/>
      </c>
      <c r="M175" s="401" t="str">
        <f t="shared" si="28"/>
        <v/>
      </c>
    </row>
    <row r="176" spans="2:13" ht="11.9" customHeight="1" x14ac:dyDescent="0.25">
      <c r="B176" s="46"/>
      <c r="C176" s="14"/>
      <c r="D176" s="15"/>
      <c r="E176" s="15"/>
      <c r="F176" s="15"/>
      <c r="G176" s="64"/>
      <c r="H176" s="17" t="str">
        <f t="shared" si="26"/>
        <v/>
      </c>
      <c r="I176" s="18"/>
      <c r="J176" s="61"/>
      <c r="K176" s="399"/>
      <c r="L176" s="420" t="str">
        <f t="shared" si="27"/>
        <v/>
      </c>
      <c r="M176" s="401" t="str">
        <f t="shared" si="28"/>
        <v/>
      </c>
    </row>
    <row r="177" spans="2:13" x14ac:dyDescent="0.25">
      <c r="B177" s="46"/>
      <c r="C177" s="14"/>
      <c r="D177" s="15"/>
      <c r="E177" s="15"/>
      <c r="F177" s="15"/>
      <c r="G177" s="64"/>
      <c r="H177" s="17" t="str">
        <f t="shared" si="26"/>
        <v/>
      </c>
      <c r="I177" s="18"/>
      <c r="J177" s="61"/>
      <c r="K177" s="399"/>
      <c r="L177" s="420" t="str">
        <f t="shared" si="27"/>
        <v/>
      </c>
      <c r="M177" s="401" t="str">
        <f t="shared" si="28"/>
        <v/>
      </c>
    </row>
    <row r="178" spans="2:13" ht="11.9" customHeight="1" x14ac:dyDescent="0.25">
      <c r="B178" s="46"/>
      <c r="C178" s="14"/>
      <c r="D178" s="15"/>
      <c r="E178" s="15"/>
      <c r="F178" s="15"/>
      <c r="G178" s="64"/>
      <c r="H178" s="17" t="str">
        <f t="shared" si="26"/>
        <v/>
      </c>
      <c r="I178" s="18"/>
      <c r="J178" s="61"/>
      <c r="K178" s="399"/>
      <c r="L178" s="420" t="str">
        <f t="shared" si="27"/>
        <v/>
      </c>
      <c r="M178" s="401" t="str">
        <f t="shared" si="28"/>
        <v/>
      </c>
    </row>
    <row r="179" spans="2:13" x14ac:dyDescent="0.25">
      <c r="B179" s="46"/>
      <c r="C179" s="14"/>
      <c r="D179" s="15"/>
      <c r="E179" s="15"/>
      <c r="F179" s="15"/>
      <c r="G179" s="64"/>
      <c r="H179" s="17" t="str">
        <f t="shared" si="26"/>
        <v/>
      </c>
      <c r="I179" s="18"/>
      <c r="J179" s="61"/>
      <c r="K179" s="399"/>
      <c r="L179" s="420" t="str">
        <f t="shared" si="27"/>
        <v/>
      </c>
      <c r="M179" s="401" t="str">
        <f t="shared" si="28"/>
        <v/>
      </c>
    </row>
    <row r="180" spans="2:13" ht="11.9" customHeight="1" x14ac:dyDescent="0.25">
      <c r="B180" s="46"/>
      <c r="C180" s="14"/>
      <c r="D180" s="15"/>
      <c r="E180" s="15"/>
      <c r="F180" s="15"/>
      <c r="G180" s="64"/>
      <c r="H180" s="17" t="str">
        <f t="shared" si="26"/>
        <v/>
      </c>
      <c r="I180" s="18"/>
      <c r="J180" s="61"/>
      <c r="K180" s="399"/>
      <c r="L180" s="420" t="str">
        <f t="shared" si="27"/>
        <v/>
      </c>
      <c r="M180" s="401" t="str">
        <f t="shared" si="28"/>
        <v/>
      </c>
    </row>
    <row r="181" spans="2:13" x14ac:dyDescent="0.25">
      <c r="B181" s="46"/>
      <c r="C181" s="14"/>
      <c r="D181" s="15"/>
      <c r="E181" s="15"/>
      <c r="F181" s="15"/>
      <c r="G181" s="64"/>
      <c r="H181" s="17" t="str">
        <f t="shared" si="26"/>
        <v/>
      </c>
      <c r="I181" s="18"/>
      <c r="J181" s="61"/>
      <c r="K181" s="399"/>
      <c r="L181" s="420" t="str">
        <f t="shared" si="27"/>
        <v/>
      </c>
      <c r="M181" s="401" t="str">
        <f t="shared" si="28"/>
        <v/>
      </c>
    </row>
    <row r="182" spans="2:13" ht="11.9" customHeight="1" x14ac:dyDescent="0.25">
      <c r="B182" s="46"/>
      <c r="C182" s="14"/>
      <c r="D182" s="15"/>
      <c r="E182" s="15"/>
      <c r="F182" s="15"/>
      <c r="G182" s="64"/>
      <c r="H182" s="17" t="str">
        <f t="shared" si="26"/>
        <v/>
      </c>
      <c r="I182" s="18"/>
      <c r="J182" s="61"/>
      <c r="K182" s="399"/>
      <c r="L182" s="420" t="str">
        <f t="shared" si="27"/>
        <v/>
      </c>
      <c r="M182" s="401" t="str">
        <f t="shared" si="28"/>
        <v/>
      </c>
    </row>
    <row r="183" spans="2:13" ht="13.5" customHeight="1" x14ac:dyDescent="0.25">
      <c r="B183" s="46"/>
      <c r="C183" s="14"/>
      <c r="D183" s="15"/>
      <c r="E183" s="15"/>
      <c r="F183" s="15"/>
      <c r="G183" s="64"/>
      <c r="H183" s="17" t="str">
        <f t="shared" si="26"/>
        <v/>
      </c>
      <c r="I183" s="18"/>
      <c r="J183" s="61"/>
      <c r="K183" s="399"/>
      <c r="L183" s="420" t="str">
        <f t="shared" si="27"/>
        <v/>
      </c>
      <c r="M183" s="401" t="str">
        <f t="shared" si="28"/>
        <v/>
      </c>
    </row>
    <row r="184" spans="2:13" ht="11.9" customHeight="1" x14ac:dyDescent="0.25">
      <c r="B184" s="46"/>
      <c r="C184" s="14"/>
      <c r="D184" s="15"/>
      <c r="E184" s="15"/>
      <c r="F184" s="15"/>
      <c r="G184" s="64"/>
      <c r="H184" s="17" t="str">
        <f t="shared" si="26"/>
        <v/>
      </c>
      <c r="I184" s="18"/>
      <c r="J184" s="61"/>
      <c r="K184" s="402"/>
      <c r="L184" s="420" t="str">
        <f t="shared" si="27"/>
        <v/>
      </c>
      <c r="M184" s="401" t="str">
        <f t="shared" si="28"/>
        <v/>
      </c>
    </row>
    <row r="185" spans="2:13" x14ac:dyDescent="0.25">
      <c r="B185" s="46"/>
      <c r="C185" s="14"/>
      <c r="D185" s="15"/>
      <c r="E185" s="15"/>
      <c r="F185" s="15"/>
      <c r="G185" s="64"/>
      <c r="H185" s="17" t="str">
        <f t="shared" si="26"/>
        <v/>
      </c>
      <c r="I185" s="18"/>
      <c r="J185" s="61"/>
      <c r="K185" s="399"/>
      <c r="L185" s="420" t="str">
        <f t="shared" si="27"/>
        <v/>
      </c>
      <c r="M185" s="401" t="str">
        <f t="shared" si="28"/>
        <v/>
      </c>
    </row>
    <row r="186" spans="2:13" ht="11.9" customHeight="1" x14ac:dyDescent="0.25">
      <c r="B186" s="46"/>
      <c r="C186" s="14"/>
      <c r="D186" s="15"/>
      <c r="E186" s="15"/>
      <c r="F186" s="15"/>
      <c r="G186" s="64"/>
      <c r="H186" s="17" t="str">
        <f t="shared" si="26"/>
        <v/>
      </c>
      <c r="I186" s="18"/>
      <c r="J186" s="61"/>
      <c r="K186" s="402"/>
      <c r="L186" s="420" t="str">
        <f t="shared" si="27"/>
        <v/>
      </c>
      <c r="M186" s="401" t="str">
        <f t="shared" si="28"/>
        <v/>
      </c>
    </row>
    <row r="187" spans="2:13" x14ac:dyDescent="0.25">
      <c r="B187" s="46"/>
      <c r="C187" s="14"/>
      <c r="D187" s="15"/>
      <c r="E187" s="15"/>
      <c r="F187" s="15"/>
      <c r="G187" s="64"/>
      <c r="H187" s="17" t="str">
        <f t="shared" si="26"/>
        <v/>
      </c>
      <c r="I187" s="18"/>
      <c r="J187" s="62"/>
      <c r="K187" s="62"/>
      <c r="L187" s="420" t="str">
        <f t="shared" si="27"/>
        <v/>
      </c>
      <c r="M187" s="401" t="str">
        <f t="shared" si="28"/>
        <v/>
      </c>
    </row>
    <row r="188" spans="2:13" ht="11.9" customHeight="1" x14ac:dyDescent="0.25">
      <c r="B188" s="46"/>
      <c r="C188" s="14"/>
      <c r="D188" s="15"/>
      <c r="E188" s="15"/>
      <c r="F188" s="15"/>
      <c r="G188" s="64"/>
      <c r="H188" s="17" t="str">
        <f t="shared" si="26"/>
        <v/>
      </c>
      <c r="I188" s="18"/>
      <c r="J188" s="62"/>
      <c r="K188" s="62"/>
      <c r="L188" s="420" t="str">
        <f t="shared" si="27"/>
        <v/>
      </c>
      <c r="M188" s="401" t="str">
        <f t="shared" si="28"/>
        <v/>
      </c>
    </row>
    <row r="189" spans="2:13" x14ac:dyDescent="0.25">
      <c r="B189" s="46"/>
      <c r="C189" s="14"/>
      <c r="D189" s="15"/>
      <c r="E189" s="15"/>
      <c r="F189" s="15"/>
      <c r="G189" s="64"/>
      <c r="H189" s="17" t="str">
        <f t="shared" si="26"/>
        <v/>
      </c>
      <c r="I189" s="18"/>
      <c r="J189" s="62"/>
      <c r="K189" s="62"/>
      <c r="L189" s="420" t="str">
        <f t="shared" si="27"/>
        <v/>
      </c>
      <c r="M189" s="401" t="str">
        <f t="shared" si="28"/>
        <v/>
      </c>
    </row>
    <row r="190" spans="2:13" ht="11.9" customHeight="1" x14ac:dyDescent="0.25">
      <c r="B190" s="46"/>
      <c r="C190" s="14"/>
      <c r="D190" s="15"/>
      <c r="E190" s="15"/>
      <c r="F190" s="15"/>
      <c r="G190" s="64"/>
      <c r="H190" s="17" t="str">
        <f t="shared" si="26"/>
        <v/>
      </c>
      <c r="I190" s="18"/>
      <c r="J190" s="62"/>
      <c r="K190" s="62"/>
      <c r="L190" s="420" t="str">
        <f t="shared" si="27"/>
        <v/>
      </c>
      <c r="M190" s="401" t="str">
        <f t="shared" si="28"/>
        <v/>
      </c>
    </row>
    <row r="191" spans="2:13" x14ac:dyDescent="0.25">
      <c r="B191" s="46"/>
      <c r="C191" s="14"/>
      <c r="D191" s="15"/>
      <c r="E191" s="15"/>
      <c r="F191" s="15"/>
      <c r="G191" s="64"/>
      <c r="H191" s="17" t="str">
        <f t="shared" si="26"/>
        <v/>
      </c>
      <c r="I191" s="18"/>
      <c r="J191" s="62"/>
      <c r="K191" s="62"/>
      <c r="L191" s="420" t="str">
        <f t="shared" si="27"/>
        <v/>
      </c>
      <c r="M191" s="401" t="str">
        <f t="shared" si="28"/>
        <v/>
      </c>
    </row>
    <row r="192" spans="2:13" ht="11.9" customHeight="1" x14ac:dyDescent="0.25">
      <c r="B192" s="46"/>
      <c r="C192" s="14"/>
      <c r="D192" s="15"/>
      <c r="E192" s="15"/>
      <c r="F192" s="15"/>
      <c r="G192" s="64"/>
      <c r="H192" s="17" t="str">
        <f t="shared" si="26"/>
        <v/>
      </c>
      <c r="I192" s="18"/>
      <c r="J192" s="62"/>
      <c r="K192" s="62"/>
      <c r="L192" s="420" t="str">
        <f t="shared" si="27"/>
        <v/>
      </c>
      <c r="M192" s="401" t="str">
        <f t="shared" si="28"/>
        <v/>
      </c>
    </row>
    <row r="193" spans="2:13" x14ac:dyDescent="0.25">
      <c r="B193" s="46"/>
      <c r="C193" s="14"/>
      <c r="D193" s="15"/>
      <c r="E193" s="15"/>
      <c r="F193" s="15"/>
      <c r="G193" s="64"/>
      <c r="H193" s="17" t="str">
        <f t="shared" si="26"/>
        <v/>
      </c>
      <c r="I193" s="18"/>
      <c r="J193" s="62"/>
      <c r="K193" s="62"/>
      <c r="L193" s="420" t="str">
        <f t="shared" si="27"/>
        <v/>
      </c>
      <c r="M193" s="401" t="str">
        <f t="shared" si="28"/>
        <v/>
      </c>
    </row>
    <row r="194" spans="2:13" ht="11.9" customHeight="1" x14ac:dyDescent="0.25">
      <c r="B194" s="46"/>
      <c r="C194" s="14"/>
      <c r="D194" s="15"/>
      <c r="E194" s="15"/>
      <c r="F194" s="15"/>
      <c r="G194" s="64"/>
      <c r="H194" s="17" t="str">
        <f t="shared" si="26"/>
        <v/>
      </c>
      <c r="I194" s="18"/>
      <c r="J194" s="62"/>
      <c r="K194" s="62"/>
      <c r="L194" s="420" t="str">
        <f t="shared" si="27"/>
        <v/>
      </c>
      <c r="M194" s="401" t="str">
        <f t="shared" si="28"/>
        <v/>
      </c>
    </row>
    <row r="195" spans="2:13" x14ac:dyDescent="0.25">
      <c r="B195" s="46"/>
      <c r="C195" s="14"/>
      <c r="D195" s="15"/>
      <c r="E195" s="15"/>
      <c r="F195" s="15"/>
      <c r="G195" s="64"/>
      <c r="H195" s="17" t="str">
        <f t="shared" si="26"/>
        <v/>
      </c>
      <c r="I195" s="18"/>
      <c r="J195" s="62"/>
      <c r="K195" s="62"/>
      <c r="L195" s="420" t="str">
        <f t="shared" si="27"/>
        <v/>
      </c>
      <c r="M195" s="401" t="str">
        <f t="shared" si="28"/>
        <v/>
      </c>
    </row>
    <row r="196" spans="2:13" ht="11.9" customHeight="1" x14ac:dyDescent="0.25">
      <c r="B196" s="46"/>
      <c r="C196" s="14"/>
      <c r="D196" s="15"/>
      <c r="E196" s="15"/>
      <c r="F196" s="15"/>
      <c r="G196" s="64"/>
      <c r="H196" s="17" t="str">
        <f t="shared" si="26"/>
        <v/>
      </c>
      <c r="I196" s="18"/>
      <c r="J196" s="62"/>
      <c r="K196" s="62"/>
      <c r="L196" s="420" t="str">
        <f t="shared" si="27"/>
        <v/>
      </c>
      <c r="M196" s="401" t="str">
        <f t="shared" si="28"/>
        <v/>
      </c>
    </row>
    <row r="197" spans="2:13" x14ac:dyDescent="0.25">
      <c r="B197" s="46"/>
      <c r="C197" s="14"/>
      <c r="D197" s="15"/>
      <c r="E197" s="15"/>
      <c r="F197" s="15"/>
      <c r="G197" s="64"/>
      <c r="H197" s="17" t="str">
        <f t="shared" si="26"/>
        <v/>
      </c>
      <c r="I197" s="18"/>
      <c r="J197" s="62"/>
      <c r="K197" s="62"/>
      <c r="L197" s="420" t="str">
        <f t="shared" si="27"/>
        <v/>
      </c>
      <c r="M197" s="401" t="str">
        <f t="shared" si="28"/>
        <v/>
      </c>
    </row>
    <row r="198" spans="2:13" ht="11.9" customHeight="1" x14ac:dyDescent="0.25">
      <c r="B198" s="46"/>
      <c r="C198" s="14"/>
      <c r="D198" s="15"/>
      <c r="E198" s="15"/>
      <c r="F198" s="15"/>
      <c r="G198" s="64"/>
      <c r="H198" s="17" t="str">
        <f t="shared" si="26"/>
        <v/>
      </c>
      <c r="I198" s="18"/>
      <c r="J198" s="62"/>
      <c r="K198" s="62"/>
      <c r="L198" s="420" t="str">
        <f t="shared" si="27"/>
        <v/>
      </c>
      <c r="M198" s="401" t="str">
        <f t="shared" si="28"/>
        <v/>
      </c>
    </row>
    <row r="199" spans="2:13" x14ac:dyDescent="0.25">
      <c r="B199" s="46"/>
      <c r="C199" s="14"/>
      <c r="D199" s="15"/>
      <c r="E199" s="15"/>
      <c r="F199" s="15"/>
      <c r="G199" s="64"/>
      <c r="H199" s="17" t="str">
        <f t="shared" si="26"/>
        <v/>
      </c>
      <c r="I199" s="18"/>
      <c r="J199" s="61"/>
      <c r="K199" s="62"/>
      <c r="L199" s="420" t="str">
        <f t="shared" si="27"/>
        <v/>
      </c>
      <c r="M199" s="401" t="str">
        <f t="shared" si="28"/>
        <v/>
      </c>
    </row>
    <row r="200" spans="2:13" ht="11.9" customHeight="1" x14ac:dyDescent="0.25">
      <c r="B200" s="46"/>
      <c r="C200" s="14"/>
      <c r="D200" s="15"/>
      <c r="E200" s="15"/>
      <c r="F200" s="15"/>
      <c r="G200" s="64"/>
      <c r="H200" s="17" t="str">
        <f t="shared" si="26"/>
        <v/>
      </c>
      <c r="I200" s="18"/>
      <c r="J200" s="62"/>
      <c r="K200" s="62"/>
      <c r="L200" s="420" t="str">
        <f t="shared" si="27"/>
        <v/>
      </c>
      <c r="M200" s="401" t="str">
        <f t="shared" si="28"/>
        <v/>
      </c>
    </row>
    <row r="201" spans="2:13" x14ac:dyDescent="0.25">
      <c r="B201" s="46"/>
      <c r="C201" s="14"/>
      <c r="D201" s="15"/>
      <c r="E201" s="15"/>
      <c r="F201" s="15"/>
      <c r="G201" s="64"/>
      <c r="H201" s="17" t="str">
        <f t="shared" si="26"/>
        <v/>
      </c>
      <c r="I201" s="18"/>
      <c r="J201" s="62"/>
      <c r="K201" s="62"/>
      <c r="L201" s="420" t="str">
        <f t="shared" si="27"/>
        <v/>
      </c>
      <c r="M201" s="401" t="str">
        <f t="shared" si="28"/>
        <v/>
      </c>
    </row>
    <row r="202" spans="2:13" ht="11.9" customHeight="1" x14ac:dyDescent="0.25">
      <c r="B202" s="46"/>
      <c r="C202" s="14"/>
      <c r="D202" s="15"/>
      <c r="E202" s="15"/>
      <c r="F202" s="15"/>
      <c r="G202" s="64"/>
      <c r="H202" s="17" t="str">
        <f t="shared" si="26"/>
        <v/>
      </c>
      <c r="I202" s="18"/>
      <c r="J202" s="61"/>
      <c r="K202" s="62"/>
      <c r="L202" s="420" t="str">
        <f t="shared" si="27"/>
        <v/>
      </c>
      <c r="M202" s="401" t="str">
        <f t="shared" si="28"/>
        <v/>
      </c>
    </row>
    <row r="203" spans="2:13" x14ac:dyDescent="0.25">
      <c r="B203" s="46"/>
      <c r="C203" s="14"/>
      <c r="D203" s="15"/>
      <c r="E203" s="15"/>
      <c r="F203" s="15"/>
      <c r="G203" s="64"/>
      <c r="H203" s="17" t="str">
        <f t="shared" si="26"/>
        <v/>
      </c>
      <c r="I203" s="18"/>
      <c r="J203" s="62"/>
      <c r="K203" s="62"/>
      <c r="L203" s="420" t="str">
        <f t="shared" si="27"/>
        <v/>
      </c>
      <c r="M203" s="401" t="str">
        <f t="shared" si="28"/>
        <v/>
      </c>
    </row>
    <row r="204" spans="2:13" ht="11.9" customHeight="1" x14ac:dyDescent="0.25">
      <c r="B204" s="46"/>
      <c r="C204" s="14"/>
      <c r="D204" s="15"/>
      <c r="E204" s="15"/>
      <c r="F204" s="15"/>
      <c r="G204" s="64"/>
      <c r="H204" s="17" t="str">
        <f t="shared" si="26"/>
        <v/>
      </c>
      <c r="I204" s="18"/>
      <c r="J204" s="62"/>
      <c r="K204" s="62"/>
      <c r="L204" s="420" t="str">
        <f t="shared" si="27"/>
        <v/>
      </c>
      <c r="M204" s="401" t="str">
        <f t="shared" si="28"/>
        <v/>
      </c>
    </row>
    <row r="205" spans="2:13" x14ac:dyDescent="0.25">
      <c r="B205" s="46"/>
      <c r="C205" s="14"/>
      <c r="D205" s="15"/>
      <c r="E205" s="15"/>
      <c r="F205" s="15"/>
      <c r="G205" s="64"/>
      <c r="H205" s="17" t="str">
        <f t="shared" si="26"/>
        <v/>
      </c>
      <c r="I205" s="18"/>
      <c r="J205" s="62"/>
      <c r="K205" s="62"/>
      <c r="L205" s="420" t="str">
        <f t="shared" si="27"/>
        <v/>
      </c>
      <c r="M205" s="401" t="str">
        <f t="shared" si="28"/>
        <v/>
      </c>
    </row>
    <row r="206" spans="2:13" ht="11.9" customHeight="1" x14ac:dyDescent="0.25">
      <c r="B206" s="46"/>
      <c r="C206" s="14"/>
      <c r="D206" s="15"/>
      <c r="E206" s="15"/>
      <c r="F206" s="15"/>
      <c r="G206" s="64"/>
      <c r="H206" s="17" t="str">
        <f t="shared" si="26"/>
        <v/>
      </c>
      <c r="I206" s="18"/>
      <c r="J206" s="62"/>
      <c r="K206" s="62"/>
      <c r="L206" s="420" t="str">
        <f t="shared" si="27"/>
        <v/>
      </c>
      <c r="M206" s="401" t="str">
        <f t="shared" si="28"/>
        <v/>
      </c>
    </row>
    <row r="207" spans="2:13" x14ac:dyDescent="0.25">
      <c r="B207" s="46"/>
      <c r="C207" s="14"/>
      <c r="D207" s="15"/>
      <c r="E207" s="15"/>
      <c r="F207" s="15"/>
      <c r="G207" s="64"/>
      <c r="H207" s="17" t="str">
        <f t="shared" si="26"/>
        <v/>
      </c>
      <c r="I207" s="18"/>
      <c r="J207" s="61"/>
      <c r="K207" s="695"/>
      <c r="L207" s="420" t="str">
        <f t="shared" si="27"/>
        <v/>
      </c>
      <c r="M207" s="401" t="str">
        <f t="shared" si="28"/>
        <v/>
      </c>
    </row>
    <row r="208" spans="2:13" ht="11.9" customHeight="1" x14ac:dyDescent="0.25">
      <c r="B208" s="46"/>
      <c r="C208" s="14"/>
      <c r="D208" s="15"/>
      <c r="E208" s="15"/>
      <c r="F208" s="15"/>
      <c r="G208" s="64"/>
      <c r="H208" s="17" t="str">
        <f t="shared" si="26"/>
        <v/>
      </c>
      <c r="I208" s="18"/>
      <c r="J208" s="61"/>
      <c r="K208" s="696"/>
      <c r="L208" s="420" t="str">
        <f t="shared" si="27"/>
        <v/>
      </c>
      <c r="M208" s="401" t="str">
        <f t="shared" si="28"/>
        <v/>
      </c>
    </row>
    <row r="209" spans="2:13" s="28" customFormat="1" ht="24.75" customHeight="1" x14ac:dyDescent="0.25">
      <c r="B209" s="144" t="str">
        <f>$B$12</f>
        <v>C13.1</v>
      </c>
      <c r="C209" s="30" t="s">
        <v>791</v>
      </c>
      <c r="D209" s="31"/>
      <c r="E209" s="31"/>
      <c r="F209" s="32"/>
      <c r="G209" s="31"/>
      <c r="H209" s="33">
        <f>SUM(H149:H208)</f>
        <v>358750</v>
      </c>
      <c r="I209" s="34"/>
      <c r="J209" s="408"/>
      <c r="K209" s="406"/>
      <c r="L209" s="418">
        <f>SUM(L149:L208)</f>
        <v>110610</v>
      </c>
      <c r="M209" s="407" t="str">
        <f t="shared" si="25"/>
        <v/>
      </c>
    </row>
  </sheetData>
  <mergeCells count="21">
    <mergeCell ref="F3:H3"/>
    <mergeCell ref="B6:G6"/>
    <mergeCell ref="H6:H9"/>
    <mergeCell ref="B76:D76"/>
    <mergeCell ref="F76:H78"/>
    <mergeCell ref="B77:D77"/>
    <mergeCell ref="B78:D78"/>
    <mergeCell ref="B7:G7"/>
    <mergeCell ref="B8:G8"/>
    <mergeCell ref="B144:G144"/>
    <mergeCell ref="H144:H147"/>
    <mergeCell ref="B79:G79"/>
    <mergeCell ref="H79:H82"/>
    <mergeCell ref="B141:D141"/>
    <mergeCell ref="F141:H143"/>
    <mergeCell ref="B142:D142"/>
    <mergeCell ref="B143:D143"/>
    <mergeCell ref="B80:G80"/>
    <mergeCell ref="B81:G81"/>
    <mergeCell ref="B145:G145"/>
    <mergeCell ref="B146:G146"/>
  </mergeCells>
  <conditionalFormatting sqref="G11:H75 G84:H140 G149:H209">
    <cfRule type="expression" dxfId="12"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0">
    <tabColor rgb="FFFFFF00"/>
  </sheetPr>
  <dimension ref="A1:N73"/>
  <sheetViews>
    <sheetView view="pageBreakPreview" zoomScaleNormal="125" zoomScaleSheetLayoutView="100" zoomScalePageLayoutView="125" workbookViewId="0">
      <pane ySplit="2" topLeftCell="A3"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MAX(H2:H224)</f>
        <v>1482400</v>
      </c>
      <c r="I1" s="247">
        <f>MAX(I2:I224)</f>
        <v>0</v>
      </c>
      <c r="J1" s="248"/>
      <c r="K1" s="249"/>
      <c r="L1" s="247">
        <f>MAX(L2:L224)</f>
        <v>274298</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C13.2</v>
      </c>
      <c r="I6" s="6"/>
    </row>
    <row r="7" spans="1:14" ht="35.2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4.75" customHeight="1" x14ac:dyDescent="0.25">
      <c r="B8" s="1152" t="s">
        <v>1775</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6"/>
      <c r="C11" s="65"/>
      <c r="D11" s="15"/>
      <c r="E11" s="15"/>
      <c r="F11" s="15"/>
      <c r="G11" s="16"/>
      <c r="H11" s="17" t="str">
        <f t="shared" ref="H11:H72" si="0">IF(D11="","",F11*G11)</f>
        <v/>
      </c>
      <c r="I11" s="18"/>
      <c r="J11" s="61"/>
      <c r="K11" s="399"/>
      <c r="L11" s="420" t="str">
        <f t="shared" ref="L11" si="1">IF(J11="","",F11*K11)</f>
        <v/>
      </c>
      <c r="M11" s="401" t="str">
        <f t="shared" ref="M11" si="2">IF(J11="","",IF(SUM(H11)=0,"",L11/H11))</f>
        <v/>
      </c>
    </row>
    <row r="12" spans="1:14" ht="26" x14ac:dyDescent="0.25">
      <c r="B12" s="146" t="s">
        <v>312</v>
      </c>
      <c r="C12" s="672" t="s">
        <v>311</v>
      </c>
      <c r="D12" s="15"/>
      <c r="E12" s="15"/>
      <c r="F12" s="15"/>
      <c r="G12" s="16"/>
      <c r="H12" s="17" t="str">
        <f t="shared" si="0"/>
        <v/>
      </c>
      <c r="I12" s="18"/>
      <c r="J12" s="61"/>
      <c r="K12" s="399"/>
      <c r="L12" s="420" t="str">
        <f t="shared" ref="L12:L72" si="3">IF(J12="","",F12*K12)</f>
        <v/>
      </c>
      <c r="M12" s="401" t="str">
        <f t="shared" ref="M12:M72" si="4">IF(J12="","",IF(SUM(H12)=0,"",L12/H12))</f>
        <v/>
      </c>
    </row>
    <row r="13" spans="1:14" x14ac:dyDescent="0.25">
      <c r="B13" s="58"/>
      <c r="C13" s="65"/>
      <c r="D13" s="15"/>
      <c r="E13" s="15"/>
      <c r="F13" s="15"/>
      <c r="G13" s="16"/>
      <c r="H13" s="17" t="str">
        <f t="shared" si="0"/>
        <v/>
      </c>
      <c r="I13" s="18"/>
      <c r="J13" s="61"/>
      <c r="K13" s="399"/>
      <c r="L13" s="420" t="str">
        <f t="shared" si="3"/>
        <v/>
      </c>
      <c r="M13" s="401" t="str">
        <f t="shared" si="4"/>
        <v/>
      </c>
    </row>
    <row r="14" spans="1:14" ht="13" x14ac:dyDescent="0.25">
      <c r="B14" s="146" t="s">
        <v>313</v>
      </c>
      <c r="C14" s="672" t="s">
        <v>1901</v>
      </c>
      <c r="D14" s="15"/>
      <c r="E14" s="15"/>
      <c r="F14" s="24"/>
      <c r="G14" s="724"/>
      <c r="H14" s="17" t="str">
        <f t="shared" si="0"/>
        <v/>
      </c>
      <c r="I14" s="57"/>
      <c r="J14" s="61"/>
      <c r="K14" s="400"/>
      <c r="L14" s="420" t="str">
        <f t="shared" si="3"/>
        <v/>
      </c>
      <c r="M14" s="401" t="str">
        <f t="shared" si="4"/>
        <v/>
      </c>
    </row>
    <row r="15" spans="1:14" x14ac:dyDescent="0.25">
      <c r="B15" s="58"/>
      <c r="C15" s="65"/>
      <c r="D15" s="15"/>
      <c r="E15" s="15"/>
      <c r="F15" s="24"/>
      <c r="G15" s="724"/>
      <c r="H15" s="17" t="str">
        <f t="shared" si="0"/>
        <v/>
      </c>
      <c r="I15" s="57"/>
      <c r="J15" s="61"/>
      <c r="K15" s="399"/>
      <c r="L15" s="420" t="str">
        <f t="shared" si="3"/>
        <v/>
      </c>
      <c r="M15" s="401" t="str">
        <f t="shared" si="4"/>
        <v/>
      </c>
    </row>
    <row r="16" spans="1:14" x14ac:dyDescent="0.25">
      <c r="B16" s="58" t="s">
        <v>39</v>
      </c>
      <c r="C16" s="65" t="s">
        <v>1733</v>
      </c>
      <c r="D16" s="15"/>
      <c r="E16" s="15"/>
      <c r="F16" s="24"/>
      <c r="G16" s="724"/>
      <c r="H16" s="17" t="str">
        <f t="shared" si="0"/>
        <v/>
      </c>
      <c r="I16" s="57"/>
      <c r="J16" s="61"/>
      <c r="K16" s="399"/>
      <c r="L16" s="420" t="str">
        <f t="shared" si="3"/>
        <v/>
      </c>
      <c r="M16" s="401" t="str">
        <f t="shared" si="4"/>
        <v/>
      </c>
    </row>
    <row r="17" spans="2:13" x14ac:dyDescent="0.25">
      <c r="B17" s="58"/>
      <c r="C17" s="65"/>
      <c r="D17" s="15"/>
      <c r="E17" s="15"/>
      <c r="F17" s="24"/>
      <c r="G17" s="724"/>
      <c r="H17" s="17" t="str">
        <f t="shared" si="0"/>
        <v/>
      </c>
      <c r="I17" s="57"/>
      <c r="J17" s="61"/>
      <c r="K17" s="399"/>
      <c r="L17" s="420" t="str">
        <f t="shared" si="3"/>
        <v/>
      </c>
      <c r="M17" s="401" t="str">
        <f t="shared" si="4"/>
        <v/>
      </c>
    </row>
    <row r="18" spans="2:13" ht="25" x14ac:dyDescent="0.25">
      <c r="B18" s="58" t="s">
        <v>990</v>
      </c>
      <c r="C18" s="65" t="s">
        <v>1736</v>
      </c>
      <c r="D18" s="15" t="s">
        <v>61</v>
      </c>
      <c r="E18" s="15" t="s">
        <v>996</v>
      </c>
      <c r="F18" s="24">
        <v>166</v>
      </c>
      <c r="G18" s="724">
        <v>450</v>
      </c>
      <c r="H18" s="17">
        <f t="shared" si="0"/>
        <v>74700</v>
      </c>
      <c r="I18" s="57"/>
      <c r="J18" s="61" t="s">
        <v>996</v>
      </c>
      <c r="K18" s="399">
        <f>_Formwork</f>
        <v>134</v>
      </c>
      <c r="L18" s="420">
        <f t="shared" si="3"/>
        <v>22244</v>
      </c>
      <c r="M18" s="401">
        <f t="shared" si="4"/>
        <v>0.29777777777777775</v>
      </c>
    </row>
    <row r="19" spans="2:13" x14ac:dyDescent="0.25">
      <c r="B19" s="58"/>
      <c r="C19" s="65"/>
      <c r="D19" s="15"/>
      <c r="E19" s="15"/>
      <c r="F19" s="24"/>
      <c r="G19" s="724"/>
      <c r="H19" s="17" t="str">
        <f t="shared" si="0"/>
        <v/>
      </c>
      <c r="I19" s="57"/>
      <c r="J19" s="61"/>
      <c r="K19" s="402"/>
      <c r="L19" s="420" t="str">
        <f t="shared" si="3"/>
        <v/>
      </c>
      <c r="M19" s="401" t="str">
        <f t="shared" si="4"/>
        <v/>
      </c>
    </row>
    <row r="20" spans="2:13" ht="14.5" x14ac:dyDescent="0.25">
      <c r="B20" s="58" t="s">
        <v>991</v>
      </c>
      <c r="C20" s="65" t="s">
        <v>1734</v>
      </c>
      <c r="D20" s="15" t="s">
        <v>61</v>
      </c>
      <c r="E20" s="15" t="s">
        <v>996</v>
      </c>
      <c r="F20" s="24">
        <v>53</v>
      </c>
      <c r="G20" s="724">
        <v>450</v>
      </c>
      <c r="H20" s="17">
        <f t="shared" si="0"/>
        <v>23850</v>
      </c>
      <c r="I20" s="57"/>
      <c r="J20" s="61" t="s">
        <v>996</v>
      </c>
      <c r="K20" s="399">
        <f>_Formwork</f>
        <v>134</v>
      </c>
      <c r="L20" s="420">
        <f t="shared" si="3"/>
        <v>7102</v>
      </c>
      <c r="M20" s="401">
        <f t="shared" si="4"/>
        <v>0.29777777777777775</v>
      </c>
    </row>
    <row r="21" spans="2:13" x14ac:dyDescent="0.25">
      <c r="B21" s="58"/>
      <c r="C21" s="65"/>
      <c r="D21" s="15"/>
      <c r="E21" s="15"/>
      <c r="F21" s="24"/>
      <c r="G21" s="724"/>
      <c r="H21" s="17" t="str">
        <f t="shared" si="0"/>
        <v/>
      </c>
      <c r="I21" s="57"/>
      <c r="J21" s="61"/>
      <c r="K21" s="402"/>
      <c r="L21" s="420" t="str">
        <f t="shared" si="3"/>
        <v/>
      </c>
      <c r="M21" s="401" t="str">
        <f t="shared" si="4"/>
        <v/>
      </c>
    </row>
    <row r="22" spans="2:13" ht="14.5" x14ac:dyDescent="0.25">
      <c r="B22" s="58" t="s">
        <v>1679</v>
      </c>
      <c r="C22" s="65" t="s">
        <v>1735</v>
      </c>
      <c r="D22" s="15" t="s">
        <v>61</v>
      </c>
      <c r="E22" s="15" t="s">
        <v>996</v>
      </c>
      <c r="F22" s="24">
        <v>63</v>
      </c>
      <c r="G22" s="724">
        <v>450</v>
      </c>
      <c r="H22" s="17">
        <f t="shared" si="0"/>
        <v>28350</v>
      </c>
      <c r="I22" s="57"/>
      <c r="J22" s="61" t="s">
        <v>996</v>
      </c>
      <c r="K22" s="399">
        <f>_Formwork</f>
        <v>134</v>
      </c>
      <c r="L22" s="420">
        <f t="shared" si="3"/>
        <v>8442</v>
      </c>
      <c r="M22" s="401">
        <f t="shared" si="4"/>
        <v>0.29777777777777775</v>
      </c>
    </row>
    <row r="23" spans="2:13" x14ac:dyDescent="0.25">
      <c r="B23" s="58"/>
      <c r="C23" s="65"/>
      <c r="D23" s="15"/>
      <c r="E23" s="15"/>
      <c r="F23" s="24"/>
      <c r="G23" s="724"/>
      <c r="H23" s="17" t="str">
        <f t="shared" si="0"/>
        <v/>
      </c>
      <c r="I23" s="57"/>
      <c r="J23" s="61"/>
      <c r="K23" s="402"/>
      <c r="L23" s="420" t="str">
        <f t="shared" si="3"/>
        <v/>
      </c>
      <c r="M23" s="401" t="str">
        <f t="shared" si="4"/>
        <v/>
      </c>
    </row>
    <row r="24" spans="2:13" x14ac:dyDescent="0.25">
      <c r="B24" s="58" t="s">
        <v>41</v>
      </c>
      <c r="C24" s="65" t="s">
        <v>1742</v>
      </c>
      <c r="D24" s="15"/>
      <c r="E24" s="15"/>
      <c r="F24" s="24"/>
      <c r="G24" s="724"/>
      <c r="H24" s="17" t="str">
        <f t="shared" si="0"/>
        <v/>
      </c>
      <c r="I24" s="57"/>
      <c r="J24" s="61"/>
      <c r="K24" s="402"/>
      <c r="L24" s="420" t="str">
        <f t="shared" si="3"/>
        <v/>
      </c>
      <c r="M24" s="401" t="str">
        <f t="shared" si="4"/>
        <v/>
      </c>
    </row>
    <row r="25" spans="2:13" x14ac:dyDescent="0.25">
      <c r="B25" s="58"/>
      <c r="C25" s="65"/>
      <c r="D25" s="15"/>
      <c r="E25" s="15"/>
      <c r="F25" s="24"/>
      <c r="G25" s="724"/>
      <c r="H25" s="17" t="str">
        <f t="shared" si="0"/>
        <v/>
      </c>
      <c r="I25" s="57"/>
      <c r="J25" s="61"/>
      <c r="K25" s="399"/>
      <c r="L25" s="420" t="str">
        <f t="shared" si="3"/>
        <v/>
      </c>
      <c r="M25" s="401" t="str">
        <f t="shared" si="4"/>
        <v/>
      </c>
    </row>
    <row r="26" spans="2:13" ht="14.5" x14ac:dyDescent="0.25">
      <c r="B26" s="58" t="s">
        <v>990</v>
      </c>
      <c r="C26" s="65" t="s">
        <v>1738</v>
      </c>
      <c r="D26" s="15" t="s">
        <v>61</v>
      </c>
      <c r="E26" s="15" t="s">
        <v>996</v>
      </c>
      <c r="F26" s="24">
        <v>710</v>
      </c>
      <c r="G26" s="724">
        <v>500</v>
      </c>
      <c r="H26" s="17">
        <f t="shared" si="0"/>
        <v>355000</v>
      </c>
      <c r="I26" s="57"/>
      <c r="J26" s="61" t="s">
        <v>996</v>
      </c>
      <c r="K26" s="399">
        <f>_Formwork</f>
        <v>134</v>
      </c>
      <c r="L26" s="420">
        <f t="shared" si="3"/>
        <v>95140</v>
      </c>
      <c r="M26" s="401">
        <f t="shared" si="4"/>
        <v>0.26800000000000002</v>
      </c>
    </row>
    <row r="27" spans="2:13" x14ac:dyDescent="0.25">
      <c r="B27" s="58"/>
      <c r="C27" s="65"/>
      <c r="D27" s="15"/>
      <c r="E27" s="15"/>
      <c r="F27" s="24"/>
      <c r="G27" s="724"/>
      <c r="H27" s="17" t="str">
        <f t="shared" si="0"/>
        <v/>
      </c>
      <c r="I27" s="57"/>
      <c r="J27" s="61"/>
      <c r="K27" s="399"/>
      <c r="L27" s="420" t="str">
        <f t="shared" si="3"/>
        <v/>
      </c>
      <c r="M27" s="401" t="str">
        <f t="shared" si="4"/>
        <v/>
      </c>
    </row>
    <row r="28" spans="2:13" ht="14.5" x14ac:dyDescent="0.25">
      <c r="B28" s="58" t="s">
        <v>991</v>
      </c>
      <c r="C28" s="65" t="s">
        <v>1739</v>
      </c>
      <c r="D28" s="15" t="s">
        <v>61</v>
      </c>
      <c r="E28" s="15" t="s">
        <v>996</v>
      </c>
      <c r="F28" s="24">
        <v>428</v>
      </c>
      <c r="G28" s="724">
        <v>500</v>
      </c>
      <c r="H28" s="17">
        <f t="shared" si="0"/>
        <v>214000</v>
      </c>
      <c r="I28" s="57"/>
      <c r="J28" s="61" t="s">
        <v>996</v>
      </c>
      <c r="K28" s="399">
        <f>_Formwork</f>
        <v>134</v>
      </c>
      <c r="L28" s="420">
        <f t="shared" si="3"/>
        <v>57352</v>
      </c>
      <c r="M28" s="401">
        <f t="shared" si="4"/>
        <v>0.26800000000000002</v>
      </c>
    </row>
    <row r="29" spans="2:13" x14ac:dyDescent="0.25">
      <c r="B29" s="58"/>
      <c r="C29" s="65"/>
      <c r="D29" s="15"/>
      <c r="E29" s="15"/>
      <c r="F29" s="24"/>
      <c r="G29" s="724"/>
      <c r="H29" s="17" t="str">
        <f t="shared" si="0"/>
        <v/>
      </c>
      <c r="I29" s="57"/>
      <c r="J29" s="61"/>
      <c r="K29" s="399"/>
      <c r="L29" s="420" t="str">
        <f t="shared" si="3"/>
        <v/>
      </c>
      <c r="M29" s="401" t="str">
        <f t="shared" si="4"/>
        <v/>
      </c>
    </row>
    <row r="30" spans="2:13" ht="14.5" x14ac:dyDescent="0.25">
      <c r="B30" s="58" t="s">
        <v>1679</v>
      </c>
      <c r="C30" s="65" t="s">
        <v>1740</v>
      </c>
      <c r="D30" s="15" t="s">
        <v>61</v>
      </c>
      <c r="E30" s="15" t="s">
        <v>996</v>
      </c>
      <c r="F30" s="24">
        <v>133</v>
      </c>
      <c r="G30" s="724">
        <v>500</v>
      </c>
      <c r="H30" s="17">
        <f t="shared" si="0"/>
        <v>66500</v>
      </c>
      <c r="I30" s="57"/>
      <c r="J30" s="61" t="s">
        <v>996</v>
      </c>
      <c r="K30" s="399">
        <f>_Formwork</f>
        <v>134</v>
      </c>
      <c r="L30" s="420">
        <f t="shared" si="3"/>
        <v>17822</v>
      </c>
      <c r="M30" s="401">
        <f t="shared" si="4"/>
        <v>0.26800000000000002</v>
      </c>
    </row>
    <row r="31" spans="2:13" x14ac:dyDescent="0.25">
      <c r="B31" s="58"/>
      <c r="C31" s="65"/>
      <c r="D31" s="15"/>
      <c r="E31" s="15"/>
      <c r="F31" s="24"/>
      <c r="G31" s="724"/>
      <c r="H31" s="17" t="str">
        <f t="shared" si="0"/>
        <v/>
      </c>
      <c r="I31" s="57"/>
      <c r="J31" s="61"/>
      <c r="K31" s="399"/>
      <c r="L31" s="420" t="str">
        <f t="shared" si="3"/>
        <v/>
      </c>
      <c r="M31" s="401" t="str">
        <f t="shared" si="4"/>
        <v/>
      </c>
    </row>
    <row r="32" spans="2:13" ht="14.5" x14ac:dyDescent="0.25">
      <c r="B32" s="58" t="s">
        <v>1737</v>
      </c>
      <c r="C32" s="65" t="s">
        <v>1741</v>
      </c>
      <c r="D32" s="15" t="s">
        <v>61</v>
      </c>
      <c r="E32" s="15" t="s">
        <v>996</v>
      </c>
      <c r="F32" s="24">
        <v>21</v>
      </c>
      <c r="G32" s="724">
        <v>500</v>
      </c>
      <c r="H32" s="17">
        <f t="shared" si="0"/>
        <v>10500</v>
      </c>
      <c r="I32" s="57"/>
      <c r="J32" s="61" t="s">
        <v>996</v>
      </c>
      <c r="K32" s="399">
        <f>_Formwork</f>
        <v>134</v>
      </c>
      <c r="L32" s="420">
        <f t="shared" si="3"/>
        <v>2814</v>
      </c>
      <c r="M32" s="401">
        <f t="shared" si="4"/>
        <v>0.26800000000000002</v>
      </c>
    </row>
    <row r="33" spans="2:13" x14ac:dyDescent="0.25">
      <c r="B33" s="58"/>
      <c r="C33" s="65"/>
      <c r="D33" s="15"/>
      <c r="E33" s="15"/>
      <c r="F33" s="24"/>
      <c r="G33" s="724"/>
      <c r="H33" s="17" t="str">
        <f t="shared" si="0"/>
        <v/>
      </c>
      <c r="I33" s="57"/>
      <c r="J33" s="61"/>
      <c r="K33" s="399"/>
      <c r="L33" s="420" t="str">
        <f t="shared" si="3"/>
        <v/>
      </c>
      <c r="M33" s="401" t="str">
        <f t="shared" si="4"/>
        <v/>
      </c>
    </row>
    <row r="34" spans="2:13" ht="13" x14ac:dyDescent="0.25">
      <c r="B34" s="146" t="s">
        <v>314</v>
      </c>
      <c r="C34" s="672" t="s">
        <v>1902</v>
      </c>
      <c r="D34" s="15"/>
      <c r="E34" s="15"/>
      <c r="F34" s="24"/>
      <c r="G34" s="724"/>
      <c r="H34" s="17" t="str">
        <f t="shared" si="0"/>
        <v/>
      </c>
      <c r="I34" s="57"/>
      <c r="J34" s="61"/>
      <c r="K34" s="399"/>
      <c r="L34" s="420" t="str">
        <f t="shared" si="3"/>
        <v/>
      </c>
      <c r="M34" s="401" t="str">
        <f t="shared" si="4"/>
        <v/>
      </c>
    </row>
    <row r="35" spans="2:13" x14ac:dyDescent="0.25">
      <c r="B35" s="58"/>
      <c r="C35" s="65"/>
      <c r="D35" s="15"/>
      <c r="E35" s="15"/>
      <c r="F35" s="24"/>
      <c r="G35" s="724"/>
      <c r="H35" s="17" t="str">
        <f t="shared" si="0"/>
        <v/>
      </c>
      <c r="I35" s="57"/>
      <c r="J35" s="61"/>
      <c r="K35" s="399"/>
      <c r="L35" s="420" t="str">
        <f t="shared" si="3"/>
        <v/>
      </c>
      <c r="M35" s="401" t="str">
        <f t="shared" si="4"/>
        <v/>
      </c>
    </row>
    <row r="36" spans="2:13" x14ac:dyDescent="0.25">
      <c r="B36" s="58" t="s">
        <v>39</v>
      </c>
      <c r="C36" s="65" t="s">
        <v>1742</v>
      </c>
      <c r="D36" s="15"/>
      <c r="E36" s="15"/>
      <c r="F36" s="24"/>
      <c r="G36" s="724"/>
      <c r="H36" s="17" t="str">
        <f t="shared" si="0"/>
        <v/>
      </c>
      <c r="I36" s="57"/>
      <c r="J36" s="61"/>
      <c r="K36" s="399"/>
      <c r="L36" s="420" t="str">
        <f t="shared" si="3"/>
        <v/>
      </c>
      <c r="M36" s="401" t="str">
        <f t="shared" si="4"/>
        <v/>
      </c>
    </row>
    <row r="37" spans="2:13" x14ac:dyDescent="0.25">
      <c r="B37" s="58"/>
      <c r="C37" s="65"/>
      <c r="D37" s="15"/>
      <c r="E37" s="15"/>
      <c r="F37" s="24"/>
      <c r="G37" s="724"/>
      <c r="H37" s="17" t="str">
        <f t="shared" si="0"/>
        <v/>
      </c>
      <c r="I37" s="57"/>
      <c r="J37" s="61"/>
      <c r="K37" s="399"/>
      <c r="L37" s="420" t="str">
        <f t="shared" si="3"/>
        <v/>
      </c>
      <c r="M37" s="401" t="str">
        <f t="shared" si="4"/>
        <v/>
      </c>
    </row>
    <row r="38" spans="2:13" ht="14.5" x14ac:dyDescent="0.25">
      <c r="B38" s="58" t="s">
        <v>990</v>
      </c>
      <c r="C38" s="65" t="s">
        <v>1743</v>
      </c>
      <c r="D38" s="15" t="s">
        <v>61</v>
      </c>
      <c r="E38" s="15" t="s">
        <v>996</v>
      </c>
      <c r="F38" s="24">
        <v>473</v>
      </c>
      <c r="G38" s="724">
        <v>1500</v>
      </c>
      <c r="H38" s="17">
        <f t="shared" si="0"/>
        <v>709500</v>
      </c>
      <c r="I38" s="57"/>
      <c r="J38" s="61" t="s">
        <v>996</v>
      </c>
      <c r="K38" s="399">
        <f>_Formwork</f>
        <v>134</v>
      </c>
      <c r="L38" s="420">
        <f t="shared" si="3"/>
        <v>63382</v>
      </c>
      <c r="M38" s="401">
        <f t="shared" si="4"/>
        <v>8.9333333333333334E-2</v>
      </c>
    </row>
    <row r="39" spans="2:13" x14ac:dyDescent="0.25">
      <c r="B39" s="58"/>
      <c r="C39" s="65"/>
      <c r="D39" s="15"/>
      <c r="E39" s="15"/>
      <c r="F39" s="24"/>
      <c r="G39" s="724"/>
      <c r="H39" s="17" t="str">
        <f t="shared" si="0"/>
        <v/>
      </c>
      <c r="I39" s="57"/>
      <c r="J39" s="61"/>
      <c r="K39" s="399"/>
      <c r="L39" s="420" t="str">
        <f t="shared" si="3"/>
        <v/>
      </c>
      <c r="M39" s="401" t="str">
        <f t="shared" si="4"/>
        <v/>
      </c>
    </row>
    <row r="40" spans="2:13" x14ac:dyDescent="0.25">
      <c r="B40" s="58"/>
      <c r="C40" s="65"/>
      <c r="D40" s="15"/>
      <c r="E40" s="15"/>
      <c r="F40" s="24"/>
      <c r="G40" s="724"/>
      <c r="H40" s="17" t="str">
        <f t="shared" si="0"/>
        <v/>
      </c>
      <c r="I40" s="57"/>
      <c r="J40" s="61"/>
      <c r="K40" s="399"/>
      <c r="L40" s="420" t="str">
        <f t="shared" si="3"/>
        <v/>
      </c>
      <c r="M40" s="401" t="str">
        <f t="shared" si="4"/>
        <v/>
      </c>
    </row>
    <row r="41" spans="2:13" x14ac:dyDescent="0.25">
      <c r="B41" s="58"/>
      <c r="C41" s="65"/>
      <c r="D41" s="15"/>
      <c r="E41" s="15"/>
      <c r="F41" s="24"/>
      <c r="G41" s="724"/>
      <c r="H41" s="17" t="str">
        <f t="shared" si="0"/>
        <v/>
      </c>
      <c r="I41" s="57"/>
      <c r="J41" s="61"/>
      <c r="K41" s="399"/>
      <c r="L41" s="420" t="str">
        <f t="shared" si="3"/>
        <v/>
      </c>
      <c r="M41" s="401" t="str">
        <f t="shared" si="4"/>
        <v/>
      </c>
    </row>
    <row r="42" spans="2:13" x14ac:dyDescent="0.25">
      <c r="B42" s="58"/>
      <c r="C42" s="65"/>
      <c r="D42" s="15"/>
      <c r="E42" s="15"/>
      <c r="F42" s="24"/>
      <c r="G42" s="724"/>
      <c r="H42" s="17" t="str">
        <f t="shared" si="0"/>
        <v/>
      </c>
      <c r="I42" s="57"/>
      <c r="J42" s="61"/>
      <c r="K42" s="399"/>
      <c r="L42" s="420" t="str">
        <f t="shared" si="3"/>
        <v/>
      </c>
      <c r="M42" s="401" t="str">
        <f t="shared" si="4"/>
        <v/>
      </c>
    </row>
    <row r="43" spans="2:13" x14ac:dyDescent="0.25">
      <c r="B43" s="58"/>
      <c r="C43" s="65"/>
      <c r="D43" s="15"/>
      <c r="E43" s="15"/>
      <c r="F43" s="24"/>
      <c r="G43" s="16"/>
      <c r="H43" s="17" t="str">
        <f t="shared" si="0"/>
        <v/>
      </c>
      <c r="I43" s="18"/>
      <c r="J43" s="61"/>
      <c r="K43" s="399"/>
      <c r="L43" s="420" t="str">
        <f t="shared" si="3"/>
        <v/>
      </c>
      <c r="M43" s="401" t="str">
        <f t="shared" si="4"/>
        <v/>
      </c>
    </row>
    <row r="44" spans="2:13" x14ac:dyDescent="0.25">
      <c r="B44" s="58"/>
      <c r="C44" s="65"/>
      <c r="D44" s="15"/>
      <c r="E44" s="15"/>
      <c r="F44" s="24"/>
      <c r="G44" s="59"/>
      <c r="H44" s="17" t="str">
        <f t="shared" si="0"/>
        <v/>
      </c>
      <c r="I44" s="18"/>
      <c r="J44" s="61"/>
      <c r="K44" s="399"/>
      <c r="L44" s="420" t="str">
        <f t="shared" si="3"/>
        <v/>
      </c>
      <c r="M44" s="401" t="str">
        <f t="shared" si="4"/>
        <v/>
      </c>
    </row>
    <row r="45" spans="2:13" x14ac:dyDescent="0.25">
      <c r="B45" s="58"/>
      <c r="C45" s="65"/>
      <c r="D45" s="15"/>
      <c r="E45" s="15"/>
      <c r="F45" s="24"/>
      <c r="G45" s="62"/>
      <c r="H45" s="17" t="str">
        <f t="shared" si="0"/>
        <v/>
      </c>
      <c r="I45" s="63"/>
      <c r="J45" s="61"/>
      <c r="K45" s="399"/>
      <c r="L45" s="420" t="str">
        <f t="shared" si="3"/>
        <v/>
      </c>
      <c r="M45" s="401" t="str">
        <f t="shared" si="4"/>
        <v/>
      </c>
    </row>
    <row r="46" spans="2:13" x14ac:dyDescent="0.25">
      <c r="B46" s="58"/>
      <c r="C46" s="784"/>
      <c r="D46" s="15"/>
      <c r="E46" s="15"/>
      <c r="F46" s="24"/>
      <c r="G46" s="62"/>
      <c r="H46" s="17" t="str">
        <f t="shared" si="0"/>
        <v/>
      </c>
      <c r="I46" s="63"/>
      <c r="J46" s="61"/>
      <c r="K46" s="402"/>
      <c r="L46" s="420" t="str">
        <f t="shared" si="3"/>
        <v/>
      </c>
      <c r="M46" s="401" t="str">
        <f t="shared" si="4"/>
        <v/>
      </c>
    </row>
    <row r="47" spans="2:13" x14ac:dyDescent="0.25">
      <c r="B47" s="58"/>
      <c r="C47" s="65"/>
      <c r="D47" s="15"/>
      <c r="E47" s="15"/>
      <c r="F47" s="24"/>
      <c r="G47" s="64"/>
      <c r="H47" s="17" t="str">
        <f t="shared" si="0"/>
        <v/>
      </c>
      <c r="I47" s="63"/>
      <c r="J47" s="61"/>
      <c r="K47" s="399"/>
      <c r="L47" s="420" t="str">
        <f t="shared" si="3"/>
        <v/>
      </c>
      <c r="M47" s="401" t="str">
        <f t="shared" si="4"/>
        <v/>
      </c>
    </row>
    <row r="48" spans="2:13" x14ac:dyDescent="0.25">
      <c r="B48" s="58"/>
      <c r="C48" s="65"/>
      <c r="D48" s="15"/>
      <c r="E48" s="15"/>
      <c r="F48" s="24"/>
      <c r="G48" s="62"/>
      <c r="H48" s="17" t="str">
        <f t="shared" si="0"/>
        <v/>
      </c>
      <c r="I48" s="63"/>
      <c r="J48" s="61"/>
      <c r="K48" s="402"/>
      <c r="L48" s="420" t="str">
        <f t="shared" si="3"/>
        <v/>
      </c>
      <c r="M48" s="401" t="str">
        <f t="shared" si="4"/>
        <v/>
      </c>
    </row>
    <row r="49" spans="2:13" x14ac:dyDescent="0.25">
      <c r="B49" s="58"/>
      <c r="C49" s="65"/>
      <c r="D49" s="15"/>
      <c r="E49" s="15"/>
      <c r="F49" s="24"/>
      <c r="G49" s="59"/>
      <c r="H49" s="17" t="str">
        <f t="shared" si="0"/>
        <v/>
      </c>
      <c r="I49" s="63"/>
      <c r="J49" s="62"/>
      <c r="K49" s="62"/>
      <c r="L49" s="420" t="str">
        <f t="shared" si="3"/>
        <v/>
      </c>
      <c r="M49" s="401" t="str">
        <f t="shared" si="4"/>
        <v/>
      </c>
    </row>
    <row r="50" spans="2:13" x14ac:dyDescent="0.25">
      <c r="B50" s="58"/>
      <c r="C50" s="65"/>
      <c r="D50" s="15"/>
      <c r="E50" s="15"/>
      <c r="F50" s="24"/>
      <c r="G50" s="62"/>
      <c r="H50" s="17" t="str">
        <f t="shared" ref="H50:H71" si="5">IF(D50="","",F50*G50)</f>
        <v/>
      </c>
      <c r="I50" s="63"/>
      <c r="J50" s="62"/>
      <c r="K50" s="62"/>
      <c r="L50" s="420" t="str">
        <f t="shared" ref="L50:L71" si="6">IF(J50="","",F50*K50)</f>
        <v/>
      </c>
      <c r="M50" s="401" t="str">
        <f t="shared" ref="M50:M71" si="7">IF(J50="","",IF(SUM(H50)=0,"",L50/H50))</f>
        <v/>
      </c>
    </row>
    <row r="51" spans="2:13" x14ac:dyDescent="0.25">
      <c r="B51" s="58"/>
      <c r="C51" s="65"/>
      <c r="D51" s="15"/>
      <c r="E51" s="15"/>
      <c r="F51" s="24"/>
      <c r="G51" s="64"/>
      <c r="H51" s="17" t="str">
        <f t="shared" si="5"/>
        <v/>
      </c>
      <c r="I51" s="63"/>
      <c r="J51" s="62"/>
      <c r="K51" s="62"/>
      <c r="L51" s="420" t="str">
        <f t="shared" si="6"/>
        <v/>
      </c>
      <c r="M51" s="401" t="str">
        <f t="shared" si="7"/>
        <v/>
      </c>
    </row>
    <row r="52" spans="2:13" x14ac:dyDescent="0.25">
      <c r="B52" s="58"/>
      <c r="C52" s="65"/>
      <c r="D52" s="15"/>
      <c r="E52" s="15"/>
      <c r="F52" s="24"/>
      <c r="G52" s="27"/>
      <c r="H52" s="17" t="str">
        <f t="shared" si="5"/>
        <v/>
      </c>
      <c r="I52" s="63"/>
      <c r="J52" s="62"/>
      <c r="K52" s="62"/>
      <c r="L52" s="420" t="str">
        <f t="shared" si="6"/>
        <v/>
      </c>
      <c r="M52" s="401" t="str">
        <f t="shared" si="7"/>
        <v/>
      </c>
    </row>
    <row r="53" spans="2:13" s="36" customFormat="1" x14ac:dyDescent="0.25">
      <c r="B53" s="58"/>
      <c r="C53" s="65"/>
      <c r="D53" s="15"/>
      <c r="E53" s="15"/>
      <c r="F53" s="24"/>
      <c r="G53" s="27"/>
      <c r="H53" s="17" t="str">
        <f t="shared" si="5"/>
        <v/>
      </c>
      <c r="I53" s="63"/>
      <c r="J53" s="62"/>
      <c r="K53" s="62"/>
      <c r="L53" s="420" t="str">
        <f t="shared" si="6"/>
        <v/>
      </c>
      <c r="M53" s="401" t="str">
        <f t="shared" si="7"/>
        <v/>
      </c>
    </row>
    <row r="54" spans="2:13" x14ac:dyDescent="0.25">
      <c r="B54" s="58"/>
      <c r="C54" s="65"/>
      <c r="D54" s="15"/>
      <c r="E54" s="15"/>
      <c r="F54" s="24"/>
      <c r="G54" s="64"/>
      <c r="H54" s="17" t="str">
        <f t="shared" si="5"/>
        <v/>
      </c>
      <c r="I54" s="63"/>
      <c r="J54" s="62"/>
      <c r="K54" s="62"/>
      <c r="L54" s="420" t="str">
        <f t="shared" si="6"/>
        <v/>
      </c>
      <c r="M54" s="401" t="str">
        <f t="shared" si="7"/>
        <v/>
      </c>
    </row>
    <row r="55" spans="2:13" x14ac:dyDescent="0.25">
      <c r="B55" s="58"/>
      <c r="C55" s="65"/>
      <c r="D55" s="15"/>
      <c r="E55" s="15"/>
      <c r="F55" s="24"/>
      <c r="G55" s="64"/>
      <c r="H55" s="17" t="str">
        <f t="shared" si="5"/>
        <v/>
      </c>
      <c r="I55" s="63"/>
      <c r="J55" s="62"/>
      <c r="K55" s="62"/>
      <c r="L55" s="420" t="str">
        <f t="shared" si="6"/>
        <v/>
      </c>
      <c r="M55" s="401" t="str">
        <f t="shared" si="7"/>
        <v/>
      </c>
    </row>
    <row r="56" spans="2:13" x14ac:dyDescent="0.25">
      <c r="B56" s="58"/>
      <c r="C56" s="65"/>
      <c r="D56" s="15"/>
      <c r="E56" s="15"/>
      <c r="F56" s="24"/>
      <c r="G56" s="27"/>
      <c r="H56" s="17" t="str">
        <f t="shared" si="5"/>
        <v/>
      </c>
      <c r="I56" s="63"/>
      <c r="J56" s="62"/>
      <c r="K56" s="62"/>
      <c r="L56" s="420" t="str">
        <f t="shared" si="6"/>
        <v/>
      </c>
      <c r="M56" s="401" t="str">
        <f t="shared" si="7"/>
        <v/>
      </c>
    </row>
    <row r="57" spans="2:13" x14ac:dyDescent="0.25">
      <c r="B57" s="58"/>
      <c r="C57" s="65"/>
      <c r="D57" s="15"/>
      <c r="E57" s="15"/>
      <c r="F57" s="24"/>
      <c r="G57" s="27"/>
      <c r="H57" s="17" t="str">
        <f t="shared" si="5"/>
        <v/>
      </c>
      <c r="I57" s="63"/>
      <c r="J57" s="62"/>
      <c r="K57" s="62"/>
      <c r="L57" s="420" t="str">
        <f t="shared" si="6"/>
        <v/>
      </c>
      <c r="M57" s="401" t="str">
        <f t="shared" si="7"/>
        <v/>
      </c>
    </row>
    <row r="58" spans="2:13" x14ac:dyDescent="0.25">
      <c r="B58" s="58"/>
      <c r="C58" s="65"/>
      <c r="D58" s="15"/>
      <c r="E58" s="15"/>
      <c r="F58" s="24"/>
      <c r="G58" s="59"/>
      <c r="H58" s="17" t="str">
        <f t="shared" si="5"/>
        <v/>
      </c>
      <c r="I58" s="63"/>
      <c r="J58" s="62"/>
      <c r="K58" s="62"/>
      <c r="L58" s="420" t="str">
        <f t="shared" si="6"/>
        <v/>
      </c>
      <c r="M58" s="401" t="str">
        <f t="shared" si="7"/>
        <v/>
      </c>
    </row>
    <row r="59" spans="2:13" x14ac:dyDescent="0.25">
      <c r="B59" s="785"/>
      <c r="C59" s="65"/>
      <c r="D59" s="15"/>
      <c r="E59" s="15"/>
      <c r="F59" s="15"/>
      <c r="G59" s="16"/>
      <c r="H59" s="17" t="str">
        <f t="shared" si="5"/>
        <v/>
      </c>
      <c r="I59" s="63"/>
      <c r="J59" s="62"/>
      <c r="K59" s="62"/>
      <c r="L59" s="420" t="str">
        <f t="shared" si="6"/>
        <v/>
      </c>
      <c r="M59" s="401" t="str">
        <f t="shared" si="7"/>
        <v/>
      </c>
    </row>
    <row r="60" spans="2:13" x14ac:dyDescent="0.25">
      <c r="B60" s="785"/>
      <c r="C60" s="65"/>
      <c r="D60" s="15"/>
      <c r="E60" s="15"/>
      <c r="F60" s="15"/>
      <c r="G60" s="16"/>
      <c r="H60" s="17" t="str">
        <f t="shared" si="5"/>
        <v/>
      </c>
      <c r="I60" s="63"/>
      <c r="J60" s="62"/>
      <c r="K60" s="62"/>
      <c r="L60" s="420" t="str">
        <f t="shared" si="6"/>
        <v/>
      </c>
      <c r="M60" s="401" t="str">
        <f t="shared" si="7"/>
        <v/>
      </c>
    </row>
    <row r="61" spans="2:13" x14ac:dyDescent="0.25">
      <c r="B61" s="56"/>
      <c r="C61" s="65"/>
      <c r="D61" s="15"/>
      <c r="E61" s="15"/>
      <c r="F61" s="15"/>
      <c r="G61" s="16"/>
      <c r="H61" s="17" t="str">
        <f t="shared" si="5"/>
        <v/>
      </c>
      <c r="I61" s="63"/>
      <c r="J61" s="62"/>
      <c r="K61" s="62"/>
      <c r="L61" s="420" t="str">
        <f t="shared" si="6"/>
        <v/>
      </c>
      <c r="M61" s="401" t="str">
        <f t="shared" si="7"/>
        <v/>
      </c>
    </row>
    <row r="62" spans="2:13" x14ac:dyDescent="0.25">
      <c r="B62" s="56"/>
      <c r="C62" s="65"/>
      <c r="D62" s="15"/>
      <c r="E62" s="15"/>
      <c r="F62" s="15"/>
      <c r="G62" s="64"/>
      <c r="H62" s="17" t="str">
        <f t="shared" si="5"/>
        <v/>
      </c>
      <c r="I62" s="63"/>
      <c r="J62" s="62"/>
      <c r="K62" s="62"/>
      <c r="L62" s="420" t="str">
        <f t="shared" si="6"/>
        <v/>
      </c>
      <c r="M62" s="401" t="str">
        <f t="shared" si="7"/>
        <v/>
      </c>
    </row>
    <row r="63" spans="2:13" x14ac:dyDescent="0.25">
      <c r="B63" s="56"/>
      <c r="C63" s="65"/>
      <c r="D63" s="15"/>
      <c r="E63" s="15"/>
      <c r="F63" s="15"/>
      <c r="G63" s="64"/>
      <c r="H63" s="17" t="str">
        <f t="shared" si="5"/>
        <v/>
      </c>
      <c r="I63" s="63"/>
      <c r="J63" s="62"/>
      <c r="K63" s="62"/>
      <c r="L63" s="420" t="str">
        <f t="shared" si="6"/>
        <v/>
      </c>
      <c r="M63" s="401" t="str">
        <f t="shared" si="7"/>
        <v/>
      </c>
    </row>
    <row r="64" spans="2:13" x14ac:dyDescent="0.25">
      <c r="B64" s="56"/>
      <c r="C64" s="65"/>
      <c r="D64" s="15"/>
      <c r="E64" s="15"/>
      <c r="F64" s="15"/>
      <c r="G64" s="64"/>
      <c r="H64" s="17" t="str">
        <f t="shared" si="5"/>
        <v/>
      </c>
      <c r="I64" s="63"/>
      <c r="J64" s="62"/>
      <c r="K64" s="62"/>
      <c r="L64" s="420" t="str">
        <f t="shared" si="6"/>
        <v/>
      </c>
      <c r="M64" s="401" t="str">
        <f t="shared" si="7"/>
        <v/>
      </c>
    </row>
    <row r="65" spans="2:13" x14ac:dyDescent="0.25">
      <c r="B65" s="56"/>
      <c r="C65" s="65"/>
      <c r="D65" s="15"/>
      <c r="E65" s="15"/>
      <c r="F65" s="15"/>
      <c r="G65" s="64"/>
      <c r="H65" s="17" t="str">
        <f t="shared" si="5"/>
        <v/>
      </c>
      <c r="I65" s="63"/>
      <c r="J65" s="62"/>
      <c r="K65" s="62"/>
      <c r="L65" s="420" t="str">
        <f t="shared" si="6"/>
        <v/>
      </c>
      <c r="M65" s="401" t="str">
        <f t="shared" si="7"/>
        <v/>
      </c>
    </row>
    <row r="66" spans="2:13" x14ac:dyDescent="0.25">
      <c r="B66" s="56"/>
      <c r="C66" s="65"/>
      <c r="D66" s="15"/>
      <c r="E66" s="15"/>
      <c r="F66" s="15"/>
      <c r="G66" s="64"/>
      <c r="H66" s="17" t="str">
        <f t="shared" si="5"/>
        <v/>
      </c>
      <c r="I66" s="63"/>
      <c r="J66" s="62"/>
      <c r="K66" s="62"/>
      <c r="L66" s="420" t="str">
        <f t="shared" si="6"/>
        <v/>
      </c>
      <c r="M66" s="401" t="str">
        <f t="shared" si="7"/>
        <v/>
      </c>
    </row>
    <row r="67" spans="2:13" x14ac:dyDescent="0.25">
      <c r="B67" s="56"/>
      <c r="C67" s="65"/>
      <c r="D67" s="15"/>
      <c r="E67" s="15"/>
      <c r="F67" s="15"/>
      <c r="G67" s="64"/>
      <c r="H67" s="17" t="str">
        <f t="shared" si="5"/>
        <v/>
      </c>
      <c r="I67" s="63"/>
      <c r="J67" s="62"/>
      <c r="K67" s="62"/>
      <c r="L67" s="420" t="str">
        <f t="shared" si="6"/>
        <v/>
      </c>
      <c r="M67" s="401" t="str">
        <f t="shared" si="7"/>
        <v/>
      </c>
    </row>
    <row r="68" spans="2:13" x14ac:dyDescent="0.25">
      <c r="B68" s="785"/>
      <c r="C68" s="65"/>
      <c r="D68" s="15"/>
      <c r="E68" s="15"/>
      <c r="F68" s="15"/>
      <c r="G68" s="64"/>
      <c r="H68" s="17" t="str">
        <f t="shared" si="5"/>
        <v/>
      </c>
      <c r="I68" s="63"/>
      <c r="J68" s="62"/>
      <c r="K68" s="62"/>
      <c r="L68" s="420" t="str">
        <f t="shared" si="6"/>
        <v/>
      </c>
      <c r="M68" s="401" t="str">
        <f t="shared" si="7"/>
        <v/>
      </c>
    </row>
    <row r="69" spans="2:13" x14ac:dyDescent="0.25">
      <c r="B69" s="785"/>
      <c r="C69" s="65"/>
      <c r="D69" s="15"/>
      <c r="E69" s="15"/>
      <c r="F69" s="15"/>
      <c r="G69" s="64"/>
      <c r="H69" s="17" t="str">
        <f t="shared" si="5"/>
        <v/>
      </c>
      <c r="I69" s="63"/>
      <c r="J69" s="62"/>
      <c r="K69" s="62"/>
      <c r="L69" s="420" t="str">
        <f t="shared" si="6"/>
        <v/>
      </c>
      <c r="M69" s="401" t="str">
        <f t="shared" si="7"/>
        <v/>
      </c>
    </row>
    <row r="70" spans="2:13" x14ac:dyDescent="0.25">
      <c r="B70" s="785"/>
      <c r="C70" s="65"/>
      <c r="D70" s="15"/>
      <c r="E70" s="15"/>
      <c r="F70" s="15"/>
      <c r="G70" s="64"/>
      <c r="H70" s="17" t="str">
        <f t="shared" si="5"/>
        <v/>
      </c>
      <c r="I70" s="63"/>
      <c r="J70" s="62"/>
      <c r="K70" s="62"/>
      <c r="L70" s="420" t="str">
        <f t="shared" si="6"/>
        <v/>
      </c>
      <c r="M70" s="401" t="str">
        <f t="shared" si="7"/>
        <v/>
      </c>
    </row>
    <row r="71" spans="2:13" x14ac:dyDescent="0.25">
      <c r="B71" s="56"/>
      <c r="C71" s="65"/>
      <c r="D71" s="15"/>
      <c r="E71" s="15"/>
      <c r="F71" s="15"/>
      <c r="G71" s="64"/>
      <c r="H71" s="17" t="str">
        <f t="shared" si="5"/>
        <v/>
      </c>
      <c r="I71" s="63"/>
      <c r="J71" s="62"/>
      <c r="K71" s="62"/>
      <c r="L71" s="420" t="str">
        <f t="shared" si="6"/>
        <v/>
      </c>
      <c r="M71" s="401" t="str">
        <f t="shared" si="7"/>
        <v/>
      </c>
    </row>
    <row r="72" spans="2:13" x14ac:dyDescent="0.25">
      <c r="B72" s="56"/>
      <c r="C72" s="65"/>
      <c r="D72" s="15"/>
      <c r="E72" s="15"/>
      <c r="F72" s="15"/>
      <c r="G72" s="64"/>
      <c r="H72" s="17" t="str">
        <f t="shared" si="0"/>
        <v/>
      </c>
      <c r="I72" s="18"/>
      <c r="J72" s="61"/>
      <c r="K72" s="696"/>
      <c r="L72" s="420" t="str">
        <f t="shared" si="3"/>
        <v/>
      </c>
      <c r="M72" s="401" t="str">
        <f t="shared" si="4"/>
        <v/>
      </c>
    </row>
    <row r="73" spans="2:13" s="28" customFormat="1" ht="24.75" customHeight="1" x14ac:dyDescent="0.3">
      <c r="B73" s="144" t="str">
        <f>$B$12</f>
        <v>C13.2</v>
      </c>
      <c r="C73" s="30" t="s">
        <v>791</v>
      </c>
      <c r="D73" s="725"/>
      <c r="E73" s="725"/>
      <c r="F73" s="726"/>
      <c r="G73" s="725"/>
      <c r="H73" s="727">
        <f>SUM(H11:H72)</f>
        <v>1482400</v>
      </c>
      <c r="I73" s="728"/>
      <c r="J73" s="729"/>
      <c r="K73" s="604"/>
      <c r="L73" s="419">
        <f>SUM(L11:L72)</f>
        <v>274298</v>
      </c>
      <c r="M73" s="730" t="str">
        <f t="shared" ref="M73" si="8">IF(J73="","",IF(SUM(H73)=0,"",L73/H73))</f>
        <v/>
      </c>
    </row>
  </sheetData>
  <mergeCells count="5">
    <mergeCell ref="F3:H3"/>
    <mergeCell ref="B6:G6"/>
    <mergeCell ref="H6:H9"/>
    <mergeCell ref="B7:G7"/>
    <mergeCell ref="B8:G8"/>
  </mergeCells>
  <conditionalFormatting sqref="G11:H73">
    <cfRule type="expression" dxfId="11"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21">
    <tabColor rgb="FFFFFF00"/>
  </sheetPr>
  <dimension ref="A1:N72"/>
  <sheetViews>
    <sheetView view="pageBreakPreview" zoomScaleNormal="125" zoomScaleSheetLayoutView="100" zoomScalePageLayoutView="125" workbookViewId="0">
      <pane ySplit="2" topLeftCell="A3"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MAX(H2:H208)</f>
        <v>1919660</v>
      </c>
      <c r="I1" s="247">
        <f>MAX(I2:I208)</f>
        <v>0</v>
      </c>
      <c r="J1" s="248"/>
      <c r="K1" s="249"/>
      <c r="L1" s="247">
        <f>MAX(L2:L208)</f>
        <v>229813.2</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C13.3</v>
      </c>
      <c r="I6" s="6"/>
    </row>
    <row r="7" spans="1:14" ht="33"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5.5" customHeight="1" x14ac:dyDescent="0.25">
      <c r="B8" s="1152" t="s">
        <v>1775</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A11" s="5"/>
      <c r="B11" s="58"/>
      <c r="C11" s="65"/>
      <c r="D11" s="15"/>
      <c r="E11" s="15"/>
      <c r="F11" s="15"/>
      <c r="G11" s="411"/>
      <c r="H11" s="17" t="str">
        <f t="shared" ref="H11:H71" si="0">IF(D11="","",F11*G11)</f>
        <v/>
      </c>
      <c r="I11" s="18"/>
      <c r="J11" s="61"/>
      <c r="K11" s="399"/>
      <c r="L11" s="420" t="str">
        <f t="shared" ref="L11" si="1">IF(J11="","",F11*K11)</f>
        <v/>
      </c>
      <c r="M11" s="401" t="str">
        <f t="shared" ref="M11" si="2">IF(J11="","",IF(SUM(H11)=0,"",L11/H11))</f>
        <v/>
      </c>
    </row>
    <row r="12" spans="1:14" ht="13" x14ac:dyDescent="0.25">
      <c r="A12" s="5"/>
      <c r="B12" s="146" t="s">
        <v>316</v>
      </c>
      <c r="C12" s="672" t="s">
        <v>317</v>
      </c>
      <c r="D12" s="15"/>
      <c r="E12" s="15"/>
      <c r="F12" s="15"/>
      <c r="G12" s="411"/>
      <c r="H12" s="17" t="str">
        <f t="shared" si="0"/>
        <v/>
      </c>
      <c r="I12" s="18"/>
      <c r="J12" s="61"/>
      <c r="K12" s="399"/>
      <c r="L12" s="420" t="str">
        <f t="shared" ref="L12:L71" si="3">IF(J12="","",F12*K12)</f>
        <v/>
      </c>
      <c r="M12" s="401" t="str">
        <f t="shared" ref="M12:M71" si="4">IF(J12="","",IF(SUM(H12)=0,"",L12/H12))</f>
        <v/>
      </c>
    </row>
    <row r="13" spans="1:14" x14ac:dyDescent="0.25">
      <c r="A13" s="5"/>
      <c r="B13" s="58"/>
      <c r="C13" s="65"/>
      <c r="D13" s="15"/>
      <c r="E13" s="15"/>
      <c r="F13" s="15"/>
      <c r="G13" s="411"/>
      <c r="H13" s="17" t="str">
        <f t="shared" si="0"/>
        <v/>
      </c>
      <c r="I13" s="18"/>
      <c r="J13" s="61"/>
      <c r="K13" s="399"/>
      <c r="L13" s="420" t="str">
        <f t="shared" si="3"/>
        <v/>
      </c>
      <c r="M13" s="401" t="str">
        <f t="shared" si="4"/>
        <v/>
      </c>
    </row>
    <row r="14" spans="1:14" ht="13" x14ac:dyDescent="0.25">
      <c r="A14" s="5"/>
      <c r="B14" s="146" t="s">
        <v>318</v>
      </c>
      <c r="C14" s="672" t="s">
        <v>322</v>
      </c>
      <c r="D14" s="15"/>
      <c r="E14" s="15"/>
      <c r="F14" s="15"/>
      <c r="G14" s="411"/>
      <c r="H14" s="17" t="str">
        <f t="shared" si="0"/>
        <v/>
      </c>
      <c r="I14" s="18"/>
      <c r="J14" s="61"/>
      <c r="K14" s="400"/>
      <c r="L14" s="420" t="str">
        <f t="shared" si="3"/>
        <v/>
      </c>
      <c r="M14" s="401" t="str">
        <f t="shared" si="4"/>
        <v/>
      </c>
    </row>
    <row r="15" spans="1:14" x14ac:dyDescent="0.25">
      <c r="A15" s="5"/>
      <c r="B15" s="58"/>
      <c r="C15" s="65"/>
      <c r="D15" s="15"/>
      <c r="E15" s="15"/>
      <c r="F15" s="15"/>
      <c r="G15" s="411"/>
      <c r="H15" s="17" t="str">
        <f t="shared" si="0"/>
        <v/>
      </c>
      <c r="I15" s="18"/>
      <c r="J15" s="61"/>
      <c r="K15" s="399"/>
      <c r="L15" s="420" t="str">
        <f t="shared" si="3"/>
        <v/>
      </c>
      <c r="M15" s="401" t="str">
        <f t="shared" si="4"/>
        <v/>
      </c>
    </row>
    <row r="16" spans="1:14" ht="25" x14ac:dyDescent="0.25">
      <c r="A16" s="5"/>
      <c r="B16" s="58" t="s">
        <v>319</v>
      </c>
      <c r="C16" s="65" t="s">
        <v>1744</v>
      </c>
      <c r="D16" s="15"/>
      <c r="E16" s="15"/>
      <c r="F16" s="24"/>
      <c r="G16" s="422"/>
      <c r="H16" s="17" t="str">
        <f t="shared" si="0"/>
        <v/>
      </c>
      <c r="I16" s="57"/>
      <c r="J16" s="61"/>
      <c r="K16" s="399"/>
      <c r="L16" s="420" t="str">
        <f t="shared" si="3"/>
        <v/>
      </c>
      <c r="M16" s="401" t="str">
        <f t="shared" si="4"/>
        <v/>
      </c>
    </row>
    <row r="17" spans="1:13" x14ac:dyDescent="0.25">
      <c r="A17" s="5"/>
      <c r="B17" s="58"/>
      <c r="C17" s="65"/>
      <c r="D17" s="15"/>
      <c r="E17" s="15"/>
      <c r="F17" s="24"/>
      <c r="G17" s="422"/>
      <c r="H17" s="17" t="str">
        <f t="shared" si="0"/>
        <v/>
      </c>
      <c r="I17" s="57"/>
      <c r="J17" s="61"/>
      <c r="K17" s="399"/>
      <c r="L17" s="420" t="str">
        <f t="shared" si="3"/>
        <v/>
      </c>
      <c r="M17" s="401" t="str">
        <f t="shared" si="4"/>
        <v/>
      </c>
    </row>
    <row r="18" spans="1:13" x14ac:dyDescent="0.25">
      <c r="A18" s="5"/>
      <c r="B18" s="58" t="s">
        <v>39</v>
      </c>
      <c r="C18" s="65" t="s">
        <v>1751</v>
      </c>
      <c r="D18" s="15" t="s">
        <v>7</v>
      </c>
      <c r="E18" s="15"/>
      <c r="F18" s="731">
        <v>5.6</v>
      </c>
      <c r="G18" s="422">
        <f>15000</f>
        <v>15000</v>
      </c>
      <c r="H18" s="17">
        <f t="shared" si="0"/>
        <v>84000</v>
      </c>
      <c r="I18" s="57"/>
      <c r="J18" s="61" t="s">
        <v>996</v>
      </c>
      <c r="K18" s="399">
        <f>IF(D18="","",ROUND(12%*G18,1))</f>
        <v>1800</v>
      </c>
      <c r="L18" s="420">
        <f t="shared" si="3"/>
        <v>10080</v>
      </c>
      <c r="M18" s="401">
        <f t="shared" si="4"/>
        <v>0.12</v>
      </c>
    </row>
    <row r="19" spans="1:13" x14ac:dyDescent="0.25">
      <c r="A19" s="5"/>
      <c r="B19" s="58"/>
      <c r="C19" s="65"/>
      <c r="D19" s="15"/>
      <c r="E19" s="15"/>
      <c r="F19" s="24"/>
      <c r="G19" s="422"/>
      <c r="H19" s="17" t="str">
        <f t="shared" si="0"/>
        <v/>
      </c>
      <c r="I19" s="57"/>
      <c r="J19" s="61"/>
      <c r="K19" s="402"/>
      <c r="L19" s="420" t="str">
        <f t="shared" si="3"/>
        <v/>
      </c>
      <c r="M19" s="401" t="str">
        <f t="shared" si="4"/>
        <v/>
      </c>
    </row>
    <row r="20" spans="1:13" x14ac:dyDescent="0.25">
      <c r="A20" s="5"/>
      <c r="B20" s="58" t="s">
        <v>41</v>
      </c>
      <c r="C20" s="65" t="s">
        <v>1752</v>
      </c>
      <c r="D20" s="15" t="s">
        <v>7</v>
      </c>
      <c r="E20" s="15"/>
      <c r="F20" s="731">
        <v>51.3</v>
      </c>
      <c r="G20" s="422">
        <f>G18</f>
        <v>15000</v>
      </c>
      <c r="H20" s="17">
        <f t="shared" si="0"/>
        <v>769500</v>
      </c>
      <c r="I20" s="57"/>
      <c r="J20" s="61" t="s">
        <v>996</v>
      </c>
      <c r="K20" s="399">
        <f>IF(D20="","",ROUND(12%*G20,1))</f>
        <v>1800</v>
      </c>
      <c r="L20" s="420">
        <f t="shared" si="3"/>
        <v>92340</v>
      </c>
      <c r="M20" s="401">
        <f t="shared" si="4"/>
        <v>0.12</v>
      </c>
    </row>
    <row r="21" spans="1:13" x14ac:dyDescent="0.25">
      <c r="A21" s="5"/>
      <c r="B21" s="58"/>
      <c r="C21" s="65"/>
      <c r="D21" s="15"/>
      <c r="E21" s="15"/>
      <c r="F21" s="24"/>
      <c r="G21" s="422"/>
      <c r="H21" s="17" t="str">
        <f t="shared" si="0"/>
        <v/>
      </c>
      <c r="I21" s="57"/>
      <c r="J21" s="61"/>
      <c r="K21" s="402"/>
      <c r="L21" s="420" t="str">
        <f t="shared" si="3"/>
        <v/>
      </c>
      <c r="M21" s="401" t="str">
        <f t="shared" si="4"/>
        <v/>
      </c>
    </row>
    <row r="22" spans="1:13" x14ac:dyDescent="0.25">
      <c r="A22" s="5"/>
      <c r="B22" s="58" t="s">
        <v>320</v>
      </c>
      <c r="C22" s="65" t="s">
        <v>1739</v>
      </c>
      <c r="D22" s="15"/>
      <c r="E22" s="15"/>
      <c r="F22" s="24"/>
      <c r="G22" s="422"/>
      <c r="H22" s="17" t="str">
        <f t="shared" si="0"/>
        <v/>
      </c>
      <c r="I22" s="18"/>
      <c r="J22" s="61"/>
      <c r="K22" s="577"/>
      <c r="L22" s="420" t="str">
        <f t="shared" si="3"/>
        <v/>
      </c>
      <c r="M22" s="401" t="str">
        <f t="shared" si="4"/>
        <v/>
      </c>
    </row>
    <row r="23" spans="1:13" x14ac:dyDescent="0.25">
      <c r="A23" s="5"/>
      <c r="B23" s="58"/>
      <c r="C23" s="65"/>
      <c r="D23" s="15"/>
      <c r="E23" s="15"/>
      <c r="F23" s="24"/>
      <c r="G23" s="421"/>
      <c r="H23" s="17" t="str">
        <f t="shared" si="0"/>
        <v/>
      </c>
      <c r="I23" s="18"/>
      <c r="J23" s="61"/>
      <c r="K23" s="402"/>
      <c r="L23" s="420" t="str">
        <f t="shared" si="3"/>
        <v/>
      </c>
      <c r="M23" s="401" t="str">
        <f t="shared" si="4"/>
        <v/>
      </c>
    </row>
    <row r="24" spans="1:13" x14ac:dyDescent="0.25">
      <c r="A24" s="5"/>
      <c r="B24" s="58" t="s">
        <v>39</v>
      </c>
      <c r="C24" s="65" t="s">
        <v>1751</v>
      </c>
      <c r="D24" s="15" t="s">
        <v>7</v>
      </c>
      <c r="E24" s="15"/>
      <c r="F24" s="731">
        <v>2.4</v>
      </c>
      <c r="G24" s="422">
        <f>G18</f>
        <v>15000</v>
      </c>
      <c r="H24" s="17">
        <f t="shared" si="0"/>
        <v>36000</v>
      </c>
      <c r="I24" s="18"/>
      <c r="J24" s="61" t="s">
        <v>996</v>
      </c>
      <c r="K24" s="399">
        <f>IF(D24="","",ROUND(12%*G24,1))</f>
        <v>1800</v>
      </c>
      <c r="L24" s="420">
        <f t="shared" si="3"/>
        <v>4320</v>
      </c>
      <c r="M24" s="401">
        <f t="shared" si="4"/>
        <v>0.12</v>
      </c>
    </row>
    <row r="25" spans="1:13" x14ac:dyDescent="0.25">
      <c r="A25" s="5"/>
      <c r="B25" s="58"/>
      <c r="C25" s="65"/>
      <c r="D25" s="15"/>
      <c r="E25" s="15"/>
      <c r="F25" s="24"/>
      <c r="G25" s="422"/>
      <c r="H25" s="17" t="str">
        <f t="shared" si="0"/>
        <v/>
      </c>
      <c r="I25" s="18"/>
      <c r="J25" s="61"/>
      <c r="K25" s="399"/>
      <c r="L25" s="420" t="str">
        <f t="shared" si="3"/>
        <v/>
      </c>
      <c r="M25" s="401" t="str">
        <f t="shared" si="4"/>
        <v/>
      </c>
    </row>
    <row r="26" spans="1:13" x14ac:dyDescent="0.25">
      <c r="A26" s="5"/>
      <c r="B26" s="58" t="s">
        <v>41</v>
      </c>
      <c r="C26" s="65" t="s">
        <v>1752</v>
      </c>
      <c r="D26" s="15" t="s">
        <v>7</v>
      </c>
      <c r="E26" s="15"/>
      <c r="F26" s="731">
        <v>22.9</v>
      </c>
      <c r="G26" s="422">
        <f>G18</f>
        <v>15000</v>
      </c>
      <c r="H26" s="17">
        <f t="shared" si="0"/>
        <v>343500</v>
      </c>
      <c r="I26" s="63"/>
      <c r="J26" s="61" t="s">
        <v>996</v>
      </c>
      <c r="K26" s="399">
        <f>IF(D26="","",ROUND(12%*G26,1))</f>
        <v>1800</v>
      </c>
      <c r="L26" s="420">
        <f t="shared" si="3"/>
        <v>41220</v>
      </c>
      <c r="M26" s="401">
        <f t="shared" si="4"/>
        <v>0.12</v>
      </c>
    </row>
    <row r="27" spans="1:13" x14ac:dyDescent="0.25">
      <c r="A27" s="5"/>
      <c r="B27" s="58"/>
      <c r="C27" s="784"/>
      <c r="D27" s="15"/>
      <c r="E27" s="15"/>
      <c r="F27" s="24"/>
      <c r="G27" s="421"/>
      <c r="H27" s="17" t="str">
        <f t="shared" si="0"/>
        <v/>
      </c>
      <c r="I27" s="63"/>
      <c r="J27" s="61"/>
      <c r="K27" s="399"/>
      <c r="L27" s="420" t="str">
        <f t="shared" si="3"/>
        <v/>
      </c>
      <c r="M27" s="401" t="str">
        <f t="shared" si="4"/>
        <v/>
      </c>
    </row>
    <row r="28" spans="1:13" x14ac:dyDescent="0.25">
      <c r="A28" s="5"/>
      <c r="B28" s="58" t="s">
        <v>1745</v>
      </c>
      <c r="C28" s="65" t="s">
        <v>1723</v>
      </c>
      <c r="D28" s="15"/>
      <c r="E28" s="15"/>
      <c r="F28" s="24"/>
      <c r="G28" s="421"/>
      <c r="H28" s="17" t="str">
        <f t="shared" si="0"/>
        <v/>
      </c>
      <c r="I28" s="63"/>
      <c r="J28" s="61"/>
      <c r="K28" s="577"/>
      <c r="L28" s="420" t="str">
        <f t="shared" si="3"/>
        <v/>
      </c>
      <c r="M28" s="401" t="str">
        <f t="shared" si="4"/>
        <v/>
      </c>
    </row>
    <row r="29" spans="1:13" x14ac:dyDescent="0.25">
      <c r="A29" s="5"/>
      <c r="B29" s="58"/>
      <c r="C29" s="65"/>
      <c r="D29" s="15"/>
      <c r="E29" s="15"/>
      <c r="F29" s="24"/>
      <c r="G29" s="421"/>
      <c r="H29" s="17" t="str">
        <f t="shared" si="0"/>
        <v/>
      </c>
      <c r="I29" s="63"/>
      <c r="J29" s="61"/>
      <c r="K29" s="399"/>
      <c r="L29" s="420" t="str">
        <f t="shared" si="3"/>
        <v/>
      </c>
      <c r="M29" s="401" t="str">
        <f t="shared" si="4"/>
        <v/>
      </c>
    </row>
    <row r="30" spans="1:13" x14ac:dyDescent="0.25">
      <c r="A30" s="5"/>
      <c r="B30" s="58" t="s">
        <v>39</v>
      </c>
      <c r="C30" s="65" t="s">
        <v>1751</v>
      </c>
      <c r="D30" s="15" t="s">
        <v>7</v>
      </c>
      <c r="E30" s="15"/>
      <c r="F30" s="731">
        <v>3.6</v>
      </c>
      <c r="G30" s="422">
        <f>G18</f>
        <v>15000</v>
      </c>
      <c r="H30" s="17">
        <f t="shared" si="0"/>
        <v>54000</v>
      </c>
      <c r="I30" s="63"/>
      <c r="J30" s="61" t="s">
        <v>996</v>
      </c>
      <c r="K30" s="399">
        <f>IF(D30="","",ROUND(12%*G30,1))</f>
        <v>1800</v>
      </c>
      <c r="L30" s="420">
        <f t="shared" si="3"/>
        <v>6480</v>
      </c>
      <c r="M30" s="401">
        <f t="shared" si="4"/>
        <v>0.12</v>
      </c>
    </row>
    <row r="31" spans="1:13" x14ac:dyDescent="0.25">
      <c r="A31" s="5"/>
      <c r="B31" s="58"/>
      <c r="C31" s="65"/>
      <c r="D31" s="15"/>
      <c r="E31" s="15"/>
      <c r="F31" s="24"/>
      <c r="G31" s="422"/>
      <c r="H31" s="17" t="str">
        <f t="shared" si="0"/>
        <v/>
      </c>
      <c r="I31" s="63"/>
      <c r="J31" s="61"/>
      <c r="K31" s="399"/>
      <c r="L31" s="420" t="str">
        <f t="shared" si="3"/>
        <v/>
      </c>
      <c r="M31" s="401" t="str">
        <f t="shared" si="4"/>
        <v/>
      </c>
    </row>
    <row r="32" spans="1:13" x14ac:dyDescent="0.25">
      <c r="A32" s="5"/>
      <c r="B32" s="58" t="s">
        <v>41</v>
      </c>
      <c r="C32" s="65" t="s">
        <v>1752</v>
      </c>
      <c r="D32" s="15" t="s">
        <v>7</v>
      </c>
      <c r="E32" s="15"/>
      <c r="F32" s="731">
        <v>34.299999999999997</v>
      </c>
      <c r="G32" s="422">
        <f>G18</f>
        <v>15000</v>
      </c>
      <c r="H32" s="17">
        <f t="shared" si="0"/>
        <v>514499.99999999994</v>
      </c>
      <c r="I32" s="63"/>
      <c r="J32" s="61" t="s">
        <v>996</v>
      </c>
      <c r="K32" s="399">
        <f>IF(D32="","",ROUND(12%*G32,1))</f>
        <v>1800</v>
      </c>
      <c r="L32" s="420">
        <f t="shared" si="3"/>
        <v>61739.999999999993</v>
      </c>
      <c r="M32" s="401">
        <f t="shared" si="4"/>
        <v>0.12</v>
      </c>
    </row>
    <row r="33" spans="1:13" x14ac:dyDescent="0.25">
      <c r="A33" s="5"/>
      <c r="B33" s="58"/>
      <c r="C33" s="65"/>
      <c r="D33" s="15"/>
      <c r="E33" s="15"/>
      <c r="F33" s="24"/>
      <c r="G33" s="421"/>
      <c r="H33" s="17" t="str">
        <f t="shared" si="0"/>
        <v/>
      </c>
      <c r="I33" s="63"/>
      <c r="J33" s="61"/>
      <c r="K33" s="399"/>
      <c r="L33" s="420" t="str">
        <f t="shared" si="3"/>
        <v/>
      </c>
      <c r="M33" s="401" t="str">
        <f t="shared" si="4"/>
        <v/>
      </c>
    </row>
    <row r="34" spans="1:13" x14ac:dyDescent="0.25">
      <c r="A34" s="5"/>
      <c r="B34" s="58" t="s">
        <v>1746</v>
      </c>
      <c r="C34" s="65" t="s">
        <v>1747</v>
      </c>
      <c r="D34" s="15"/>
      <c r="E34" s="15"/>
      <c r="F34" s="24"/>
      <c r="G34" s="421"/>
      <c r="H34" s="17" t="str">
        <f t="shared" si="0"/>
        <v/>
      </c>
      <c r="I34" s="63"/>
      <c r="J34" s="61"/>
      <c r="K34" s="577"/>
      <c r="L34" s="420" t="str">
        <f t="shared" si="3"/>
        <v/>
      </c>
      <c r="M34" s="401" t="str">
        <f t="shared" si="4"/>
        <v/>
      </c>
    </row>
    <row r="35" spans="1:13" x14ac:dyDescent="0.25">
      <c r="A35" s="5"/>
      <c r="B35" s="58"/>
      <c r="C35" s="65"/>
      <c r="D35" s="15"/>
      <c r="E35" s="15"/>
      <c r="F35" s="24"/>
      <c r="G35" s="421"/>
      <c r="H35" s="17" t="str">
        <f t="shared" si="0"/>
        <v/>
      </c>
      <c r="I35" s="63"/>
      <c r="J35" s="61"/>
      <c r="K35" s="577"/>
      <c r="L35" s="420" t="str">
        <f t="shared" si="3"/>
        <v/>
      </c>
      <c r="M35" s="401" t="str">
        <f t="shared" si="4"/>
        <v/>
      </c>
    </row>
    <row r="36" spans="1:13" x14ac:dyDescent="0.25">
      <c r="A36" s="5"/>
      <c r="B36" s="58" t="s">
        <v>39</v>
      </c>
      <c r="C36" s="65" t="s">
        <v>1751</v>
      </c>
      <c r="D36" s="15" t="s">
        <v>7</v>
      </c>
      <c r="E36" s="15"/>
      <c r="F36" s="731">
        <v>0.4</v>
      </c>
      <c r="G36" s="422">
        <f>G18</f>
        <v>15000</v>
      </c>
      <c r="H36" s="17">
        <f t="shared" si="0"/>
        <v>6000</v>
      </c>
      <c r="I36" s="63"/>
      <c r="J36" s="61" t="s">
        <v>996</v>
      </c>
      <c r="K36" s="399">
        <f>IF(D36="","",ROUND(12%*G36,1))</f>
        <v>1800</v>
      </c>
      <c r="L36" s="420">
        <f t="shared" si="3"/>
        <v>720</v>
      </c>
      <c r="M36" s="401">
        <f t="shared" si="4"/>
        <v>0.12</v>
      </c>
    </row>
    <row r="37" spans="1:13" x14ac:dyDescent="0.25">
      <c r="A37" s="5"/>
      <c r="B37" s="58"/>
      <c r="C37" s="65"/>
      <c r="D37" s="15"/>
      <c r="E37" s="15"/>
      <c r="F37" s="24"/>
      <c r="G37" s="422"/>
      <c r="H37" s="17" t="str">
        <f t="shared" si="0"/>
        <v/>
      </c>
      <c r="I37" s="63"/>
      <c r="J37" s="61"/>
      <c r="K37" s="399"/>
      <c r="L37" s="420" t="str">
        <f t="shared" si="3"/>
        <v/>
      </c>
      <c r="M37" s="401" t="str">
        <f t="shared" si="4"/>
        <v/>
      </c>
    </row>
    <row r="38" spans="1:13" x14ac:dyDescent="0.25">
      <c r="A38" s="5"/>
      <c r="B38" s="58" t="s">
        <v>41</v>
      </c>
      <c r="C38" s="65" t="s">
        <v>1752</v>
      </c>
      <c r="D38" s="15" t="s">
        <v>7</v>
      </c>
      <c r="E38" s="15"/>
      <c r="F38" s="731">
        <v>3.6</v>
      </c>
      <c r="G38" s="422">
        <f>G18</f>
        <v>15000</v>
      </c>
      <c r="H38" s="17">
        <f t="shared" si="0"/>
        <v>54000</v>
      </c>
      <c r="I38" s="63"/>
      <c r="J38" s="61" t="s">
        <v>996</v>
      </c>
      <c r="K38" s="399">
        <f>IF(D38="","",ROUND(12%*G38,1))</f>
        <v>1800</v>
      </c>
      <c r="L38" s="420">
        <f t="shared" si="3"/>
        <v>6480</v>
      </c>
      <c r="M38" s="401">
        <f t="shared" si="4"/>
        <v>0.12</v>
      </c>
    </row>
    <row r="39" spans="1:13" x14ac:dyDescent="0.25">
      <c r="A39" s="5"/>
      <c r="B39" s="58"/>
      <c r="C39" s="65"/>
      <c r="D39" s="15"/>
      <c r="E39" s="15"/>
      <c r="F39" s="24"/>
      <c r="G39" s="421"/>
      <c r="H39" s="17" t="str">
        <f t="shared" si="0"/>
        <v/>
      </c>
      <c r="I39" s="63"/>
      <c r="J39" s="61"/>
      <c r="K39" s="399"/>
      <c r="L39" s="420" t="str">
        <f t="shared" si="3"/>
        <v/>
      </c>
      <c r="M39" s="401" t="str">
        <f t="shared" si="4"/>
        <v/>
      </c>
    </row>
    <row r="40" spans="1:13" x14ac:dyDescent="0.25">
      <c r="A40" s="5"/>
      <c r="B40" s="58" t="s">
        <v>1748</v>
      </c>
      <c r="C40" s="65" t="s">
        <v>1741</v>
      </c>
      <c r="D40" s="15"/>
      <c r="E40" s="15"/>
      <c r="F40" s="24"/>
      <c r="G40" s="422"/>
      <c r="H40" s="17" t="str">
        <f t="shared" si="0"/>
        <v/>
      </c>
      <c r="I40" s="63"/>
      <c r="J40" s="61"/>
      <c r="K40" s="399"/>
      <c r="L40" s="420" t="str">
        <f t="shared" si="3"/>
        <v/>
      </c>
      <c r="M40" s="401" t="str">
        <f t="shared" si="4"/>
        <v/>
      </c>
    </row>
    <row r="41" spans="1:13" x14ac:dyDescent="0.25">
      <c r="A41" s="5"/>
      <c r="B41" s="58"/>
      <c r="C41" s="65"/>
      <c r="D41" s="15"/>
      <c r="E41" s="15"/>
      <c r="F41" s="24"/>
      <c r="G41" s="422"/>
      <c r="H41" s="17" t="str">
        <f t="shared" si="0"/>
        <v/>
      </c>
      <c r="I41" s="63"/>
      <c r="J41" s="61"/>
      <c r="K41" s="577"/>
      <c r="L41" s="420" t="str">
        <f t="shared" si="3"/>
        <v/>
      </c>
      <c r="M41" s="401" t="str">
        <f t="shared" si="4"/>
        <v/>
      </c>
    </row>
    <row r="42" spans="1:13" x14ac:dyDescent="0.25">
      <c r="A42" s="5"/>
      <c r="B42" s="58" t="s">
        <v>52</v>
      </c>
      <c r="C42" s="65" t="s">
        <v>1753</v>
      </c>
      <c r="D42" s="15" t="s">
        <v>24</v>
      </c>
      <c r="E42" s="15" t="s">
        <v>996</v>
      </c>
      <c r="F42" s="24">
        <v>116</v>
      </c>
      <c r="G42" s="411">
        <v>22.5</v>
      </c>
      <c r="H42" s="17">
        <f t="shared" si="0"/>
        <v>2610</v>
      </c>
      <c r="I42" s="63"/>
      <c r="J42" s="61" t="s">
        <v>996</v>
      </c>
      <c r="K42" s="399">
        <f>IF(D42="","",ROUND(12%*G42,1))</f>
        <v>2.7</v>
      </c>
      <c r="L42" s="420">
        <f t="shared" si="3"/>
        <v>313.20000000000005</v>
      </c>
      <c r="M42" s="401">
        <f t="shared" si="4"/>
        <v>0.12000000000000002</v>
      </c>
    </row>
    <row r="43" spans="1:13" x14ac:dyDescent="0.25">
      <c r="A43" s="5"/>
      <c r="B43" s="58"/>
      <c r="C43" s="65"/>
      <c r="D43" s="15"/>
      <c r="E43" s="15"/>
      <c r="F43" s="24"/>
      <c r="G43" s="421"/>
      <c r="H43" s="17" t="str">
        <f t="shared" si="0"/>
        <v/>
      </c>
      <c r="I43" s="63"/>
      <c r="J43" s="61"/>
      <c r="K43" s="399"/>
      <c r="L43" s="420" t="str">
        <f t="shared" si="3"/>
        <v/>
      </c>
      <c r="M43" s="401" t="str">
        <f t="shared" si="4"/>
        <v/>
      </c>
    </row>
    <row r="44" spans="1:13" x14ac:dyDescent="0.25">
      <c r="A44" s="5"/>
      <c r="B44" s="58" t="s">
        <v>1749</v>
      </c>
      <c r="C44" s="65" t="s">
        <v>1750</v>
      </c>
      <c r="D44" s="15"/>
      <c r="E44" s="15"/>
      <c r="F44" s="24"/>
      <c r="G44" s="421"/>
      <c r="H44" s="17" t="str">
        <f t="shared" si="0"/>
        <v/>
      </c>
      <c r="I44" s="63"/>
      <c r="J44" s="61"/>
      <c r="K44" s="399"/>
      <c r="L44" s="420" t="str">
        <f t="shared" si="3"/>
        <v/>
      </c>
      <c r="M44" s="401" t="str">
        <f t="shared" si="4"/>
        <v/>
      </c>
    </row>
    <row r="45" spans="1:13" x14ac:dyDescent="0.25">
      <c r="A45" s="5"/>
      <c r="B45" s="58"/>
      <c r="C45" s="65"/>
      <c r="D45" s="15"/>
      <c r="E45" s="15"/>
      <c r="F45" s="24"/>
      <c r="G45" s="421"/>
      <c r="H45" s="17" t="str">
        <f t="shared" si="0"/>
        <v/>
      </c>
      <c r="I45" s="63"/>
      <c r="J45" s="61"/>
      <c r="K45" s="399"/>
      <c r="L45" s="420" t="str">
        <f t="shared" si="3"/>
        <v/>
      </c>
      <c r="M45" s="401" t="str">
        <f t="shared" si="4"/>
        <v/>
      </c>
    </row>
    <row r="46" spans="1:13" x14ac:dyDescent="0.25">
      <c r="A46" s="5"/>
      <c r="B46" s="58" t="s">
        <v>39</v>
      </c>
      <c r="C46" s="65" t="s">
        <v>310</v>
      </c>
      <c r="D46" s="15" t="s">
        <v>7</v>
      </c>
      <c r="E46" s="15"/>
      <c r="F46" s="731">
        <v>0.3</v>
      </c>
      <c r="G46" s="422">
        <f>G18</f>
        <v>15000</v>
      </c>
      <c r="H46" s="17">
        <f t="shared" si="0"/>
        <v>4500</v>
      </c>
      <c r="I46" s="63"/>
      <c r="J46" s="61" t="s">
        <v>996</v>
      </c>
      <c r="K46" s="399">
        <f>IF(D46="","",ROUND(12%*G46,1))</f>
        <v>1800</v>
      </c>
      <c r="L46" s="420">
        <f t="shared" si="3"/>
        <v>540</v>
      </c>
      <c r="M46" s="401">
        <f t="shared" si="4"/>
        <v>0.12</v>
      </c>
    </row>
    <row r="47" spans="1:13" x14ac:dyDescent="0.25">
      <c r="A47" s="5"/>
      <c r="B47" s="58"/>
      <c r="C47" s="65"/>
      <c r="D47" s="15"/>
      <c r="E47" s="15"/>
      <c r="F47" s="24"/>
      <c r="G47" s="422"/>
      <c r="H47" s="17" t="str">
        <f t="shared" si="0"/>
        <v/>
      </c>
      <c r="I47" s="63"/>
      <c r="J47" s="61"/>
      <c r="K47" s="399"/>
      <c r="L47" s="420" t="str">
        <f t="shared" si="3"/>
        <v/>
      </c>
      <c r="M47" s="401" t="str">
        <f t="shared" si="4"/>
        <v/>
      </c>
    </row>
    <row r="48" spans="1:13" x14ac:dyDescent="0.25">
      <c r="A48" s="5"/>
      <c r="B48" s="58" t="s">
        <v>41</v>
      </c>
      <c r="C48" s="65" t="s">
        <v>1754</v>
      </c>
      <c r="D48" s="15" t="s">
        <v>7</v>
      </c>
      <c r="E48" s="15"/>
      <c r="F48" s="731">
        <v>3.1</v>
      </c>
      <c r="G48" s="422">
        <f>G18</f>
        <v>15000</v>
      </c>
      <c r="H48" s="17">
        <f t="shared" si="0"/>
        <v>46500</v>
      </c>
      <c r="I48" s="63"/>
      <c r="J48" s="61" t="s">
        <v>996</v>
      </c>
      <c r="K48" s="399">
        <f>IF(D48="","",ROUND(12%*G48,1))</f>
        <v>1800</v>
      </c>
      <c r="L48" s="420">
        <f t="shared" si="3"/>
        <v>5580</v>
      </c>
      <c r="M48" s="401">
        <f t="shared" si="4"/>
        <v>0.12</v>
      </c>
    </row>
    <row r="49" spans="1:13" x14ac:dyDescent="0.25">
      <c r="A49" s="5"/>
      <c r="B49" s="58"/>
      <c r="C49" s="65"/>
      <c r="D49" s="15"/>
      <c r="E49" s="15"/>
      <c r="F49" s="24"/>
      <c r="G49" s="421"/>
      <c r="H49" s="17" t="str">
        <f t="shared" si="0"/>
        <v/>
      </c>
      <c r="I49" s="63"/>
      <c r="J49" s="62"/>
      <c r="K49" s="62"/>
      <c r="L49" s="420" t="str">
        <f t="shared" si="3"/>
        <v/>
      </c>
      <c r="M49" s="401" t="str">
        <f t="shared" si="4"/>
        <v/>
      </c>
    </row>
    <row r="50" spans="1:13" ht="52" x14ac:dyDescent="0.25">
      <c r="A50" s="5"/>
      <c r="B50" s="146" t="s">
        <v>321</v>
      </c>
      <c r="C50" s="672" t="s">
        <v>2027</v>
      </c>
      <c r="D50" s="15" t="s">
        <v>7</v>
      </c>
      <c r="E50" s="15"/>
      <c r="F50" s="731">
        <v>1.3</v>
      </c>
      <c r="G50" s="422">
        <v>3500</v>
      </c>
      <c r="H50" s="17">
        <f t="shared" si="0"/>
        <v>4550</v>
      </c>
      <c r="I50" s="63"/>
      <c r="J50" s="62"/>
      <c r="K50" s="62"/>
      <c r="L50" s="420" t="str">
        <f t="shared" si="3"/>
        <v/>
      </c>
      <c r="M50" s="401" t="str">
        <f t="shared" si="4"/>
        <v/>
      </c>
    </row>
    <row r="51" spans="1:13" x14ac:dyDescent="0.25">
      <c r="A51" s="5"/>
      <c r="B51" s="58"/>
      <c r="C51" s="65"/>
      <c r="D51" s="15"/>
      <c r="E51" s="15"/>
      <c r="F51" s="24"/>
      <c r="G51" s="421"/>
      <c r="H51" s="17" t="str">
        <f t="shared" si="0"/>
        <v/>
      </c>
      <c r="I51" s="63"/>
      <c r="J51" s="62"/>
      <c r="K51" s="62"/>
      <c r="L51" s="420" t="str">
        <f t="shared" si="3"/>
        <v/>
      </c>
      <c r="M51" s="401" t="str">
        <f t="shared" si="4"/>
        <v/>
      </c>
    </row>
    <row r="52" spans="1:13" x14ac:dyDescent="0.25">
      <c r="A52" s="5"/>
      <c r="B52" s="58"/>
      <c r="C52" s="668"/>
      <c r="D52" s="666"/>
      <c r="E52" s="666"/>
      <c r="F52" s="647"/>
      <c r="G52" s="411"/>
      <c r="H52" s="17" t="str">
        <f t="shared" si="0"/>
        <v/>
      </c>
      <c r="I52" s="63"/>
      <c r="J52" s="62"/>
      <c r="K52" s="62"/>
      <c r="L52" s="420" t="str">
        <f t="shared" si="3"/>
        <v/>
      </c>
      <c r="M52" s="401" t="str">
        <f t="shared" si="4"/>
        <v/>
      </c>
    </row>
    <row r="53" spans="1:13" x14ac:dyDescent="0.25">
      <c r="A53" s="5"/>
      <c r="B53" s="58"/>
      <c r="C53" s="668"/>
      <c r="D53" s="666"/>
      <c r="E53" s="666"/>
      <c r="F53" s="647"/>
      <c r="G53" s="753"/>
      <c r="H53" s="17" t="str">
        <f t="shared" si="0"/>
        <v/>
      </c>
      <c r="I53" s="63"/>
      <c r="J53" s="62"/>
      <c r="K53" s="62"/>
      <c r="L53" s="420" t="str">
        <f t="shared" si="3"/>
        <v/>
      </c>
      <c r="M53" s="401" t="str">
        <f t="shared" si="4"/>
        <v/>
      </c>
    </row>
    <row r="54" spans="1:13" x14ac:dyDescent="0.25">
      <c r="A54" s="5"/>
      <c r="B54" s="58"/>
      <c r="C54" s="668"/>
      <c r="D54" s="666"/>
      <c r="E54" s="666"/>
      <c r="F54" s="801"/>
      <c r="G54" s="411"/>
      <c r="H54" s="17" t="str">
        <f t="shared" si="0"/>
        <v/>
      </c>
      <c r="I54" s="63"/>
      <c r="J54" s="61"/>
      <c r="K54" s="402"/>
      <c r="L54" s="420" t="str">
        <f t="shared" si="3"/>
        <v/>
      </c>
      <c r="M54" s="401" t="str">
        <f t="shared" si="4"/>
        <v/>
      </c>
    </row>
    <row r="55" spans="1:13" x14ac:dyDescent="0.25">
      <c r="A55" s="5"/>
      <c r="B55" s="58"/>
      <c r="C55" s="668"/>
      <c r="D55" s="666"/>
      <c r="E55" s="666"/>
      <c r="F55" s="15"/>
      <c r="G55" s="411"/>
      <c r="H55" s="17" t="str">
        <f t="shared" si="0"/>
        <v/>
      </c>
      <c r="I55" s="63"/>
      <c r="J55" s="62"/>
      <c r="K55" s="62"/>
      <c r="L55" s="420" t="str">
        <f t="shared" si="3"/>
        <v/>
      </c>
      <c r="M55" s="401" t="str">
        <f t="shared" si="4"/>
        <v/>
      </c>
    </row>
    <row r="56" spans="1:13" x14ac:dyDescent="0.25">
      <c r="A56" s="5"/>
      <c r="B56" s="58"/>
      <c r="C56" s="668"/>
      <c r="D56" s="666"/>
      <c r="E56" s="666"/>
      <c r="F56" s="732"/>
      <c r="G56" s="411"/>
      <c r="H56" s="17" t="str">
        <f t="shared" si="0"/>
        <v/>
      </c>
      <c r="I56" s="63"/>
      <c r="J56" s="61"/>
      <c r="K56" s="402"/>
      <c r="L56" s="420" t="str">
        <f t="shared" si="3"/>
        <v/>
      </c>
      <c r="M56" s="401" t="str">
        <f t="shared" si="4"/>
        <v/>
      </c>
    </row>
    <row r="57" spans="1:13" x14ac:dyDescent="0.25">
      <c r="A57" s="5"/>
      <c r="B57" s="58"/>
      <c r="C57" s="65"/>
      <c r="D57" s="15"/>
      <c r="E57" s="15"/>
      <c r="F57" s="647"/>
      <c r="G57" s="421"/>
      <c r="H57" s="17" t="str">
        <f t="shared" si="0"/>
        <v/>
      </c>
      <c r="I57" s="63"/>
      <c r="J57" s="62"/>
      <c r="K57" s="62"/>
      <c r="L57" s="420" t="str">
        <f t="shared" si="3"/>
        <v/>
      </c>
      <c r="M57" s="401" t="str">
        <f t="shared" si="4"/>
        <v/>
      </c>
    </row>
    <row r="58" spans="1:13" x14ac:dyDescent="0.25">
      <c r="A58" s="5"/>
      <c r="B58" s="58"/>
      <c r="C58" s="65"/>
      <c r="D58" s="15"/>
      <c r="E58" s="15"/>
      <c r="F58" s="801"/>
      <c r="G58" s="424"/>
      <c r="H58" s="17" t="str">
        <f t="shared" si="0"/>
        <v/>
      </c>
      <c r="I58" s="57"/>
      <c r="J58" s="62"/>
      <c r="K58" s="62"/>
      <c r="L58" s="420" t="str">
        <f t="shared" si="3"/>
        <v/>
      </c>
      <c r="M58" s="401" t="str">
        <f t="shared" si="4"/>
        <v/>
      </c>
    </row>
    <row r="59" spans="1:13" x14ac:dyDescent="0.25">
      <c r="A59" s="5"/>
      <c r="B59" s="58"/>
      <c r="C59" s="65"/>
      <c r="D59" s="15"/>
      <c r="E59" s="15"/>
      <c r="F59" s="647"/>
      <c r="G59" s="411"/>
      <c r="H59" s="17" t="str">
        <f t="shared" si="0"/>
        <v/>
      </c>
      <c r="I59" s="18"/>
      <c r="J59" s="62"/>
      <c r="K59" s="62"/>
      <c r="L59" s="420" t="str">
        <f t="shared" si="3"/>
        <v/>
      </c>
      <c r="M59" s="401" t="str">
        <f t="shared" si="4"/>
        <v/>
      </c>
    </row>
    <row r="60" spans="1:13" s="36" customFormat="1" x14ac:dyDescent="0.25">
      <c r="A60" s="63"/>
      <c r="B60" s="58"/>
      <c r="C60" s="65"/>
      <c r="D60" s="15"/>
      <c r="E60" s="15"/>
      <c r="F60" s="24"/>
      <c r="G60" s="411"/>
      <c r="H60" s="17" t="str">
        <f t="shared" si="0"/>
        <v/>
      </c>
      <c r="I60" s="18"/>
      <c r="J60" s="62"/>
      <c r="K60" s="62"/>
      <c r="L60" s="420" t="str">
        <f t="shared" si="3"/>
        <v/>
      </c>
      <c r="M60" s="401" t="str">
        <f t="shared" si="4"/>
        <v/>
      </c>
    </row>
    <row r="61" spans="1:13" x14ac:dyDescent="0.25">
      <c r="A61" s="5"/>
      <c r="B61" s="58"/>
      <c r="C61" s="65"/>
      <c r="D61" s="15"/>
      <c r="E61" s="15"/>
      <c r="F61" s="24"/>
      <c r="G61" s="422"/>
      <c r="H61" s="17" t="str">
        <f t="shared" si="0"/>
        <v/>
      </c>
      <c r="I61" s="57"/>
      <c r="J61" s="61"/>
      <c r="K61" s="62"/>
      <c r="L61" s="420" t="str">
        <f t="shared" si="3"/>
        <v/>
      </c>
      <c r="M61" s="401" t="str">
        <f t="shared" si="4"/>
        <v/>
      </c>
    </row>
    <row r="62" spans="1:13" ht="13" x14ac:dyDescent="0.25">
      <c r="A62" s="5"/>
      <c r="B62" s="58"/>
      <c r="C62" s="681"/>
      <c r="D62" s="666"/>
      <c r="E62" s="666"/>
      <c r="F62" s="24"/>
      <c r="G62" s="422"/>
      <c r="H62" s="17" t="str">
        <f t="shared" si="0"/>
        <v/>
      </c>
      <c r="I62" s="57"/>
      <c r="J62" s="62"/>
      <c r="K62" s="62"/>
      <c r="L62" s="420" t="str">
        <f t="shared" si="3"/>
        <v/>
      </c>
      <c r="M62" s="401" t="str">
        <f t="shared" si="4"/>
        <v/>
      </c>
    </row>
    <row r="63" spans="1:13" x14ac:dyDescent="0.25">
      <c r="A63" s="5"/>
      <c r="B63" s="58"/>
      <c r="C63" s="668"/>
      <c r="D63" s="666"/>
      <c r="E63" s="666"/>
      <c r="F63" s="24"/>
      <c r="G63" s="411"/>
      <c r="H63" s="17" t="str">
        <f t="shared" ref="H63:H69" si="5">IF(D63="","",F63*G63)</f>
        <v/>
      </c>
      <c r="I63" s="57"/>
      <c r="J63" s="62"/>
      <c r="K63" s="62"/>
      <c r="L63" s="420" t="str">
        <f t="shared" ref="L63:L69" si="6">IF(J63="","",F63*K63)</f>
        <v/>
      </c>
      <c r="M63" s="401" t="str">
        <f t="shared" ref="M63:M69" si="7">IF(J63="","",IF(SUM(H63)=0,"",L63/H63))</f>
        <v/>
      </c>
    </row>
    <row r="64" spans="1:13" x14ac:dyDescent="0.25">
      <c r="A64" s="5"/>
      <c r="B64" s="58"/>
      <c r="C64" s="668"/>
      <c r="D64" s="666"/>
      <c r="E64" s="666"/>
      <c r="F64" s="24"/>
      <c r="G64" s="411"/>
      <c r="H64" s="17" t="str">
        <f t="shared" si="5"/>
        <v/>
      </c>
      <c r="I64" s="57"/>
      <c r="J64" s="62"/>
      <c r="K64" s="62"/>
      <c r="L64" s="420" t="str">
        <f t="shared" si="6"/>
        <v/>
      </c>
      <c r="M64" s="401" t="str">
        <f t="shared" si="7"/>
        <v/>
      </c>
    </row>
    <row r="65" spans="1:13" x14ac:dyDescent="0.25">
      <c r="A65" s="5"/>
      <c r="B65" s="58"/>
      <c r="C65" s="668"/>
      <c r="D65" s="666"/>
      <c r="E65" s="666"/>
      <c r="F65" s="24"/>
      <c r="G65" s="411"/>
      <c r="H65" s="17" t="str">
        <f t="shared" si="5"/>
        <v/>
      </c>
      <c r="I65" s="57"/>
      <c r="J65" s="62"/>
      <c r="K65" s="62"/>
      <c r="L65" s="420" t="str">
        <f t="shared" si="6"/>
        <v/>
      </c>
      <c r="M65" s="401" t="str">
        <f t="shared" si="7"/>
        <v/>
      </c>
    </row>
    <row r="66" spans="1:13" x14ac:dyDescent="0.25">
      <c r="A66" s="5"/>
      <c r="B66" s="58"/>
      <c r="C66" s="682"/>
      <c r="D66" s="666"/>
      <c r="E66" s="666"/>
      <c r="F66" s="24"/>
      <c r="G66" s="411"/>
      <c r="H66" s="17" t="str">
        <f t="shared" si="5"/>
        <v/>
      </c>
      <c r="I66" s="57"/>
      <c r="J66" s="62"/>
      <c r="K66" s="62"/>
      <c r="L66" s="420" t="str">
        <f t="shared" si="6"/>
        <v/>
      </c>
      <c r="M66" s="401" t="str">
        <f t="shared" si="7"/>
        <v/>
      </c>
    </row>
    <row r="67" spans="1:13" x14ac:dyDescent="0.25">
      <c r="A67" s="5"/>
      <c r="B67" s="58"/>
      <c r="C67" s="668"/>
      <c r="D67" s="666"/>
      <c r="E67" s="666"/>
      <c r="F67" s="24"/>
      <c r="G67" s="423"/>
      <c r="H67" s="17" t="str">
        <f t="shared" si="5"/>
        <v/>
      </c>
      <c r="I67" s="57"/>
      <c r="J67" s="62"/>
      <c r="K67" s="62"/>
      <c r="L67" s="420" t="str">
        <f t="shared" si="6"/>
        <v/>
      </c>
      <c r="M67" s="401" t="str">
        <f t="shared" si="7"/>
        <v/>
      </c>
    </row>
    <row r="68" spans="1:13" x14ac:dyDescent="0.25">
      <c r="A68" s="5"/>
      <c r="B68" s="58"/>
      <c r="C68" s="668"/>
      <c r="D68" s="666"/>
      <c r="E68" s="666"/>
      <c r="F68" s="24"/>
      <c r="G68" s="423"/>
      <c r="H68" s="17" t="str">
        <f t="shared" si="5"/>
        <v/>
      </c>
      <c r="I68" s="57"/>
      <c r="J68" s="62"/>
      <c r="K68" s="62"/>
      <c r="L68" s="420" t="str">
        <f t="shared" si="6"/>
        <v/>
      </c>
      <c r="M68" s="401" t="str">
        <f t="shared" si="7"/>
        <v/>
      </c>
    </row>
    <row r="69" spans="1:13" x14ac:dyDescent="0.25">
      <c r="A69" s="5"/>
      <c r="B69" s="58"/>
      <c r="C69" s="668"/>
      <c r="D69" s="666"/>
      <c r="E69" s="666"/>
      <c r="F69" s="24"/>
      <c r="G69" s="423"/>
      <c r="H69" s="17" t="str">
        <f t="shared" si="5"/>
        <v/>
      </c>
      <c r="I69" s="57"/>
      <c r="J69" s="62"/>
      <c r="K69" s="62"/>
      <c r="L69" s="420" t="str">
        <f t="shared" si="6"/>
        <v/>
      </c>
      <c r="M69" s="401" t="str">
        <f t="shared" si="7"/>
        <v/>
      </c>
    </row>
    <row r="70" spans="1:13" x14ac:dyDescent="0.25">
      <c r="A70" s="5"/>
      <c r="B70" s="58"/>
      <c r="C70" s="668"/>
      <c r="D70" s="666"/>
      <c r="E70" s="666"/>
      <c r="F70" s="15"/>
      <c r="G70" s="411"/>
      <c r="H70" s="17" t="str">
        <f t="shared" si="0"/>
        <v/>
      </c>
      <c r="I70" s="18"/>
      <c r="J70" s="62"/>
      <c r="K70" s="399"/>
      <c r="L70" s="420" t="str">
        <f t="shared" si="3"/>
        <v/>
      </c>
      <c r="M70" s="401" t="str">
        <f t="shared" si="4"/>
        <v/>
      </c>
    </row>
    <row r="71" spans="1:13" x14ac:dyDescent="0.25">
      <c r="A71" s="5"/>
      <c r="B71" s="58"/>
      <c r="C71" s="65"/>
      <c r="D71" s="15"/>
      <c r="E71" s="15"/>
      <c r="F71" s="15"/>
      <c r="G71" s="422"/>
      <c r="H71" s="17" t="str">
        <f t="shared" si="0"/>
        <v/>
      </c>
      <c r="I71" s="18"/>
      <c r="J71" s="61"/>
      <c r="K71" s="696"/>
      <c r="L71" s="420" t="str">
        <f t="shared" si="3"/>
        <v/>
      </c>
      <c r="M71" s="401" t="str">
        <f t="shared" si="4"/>
        <v/>
      </c>
    </row>
    <row r="72" spans="1:13" s="28" customFormat="1" ht="24.75" customHeight="1" x14ac:dyDescent="0.25">
      <c r="B72" s="144" t="str">
        <f>$B$12</f>
        <v>C13.3</v>
      </c>
      <c r="C72" s="30" t="s">
        <v>791</v>
      </c>
      <c r="D72" s="31"/>
      <c r="E72" s="31"/>
      <c r="F72" s="32"/>
      <c r="G72" s="31"/>
      <c r="H72" s="33">
        <f>SUM(H11:H71)</f>
        <v>1919660</v>
      </c>
      <c r="I72" s="34"/>
      <c r="J72" s="408"/>
      <c r="K72" s="406"/>
      <c r="L72" s="418">
        <f>SUM(L11:L71)</f>
        <v>229813.2</v>
      </c>
      <c r="M72" s="407" t="str">
        <f t="shared" ref="M72" si="8">IF(J72="","",IF(SUM(H72)=0,"",L72/H72))</f>
        <v/>
      </c>
    </row>
  </sheetData>
  <mergeCells count="5">
    <mergeCell ref="F3:H3"/>
    <mergeCell ref="B6:G6"/>
    <mergeCell ref="H6:H9"/>
    <mergeCell ref="B7:G7"/>
    <mergeCell ref="B8:G8"/>
  </mergeCells>
  <conditionalFormatting sqref="G11:H72">
    <cfRule type="expression" dxfId="10"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2">
    <tabColor rgb="FFFFFF00"/>
  </sheetPr>
  <dimension ref="A1:N185"/>
  <sheetViews>
    <sheetView view="pageBreakPreview" zoomScaleNormal="125" zoomScaleSheetLayoutView="100" zoomScalePageLayoutView="125" workbookViewId="0">
      <pane ySplit="2" topLeftCell="A26"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MAX(H2:H210)</f>
        <v>3011600</v>
      </c>
      <c r="I1" s="247">
        <f>MAX(I2:I210)</f>
        <v>0</v>
      </c>
      <c r="J1" s="248"/>
      <c r="K1" s="249"/>
      <c r="L1" s="247">
        <f>MAX(L2:L210)</f>
        <v>105563.8</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C13.4</v>
      </c>
      <c r="I6" s="6"/>
    </row>
    <row r="7" spans="1:14" ht="38.25"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48"/>
      <c r="H7" s="1122"/>
      <c r="I7" s="8"/>
    </row>
    <row r="8" spans="1:14" ht="15" customHeight="1" x14ac:dyDescent="0.25">
      <c r="B8" s="1152" t="s">
        <v>1775</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65"/>
      <c r="D11" s="15"/>
      <c r="E11" s="15"/>
      <c r="F11" s="15"/>
      <c r="G11" s="16"/>
      <c r="H11" s="17" t="str">
        <f t="shared" ref="H11:H49" si="0">IF(D11="","",F11*G11)</f>
        <v/>
      </c>
      <c r="I11" s="18"/>
      <c r="J11" s="733"/>
      <c r="K11" s="399" t="str">
        <f t="shared" ref="K11:K33" si="1">IF(D11="","",ROUND(Labour_perc_structures*H11,1))</f>
        <v/>
      </c>
      <c r="L11" s="400" t="str">
        <f t="shared" ref="L11:L17" si="2">IF(D11="","",F11*K11)</f>
        <v/>
      </c>
      <c r="M11" s="400" t="str">
        <f t="shared" ref="M11:M65" si="3">IF(J11="","",IF(SUM(H11)=0,"",L11/H11))</f>
        <v/>
      </c>
    </row>
    <row r="12" spans="1:14" ht="13" x14ac:dyDescent="0.25">
      <c r="B12" s="146" t="s">
        <v>323</v>
      </c>
      <c r="C12" s="672" t="s">
        <v>324</v>
      </c>
      <c r="D12" s="15"/>
      <c r="E12" s="15"/>
      <c r="F12" s="15"/>
      <c r="G12" s="16"/>
      <c r="H12" s="17" t="str">
        <f t="shared" si="0"/>
        <v/>
      </c>
      <c r="I12" s="18"/>
      <c r="J12" s="62"/>
      <c r="K12" s="399" t="str">
        <f t="shared" si="1"/>
        <v/>
      </c>
      <c r="L12" s="400" t="str">
        <f t="shared" si="2"/>
        <v/>
      </c>
      <c r="M12" s="400" t="str">
        <f t="shared" si="3"/>
        <v/>
      </c>
    </row>
    <row r="13" spans="1:14" x14ac:dyDescent="0.25">
      <c r="B13" s="58"/>
      <c r="C13" s="65"/>
      <c r="D13" s="15"/>
      <c r="E13" s="15"/>
      <c r="F13" s="15"/>
      <c r="G13" s="16"/>
      <c r="H13" s="17" t="str">
        <f t="shared" si="0"/>
        <v/>
      </c>
      <c r="I13" s="18"/>
      <c r="J13" s="62"/>
      <c r="K13" s="399" t="str">
        <f t="shared" si="1"/>
        <v/>
      </c>
      <c r="L13" s="400" t="str">
        <f t="shared" si="2"/>
        <v/>
      </c>
      <c r="M13" s="400" t="str">
        <f t="shared" si="3"/>
        <v/>
      </c>
    </row>
    <row r="14" spans="1:14" ht="13" x14ac:dyDescent="0.25">
      <c r="B14" s="146" t="s">
        <v>328</v>
      </c>
      <c r="C14" s="672" t="s">
        <v>1848</v>
      </c>
      <c r="D14" s="15"/>
      <c r="E14" s="15"/>
      <c r="F14" s="15"/>
      <c r="G14" s="16"/>
      <c r="H14" s="17" t="str">
        <f t="shared" si="0"/>
        <v/>
      </c>
      <c r="I14" s="18"/>
      <c r="J14" s="62"/>
      <c r="K14" s="399" t="str">
        <f t="shared" si="1"/>
        <v/>
      </c>
      <c r="L14" s="400" t="str">
        <f t="shared" si="2"/>
        <v/>
      </c>
      <c r="M14" s="400" t="str">
        <f t="shared" si="3"/>
        <v/>
      </c>
    </row>
    <row r="15" spans="1:14" x14ac:dyDescent="0.25">
      <c r="B15" s="58"/>
      <c r="C15" s="65"/>
      <c r="D15" s="15"/>
      <c r="E15" s="15"/>
      <c r="F15" s="15"/>
      <c r="G15" s="16"/>
      <c r="H15" s="17" t="str">
        <f t="shared" si="0"/>
        <v/>
      </c>
      <c r="I15" s="18"/>
      <c r="J15" s="62"/>
      <c r="K15" s="399" t="str">
        <f t="shared" si="1"/>
        <v/>
      </c>
      <c r="L15" s="400" t="str">
        <f t="shared" si="2"/>
        <v/>
      </c>
      <c r="M15" s="400" t="str">
        <f t="shared" si="3"/>
        <v/>
      </c>
    </row>
    <row r="16" spans="1:14" x14ac:dyDescent="0.25">
      <c r="B16" s="58" t="s">
        <v>329</v>
      </c>
      <c r="C16" s="65" t="s">
        <v>325</v>
      </c>
      <c r="D16" s="15"/>
      <c r="E16" s="15"/>
      <c r="F16" s="24"/>
      <c r="G16" s="724"/>
      <c r="H16" s="17" t="str">
        <f t="shared" si="0"/>
        <v/>
      </c>
      <c r="I16" s="57"/>
      <c r="J16" s="62"/>
      <c r="K16" s="399" t="str">
        <f t="shared" si="1"/>
        <v/>
      </c>
      <c r="L16" s="400" t="str">
        <f t="shared" si="2"/>
        <v/>
      </c>
      <c r="M16" s="400" t="str">
        <f t="shared" si="3"/>
        <v/>
      </c>
    </row>
    <row r="17" spans="2:13" x14ac:dyDescent="0.25">
      <c r="B17" s="58"/>
      <c r="C17" s="65"/>
      <c r="D17" s="15"/>
      <c r="E17" s="15"/>
      <c r="F17" s="24"/>
      <c r="G17" s="724"/>
      <c r="H17" s="17" t="str">
        <f t="shared" si="0"/>
        <v/>
      </c>
      <c r="I17" s="57"/>
      <c r="J17" s="62"/>
      <c r="K17" s="399" t="str">
        <f t="shared" si="1"/>
        <v/>
      </c>
      <c r="L17" s="400" t="str">
        <f t="shared" si="2"/>
        <v/>
      </c>
      <c r="M17" s="400" t="str">
        <f t="shared" si="3"/>
        <v/>
      </c>
    </row>
    <row r="18" spans="2:13" ht="14.5" x14ac:dyDescent="0.25">
      <c r="B18" s="58" t="s">
        <v>39</v>
      </c>
      <c r="C18" s="65" t="s">
        <v>2023</v>
      </c>
      <c r="D18" s="15" t="s">
        <v>23</v>
      </c>
      <c r="E18" s="15"/>
      <c r="F18" s="693">
        <v>342</v>
      </c>
      <c r="G18" s="862">
        <v>2400</v>
      </c>
      <c r="H18" s="17">
        <f t="shared" si="0"/>
        <v>820800</v>
      </c>
      <c r="I18" s="18"/>
      <c r="J18" s="62" t="s">
        <v>1721</v>
      </c>
      <c r="K18" s="399">
        <f>IF(J18="","",ROUND(Labour_perc_structures*G18,1))</f>
        <v>69.599999999999994</v>
      </c>
      <c r="L18" s="400">
        <f>IF(D18="","",F18*K18)</f>
        <v>23803.199999999997</v>
      </c>
      <c r="M18" s="401">
        <f t="shared" si="3"/>
        <v>2.8999999999999998E-2</v>
      </c>
    </row>
    <row r="19" spans="2:13" x14ac:dyDescent="0.25">
      <c r="B19" s="58"/>
      <c r="C19" s="65"/>
      <c r="D19" s="15"/>
      <c r="E19" s="15"/>
      <c r="F19" s="693"/>
      <c r="G19" s="862"/>
      <c r="H19" s="17" t="str">
        <f t="shared" si="0"/>
        <v/>
      </c>
      <c r="I19" s="18"/>
      <c r="J19" s="62"/>
      <c r="K19" s="399" t="str">
        <f t="shared" si="1"/>
        <v/>
      </c>
      <c r="L19" s="400" t="str">
        <f t="shared" ref="L19:L38" si="4">IF(D19="","",F19*K19)</f>
        <v/>
      </c>
      <c r="M19" s="401" t="str">
        <f t="shared" si="3"/>
        <v/>
      </c>
    </row>
    <row r="20" spans="2:13" ht="14.5" x14ac:dyDescent="0.25">
      <c r="B20" s="58" t="s">
        <v>41</v>
      </c>
      <c r="C20" s="668" t="s">
        <v>2028</v>
      </c>
      <c r="D20" s="15" t="s">
        <v>23</v>
      </c>
      <c r="E20" s="15"/>
      <c r="F20" s="693">
        <v>94</v>
      </c>
      <c r="G20" s="862">
        <v>2400</v>
      </c>
      <c r="H20" s="17">
        <f t="shared" si="0"/>
        <v>225600</v>
      </c>
      <c r="I20" s="18"/>
      <c r="J20" s="62" t="s">
        <v>1721</v>
      </c>
      <c r="K20" s="399">
        <f>IF(J20="","",ROUND(Labour_perc_structures*G20,1))</f>
        <v>69.599999999999994</v>
      </c>
      <c r="L20" s="400">
        <f t="shared" si="4"/>
        <v>6542.4</v>
      </c>
      <c r="M20" s="401">
        <f t="shared" si="3"/>
        <v>2.8999999999999998E-2</v>
      </c>
    </row>
    <row r="21" spans="2:13" x14ac:dyDescent="0.25">
      <c r="B21" s="58"/>
      <c r="C21" s="667"/>
      <c r="D21" s="15"/>
      <c r="E21" s="15"/>
      <c r="F21" s="693"/>
      <c r="G21" s="862"/>
      <c r="H21" s="17" t="str">
        <f t="shared" si="0"/>
        <v/>
      </c>
      <c r="I21" s="18"/>
      <c r="J21" s="62"/>
      <c r="K21" s="399" t="str">
        <f t="shared" si="1"/>
        <v/>
      </c>
      <c r="L21" s="400" t="str">
        <f t="shared" si="4"/>
        <v/>
      </c>
      <c r="M21" s="401" t="str">
        <f t="shared" si="3"/>
        <v/>
      </c>
    </row>
    <row r="22" spans="2:13" ht="14.5" x14ac:dyDescent="0.25">
      <c r="B22" s="58" t="s">
        <v>52</v>
      </c>
      <c r="C22" s="668" t="s">
        <v>2029</v>
      </c>
      <c r="D22" s="15" t="s">
        <v>23</v>
      </c>
      <c r="E22" s="15"/>
      <c r="F22" s="693">
        <v>120</v>
      </c>
      <c r="G22" s="862">
        <v>2400</v>
      </c>
      <c r="H22" s="17">
        <f t="shared" si="0"/>
        <v>288000</v>
      </c>
      <c r="I22" s="18"/>
      <c r="J22" s="62" t="s">
        <v>1721</v>
      </c>
      <c r="K22" s="399">
        <f>IF(J22="","",ROUND(Labour_perc_structures*G22,1))</f>
        <v>69.599999999999994</v>
      </c>
      <c r="L22" s="400">
        <f t="shared" si="4"/>
        <v>8352</v>
      </c>
      <c r="M22" s="401">
        <f t="shared" si="3"/>
        <v>2.9000000000000001E-2</v>
      </c>
    </row>
    <row r="23" spans="2:13" x14ac:dyDescent="0.25">
      <c r="B23" s="58"/>
      <c r="C23" s="667"/>
      <c r="D23" s="15"/>
      <c r="E23" s="15"/>
      <c r="F23" s="693"/>
      <c r="G23" s="862"/>
      <c r="H23" s="17" t="str">
        <f t="shared" si="0"/>
        <v/>
      </c>
      <c r="I23" s="18"/>
      <c r="J23" s="62"/>
      <c r="K23" s="399" t="str">
        <f t="shared" si="1"/>
        <v/>
      </c>
      <c r="L23" s="400" t="str">
        <f t="shared" si="4"/>
        <v/>
      </c>
      <c r="M23" s="401" t="str">
        <f t="shared" si="3"/>
        <v/>
      </c>
    </row>
    <row r="24" spans="2:13" ht="14.5" x14ac:dyDescent="0.25">
      <c r="B24" s="58" t="s">
        <v>43</v>
      </c>
      <c r="C24" s="668" t="s">
        <v>2030</v>
      </c>
      <c r="D24" s="15" t="s">
        <v>23</v>
      </c>
      <c r="E24" s="15"/>
      <c r="F24" s="693">
        <v>37</v>
      </c>
      <c r="G24" s="862">
        <v>2400</v>
      </c>
      <c r="H24" s="17">
        <f t="shared" si="0"/>
        <v>88800</v>
      </c>
      <c r="I24" s="18"/>
      <c r="J24" s="62" t="s">
        <v>1721</v>
      </c>
      <c r="K24" s="399">
        <f>IF(J24="","",ROUND(Labour_perc_structures*G24,1))</f>
        <v>69.599999999999994</v>
      </c>
      <c r="L24" s="400">
        <f t="shared" si="4"/>
        <v>2575.1999999999998</v>
      </c>
      <c r="M24" s="401">
        <f t="shared" si="3"/>
        <v>2.8999999999999998E-2</v>
      </c>
    </row>
    <row r="25" spans="2:13" x14ac:dyDescent="0.25">
      <c r="B25" s="58"/>
      <c r="C25" s="667"/>
      <c r="D25" s="15"/>
      <c r="E25" s="15"/>
      <c r="F25" s="693"/>
      <c r="G25" s="862"/>
      <c r="H25" s="17" t="str">
        <f t="shared" si="0"/>
        <v/>
      </c>
      <c r="I25" s="18"/>
      <c r="J25" s="62"/>
      <c r="K25" s="399" t="str">
        <f t="shared" si="1"/>
        <v/>
      </c>
      <c r="L25" s="400" t="str">
        <f t="shared" si="4"/>
        <v/>
      </c>
      <c r="M25" s="401" t="str">
        <f t="shared" si="3"/>
        <v/>
      </c>
    </row>
    <row r="26" spans="2:13" ht="25" x14ac:dyDescent="0.25">
      <c r="B26" s="58" t="s">
        <v>44</v>
      </c>
      <c r="C26" s="668" t="s">
        <v>2031</v>
      </c>
      <c r="D26" s="15" t="s">
        <v>23</v>
      </c>
      <c r="E26" s="15"/>
      <c r="F26" s="693">
        <v>64</v>
      </c>
      <c r="G26" s="862">
        <v>2400</v>
      </c>
      <c r="H26" s="17">
        <f t="shared" si="0"/>
        <v>153600</v>
      </c>
      <c r="I26" s="18"/>
      <c r="J26" s="62" t="s">
        <v>1721</v>
      </c>
      <c r="K26" s="399">
        <f>IF(J26="","",ROUND(Labour_perc_structures*G26,1))</f>
        <v>69.599999999999994</v>
      </c>
      <c r="L26" s="400">
        <f t="shared" si="4"/>
        <v>4454.3999999999996</v>
      </c>
      <c r="M26" s="401">
        <f t="shared" si="3"/>
        <v>2.8999999999999998E-2</v>
      </c>
    </row>
    <row r="27" spans="2:13" x14ac:dyDescent="0.25">
      <c r="B27" s="58"/>
      <c r="C27" s="667"/>
      <c r="D27" s="15"/>
      <c r="E27" s="15"/>
      <c r="F27" s="693"/>
      <c r="G27" s="862"/>
      <c r="H27" s="17" t="str">
        <f t="shared" si="0"/>
        <v/>
      </c>
      <c r="I27" s="18"/>
      <c r="J27" s="62"/>
      <c r="K27" s="399" t="str">
        <f t="shared" si="1"/>
        <v/>
      </c>
      <c r="L27" s="400" t="str">
        <f t="shared" si="4"/>
        <v/>
      </c>
      <c r="M27" s="401" t="str">
        <f t="shared" si="3"/>
        <v/>
      </c>
    </row>
    <row r="28" spans="2:13" ht="25" x14ac:dyDescent="0.25">
      <c r="B28" s="58" t="s">
        <v>45</v>
      </c>
      <c r="C28" s="668" t="s">
        <v>2032</v>
      </c>
      <c r="D28" s="15" t="s">
        <v>23</v>
      </c>
      <c r="E28" s="15"/>
      <c r="F28" s="693">
        <v>137</v>
      </c>
      <c r="G28" s="862">
        <v>2400</v>
      </c>
      <c r="H28" s="17">
        <f t="shared" si="0"/>
        <v>328800</v>
      </c>
      <c r="I28" s="18"/>
      <c r="J28" s="62" t="s">
        <v>1721</v>
      </c>
      <c r="K28" s="399">
        <f>IF(J28="","",ROUND(Labour_perc_structures*G28,1))</f>
        <v>69.599999999999994</v>
      </c>
      <c r="L28" s="400">
        <f t="shared" si="4"/>
        <v>9535.1999999999989</v>
      </c>
      <c r="M28" s="401">
        <f t="shared" si="3"/>
        <v>2.8999999999999998E-2</v>
      </c>
    </row>
    <row r="29" spans="2:13" x14ac:dyDescent="0.25">
      <c r="B29" s="58"/>
      <c r="C29" s="667"/>
      <c r="D29" s="15"/>
      <c r="E29" s="15"/>
      <c r="F29" s="693"/>
      <c r="G29" s="862"/>
      <c r="H29" s="17" t="str">
        <f t="shared" si="0"/>
        <v/>
      </c>
      <c r="I29" s="18"/>
      <c r="J29" s="62"/>
      <c r="K29" s="399" t="str">
        <f t="shared" si="1"/>
        <v/>
      </c>
      <c r="L29" s="400" t="str">
        <f t="shared" si="4"/>
        <v/>
      </c>
      <c r="M29" s="401" t="str">
        <f t="shared" si="3"/>
        <v/>
      </c>
    </row>
    <row r="30" spans="2:13" ht="25" x14ac:dyDescent="0.25">
      <c r="B30" s="58" t="s">
        <v>239</v>
      </c>
      <c r="C30" s="668" t="s">
        <v>2033</v>
      </c>
      <c r="D30" s="15" t="s">
        <v>23</v>
      </c>
      <c r="E30" s="15"/>
      <c r="F30" s="693">
        <v>64</v>
      </c>
      <c r="G30" s="862">
        <v>2400</v>
      </c>
      <c r="H30" s="17">
        <f t="shared" si="0"/>
        <v>153600</v>
      </c>
      <c r="I30" s="18"/>
      <c r="J30" s="62" t="s">
        <v>1721</v>
      </c>
      <c r="K30" s="399">
        <f>IF(J30="","",ROUND(Labour_perc_structures*G30,1))</f>
        <v>69.599999999999994</v>
      </c>
      <c r="L30" s="400">
        <f t="shared" si="4"/>
        <v>4454.3999999999996</v>
      </c>
      <c r="M30" s="401">
        <f t="shared" si="3"/>
        <v>2.8999999999999998E-2</v>
      </c>
    </row>
    <row r="31" spans="2:13" x14ac:dyDescent="0.25">
      <c r="B31" s="58"/>
      <c r="C31" s="667"/>
      <c r="D31" s="15"/>
      <c r="E31" s="15"/>
      <c r="F31" s="693"/>
      <c r="G31" s="862"/>
      <c r="H31" s="17" t="str">
        <f t="shared" si="0"/>
        <v/>
      </c>
      <c r="I31" s="18"/>
      <c r="J31" s="62"/>
      <c r="K31" s="399" t="str">
        <f t="shared" si="1"/>
        <v/>
      </c>
      <c r="L31" s="400" t="str">
        <f t="shared" si="4"/>
        <v/>
      </c>
      <c r="M31" s="401" t="str">
        <f t="shared" si="3"/>
        <v/>
      </c>
    </row>
    <row r="32" spans="2:13" ht="25" x14ac:dyDescent="0.25">
      <c r="B32" s="58" t="s">
        <v>50</v>
      </c>
      <c r="C32" s="668" t="s">
        <v>2034</v>
      </c>
      <c r="D32" s="15" t="s">
        <v>23</v>
      </c>
      <c r="E32" s="15"/>
      <c r="F32" s="693">
        <v>138</v>
      </c>
      <c r="G32" s="862">
        <v>2400</v>
      </c>
      <c r="H32" s="17">
        <f t="shared" si="0"/>
        <v>331200</v>
      </c>
      <c r="I32" s="18"/>
      <c r="J32" s="62" t="s">
        <v>1721</v>
      </c>
      <c r="K32" s="399">
        <f>IF(J32="","",ROUND(Labour_perc_structures*G32,1))</f>
        <v>69.599999999999994</v>
      </c>
      <c r="L32" s="400">
        <f t="shared" si="4"/>
        <v>9604.7999999999993</v>
      </c>
      <c r="M32" s="401">
        <f t="shared" si="3"/>
        <v>2.8999999999999998E-2</v>
      </c>
    </row>
    <row r="33" spans="2:13" x14ac:dyDescent="0.25">
      <c r="B33" s="58"/>
      <c r="C33" s="667"/>
      <c r="D33" s="15"/>
      <c r="E33" s="15"/>
      <c r="F33" s="693"/>
      <c r="G33" s="862"/>
      <c r="H33" s="17" t="str">
        <f t="shared" si="0"/>
        <v/>
      </c>
      <c r="I33" s="18"/>
      <c r="J33" s="62"/>
      <c r="K33" s="399" t="str">
        <f t="shared" si="1"/>
        <v/>
      </c>
      <c r="L33" s="400" t="str">
        <f t="shared" si="4"/>
        <v/>
      </c>
      <c r="M33" s="401" t="str">
        <f t="shared" si="3"/>
        <v/>
      </c>
    </row>
    <row r="34" spans="2:13" ht="25" x14ac:dyDescent="0.25">
      <c r="B34" s="58" t="s">
        <v>235</v>
      </c>
      <c r="C34" s="668" t="s">
        <v>2035</v>
      </c>
      <c r="D34" s="15" t="s">
        <v>23</v>
      </c>
      <c r="E34" s="15"/>
      <c r="F34" s="694">
        <v>31</v>
      </c>
      <c r="G34" s="862">
        <v>2400</v>
      </c>
      <c r="H34" s="17">
        <f t="shared" si="0"/>
        <v>74400</v>
      </c>
      <c r="I34" s="18"/>
      <c r="J34" s="62" t="s">
        <v>1721</v>
      </c>
      <c r="K34" s="399">
        <f>IF(J34="","",ROUND(Labour_perc_structures*G34,1))</f>
        <v>69.599999999999994</v>
      </c>
      <c r="L34" s="400">
        <f t="shared" si="4"/>
        <v>2157.6</v>
      </c>
      <c r="M34" s="401">
        <f t="shared" si="3"/>
        <v>2.8999999999999998E-2</v>
      </c>
    </row>
    <row r="35" spans="2:13" x14ac:dyDescent="0.25">
      <c r="B35" s="58"/>
      <c r="C35" s="65"/>
      <c r="D35" s="15"/>
      <c r="E35" s="15"/>
      <c r="F35" s="24"/>
      <c r="G35" s="59"/>
      <c r="H35" s="17" t="str">
        <f t="shared" si="0"/>
        <v/>
      </c>
      <c r="I35" s="18"/>
      <c r="J35" s="62"/>
      <c r="K35" s="402"/>
      <c r="L35" s="400" t="str">
        <f t="shared" si="4"/>
        <v/>
      </c>
      <c r="M35" s="401" t="str">
        <f t="shared" si="3"/>
        <v/>
      </c>
    </row>
    <row r="36" spans="2:13" ht="39" x14ac:dyDescent="0.25">
      <c r="B36" s="146" t="s">
        <v>332</v>
      </c>
      <c r="C36" s="672" t="s">
        <v>327</v>
      </c>
      <c r="D36" s="15"/>
      <c r="E36" s="15"/>
      <c r="F36" s="15"/>
      <c r="G36" s="64"/>
      <c r="H36" s="17" t="str">
        <f t="shared" si="0"/>
        <v/>
      </c>
      <c r="I36" s="18"/>
      <c r="J36" s="62"/>
      <c r="K36" s="399"/>
      <c r="L36" s="400" t="str">
        <f t="shared" si="4"/>
        <v/>
      </c>
      <c r="M36" s="401" t="str">
        <f t="shared" si="3"/>
        <v/>
      </c>
    </row>
    <row r="37" spans="2:13" x14ac:dyDescent="0.25">
      <c r="B37" s="58"/>
      <c r="C37" s="65"/>
      <c r="D37" s="15"/>
      <c r="E37" s="15"/>
      <c r="F37" s="15"/>
      <c r="G37" s="64"/>
      <c r="H37" s="17" t="str">
        <f t="shared" si="0"/>
        <v/>
      </c>
      <c r="I37" s="18"/>
      <c r="J37" s="62"/>
      <c r="K37" s="399"/>
      <c r="L37" s="400" t="str">
        <f t="shared" si="4"/>
        <v/>
      </c>
      <c r="M37" s="401" t="str">
        <f t="shared" si="3"/>
        <v/>
      </c>
    </row>
    <row r="38" spans="2:13" ht="14.5" x14ac:dyDescent="0.25">
      <c r="B38" s="58" t="s">
        <v>333</v>
      </c>
      <c r="C38" s="65" t="s">
        <v>1724</v>
      </c>
      <c r="D38" s="15" t="s">
        <v>23</v>
      </c>
      <c r="E38" s="15"/>
      <c r="F38" s="15">
        <v>200</v>
      </c>
      <c r="G38" s="64">
        <v>600</v>
      </c>
      <c r="H38" s="17">
        <f t="shared" si="0"/>
        <v>120000</v>
      </c>
      <c r="I38" s="18"/>
      <c r="J38" s="62" t="s">
        <v>1721</v>
      </c>
      <c r="K38" s="402">
        <f>IF(D38="","",ROUND(Labour_perc_structures*G38,1))</f>
        <v>17.399999999999999</v>
      </c>
      <c r="L38" s="400">
        <f t="shared" si="4"/>
        <v>3479.9999999999995</v>
      </c>
      <c r="M38" s="401">
        <f t="shared" si="3"/>
        <v>2.8999999999999995E-2</v>
      </c>
    </row>
    <row r="39" spans="2:13" x14ac:dyDescent="0.25">
      <c r="B39" s="58"/>
      <c r="C39" s="65"/>
      <c r="D39" s="15"/>
      <c r="E39" s="15"/>
      <c r="F39" s="24"/>
      <c r="G39" s="62"/>
      <c r="H39" s="17" t="str">
        <f t="shared" si="0"/>
        <v/>
      </c>
      <c r="I39" s="63"/>
      <c r="J39" s="62"/>
      <c r="K39" s="399"/>
      <c r="L39" s="400" t="str">
        <f t="shared" ref="L39:L45" si="5">IF(D39="","",F39*K39)</f>
        <v/>
      </c>
      <c r="M39" s="401" t="str">
        <f t="shared" ref="M39:M45" si="6">IF(J39="","",IF(SUM(H39)=0,"",L39/H39))</f>
        <v/>
      </c>
    </row>
    <row r="40" spans="2:13" ht="39" x14ac:dyDescent="0.25">
      <c r="B40" s="146" t="s">
        <v>330</v>
      </c>
      <c r="C40" s="672" t="s">
        <v>326</v>
      </c>
      <c r="D40" s="15"/>
      <c r="E40" s="15"/>
      <c r="F40" s="24"/>
      <c r="G40" s="703"/>
      <c r="H40" s="17" t="str">
        <f t="shared" si="0"/>
        <v/>
      </c>
      <c r="I40" s="18"/>
      <c r="J40" s="62"/>
      <c r="K40" s="399"/>
      <c r="L40" s="400" t="str">
        <f t="shared" si="5"/>
        <v/>
      </c>
      <c r="M40" s="401" t="str">
        <f t="shared" si="6"/>
        <v/>
      </c>
    </row>
    <row r="41" spans="2:13" x14ac:dyDescent="0.25">
      <c r="B41" s="58"/>
      <c r="C41" s="65"/>
      <c r="D41" s="15"/>
      <c r="E41" s="15"/>
      <c r="F41" s="24"/>
      <c r="G41" s="703"/>
      <c r="H41" s="17" t="str">
        <f t="shared" si="0"/>
        <v/>
      </c>
      <c r="I41" s="18"/>
      <c r="J41" s="62"/>
      <c r="K41" s="399"/>
      <c r="L41" s="400" t="str">
        <f t="shared" si="5"/>
        <v/>
      </c>
      <c r="M41" s="401" t="str">
        <f t="shared" si="6"/>
        <v/>
      </c>
    </row>
    <row r="42" spans="2:13" x14ac:dyDescent="0.25">
      <c r="B42" s="58" t="s">
        <v>331</v>
      </c>
      <c r="C42" s="65" t="s">
        <v>325</v>
      </c>
      <c r="D42" s="15"/>
      <c r="E42" s="15"/>
      <c r="F42" s="24"/>
      <c r="G42" s="703"/>
      <c r="H42" s="17" t="str">
        <f t="shared" si="0"/>
        <v/>
      </c>
      <c r="I42" s="18"/>
      <c r="J42" s="62"/>
      <c r="K42" s="399"/>
      <c r="L42" s="400" t="str">
        <f t="shared" si="5"/>
        <v/>
      </c>
      <c r="M42" s="401" t="str">
        <f t="shared" si="6"/>
        <v/>
      </c>
    </row>
    <row r="43" spans="2:13" x14ac:dyDescent="0.25">
      <c r="B43" s="58"/>
      <c r="C43" s="65"/>
      <c r="D43" s="15"/>
      <c r="E43" s="15"/>
      <c r="F43" s="24"/>
      <c r="G43" s="703"/>
      <c r="H43" s="17" t="str">
        <f t="shared" si="0"/>
        <v/>
      </c>
      <c r="I43" s="18"/>
      <c r="J43" s="62"/>
      <c r="K43" s="399"/>
      <c r="L43" s="400" t="str">
        <f t="shared" si="5"/>
        <v/>
      </c>
      <c r="M43" s="401" t="str">
        <f t="shared" si="6"/>
        <v/>
      </c>
    </row>
    <row r="44" spans="2:13" ht="25" x14ac:dyDescent="0.25">
      <c r="B44" s="58" t="s">
        <v>39</v>
      </c>
      <c r="C44" s="65" t="s">
        <v>2144</v>
      </c>
      <c r="D44" s="15" t="s">
        <v>23</v>
      </c>
      <c r="E44" s="15"/>
      <c r="F44" s="24">
        <f>SUM($F$18:$F$34)</f>
        <v>1027</v>
      </c>
      <c r="G44" s="64">
        <v>400</v>
      </c>
      <c r="H44" s="17">
        <f t="shared" si="0"/>
        <v>410800</v>
      </c>
      <c r="I44" s="18"/>
      <c r="J44" s="62" t="s">
        <v>1721</v>
      </c>
      <c r="K44" s="399">
        <f>IF(D44="","",ROUND(Labour_perc_structures*F44,1))</f>
        <v>29.8</v>
      </c>
      <c r="L44" s="400">
        <f t="shared" si="5"/>
        <v>30604.600000000002</v>
      </c>
      <c r="M44" s="401">
        <f t="shared" si="6"/>
        <v>7.4500000000000011E-2</v>
      </c>
    </row>
    <row r="45" spans="2:13" x14ac:dyDescent="0.25">
      <c r="B45" s="58"/>
      <c r="C45" s="65"/>
      <c r="D45" s="15"/>
      <c r="E45" s="15"/>
      <c r="F45" s="15"/>
      <c r="G45" s="64"/>
      <c r="H45" s="17" t="str">
        <f t="shared" si="0"/>
        <v/>
      </c>
      <c r="I45" s="18"/>
      <c r="J45" s="62"/>
      <c r="K45" s="399"/>
      <c r="L45" s="400" t="str">
        <f t="shared" si="5"/>
        <v/>
      </c>
      <c r="M45" s="401" t="str">
        <f t="shared" si="6"/>
        <v/>
      </c>
    </row>
    <row r="46" spans="2:13" s="36" customFormat="1" ht="26" x14ac:dyDescent="0.25">
      <c r="B46" s="146" t="s">
        <v>2036</v>
      </c>
      <c r="C46" s="672" t="s">
        <v>188</v>
      </c>
      <c r="D46" s="15"/>
      <c r="E46" s="15"/>
      <c r="F46" s="24"/>
      <c r="G46" s="703"/>
      <c r="H46" s="17" t="str">
        <f t="shared" si="0"/>
        <v/>
      </c>
      <c r="I46" s="18"/>
      <c r="J46" s="62"/>
      <c r="K46" s="399"/>
      <c r="L46" s="400" t="str">
        <f t="shared" ref="L46:L49" si="7">IF(D46="","",F46*K46)</f>
        <v/>
      </c>
      <c r="M46" s="401" t="str">
        <f t="shared" si="3"/>
        <v/>
      </c>
    </row>
    <row r="47" spans="2:13" x14ac:dyDescent="0.25">
      <c r="B47" s="58"/>
      <c r="C47" s="65"/>
      <c r="D47" s="15"/>
      <c r="E47" s="15"/>
      <c r="F47" s="24"/>
      <c r="G47" s="703"/>
      <c r="H47" s="17" t="str">
        <f t="shared" si="0"/>
        <v/>
      </c>
      <c r="I47" s="57"/>
      <c r="J47" s="62"/>
      <c r="K47" s="399"/>
      <c r="L47" s="400" t="str">
        <f t="shared" si="7"/>
        <v/>
      </c>
      <c r="M47" s="401" t="str">
        <f t="shared" si="3"/>
        <v/>
      </c>
    </row>
    <row r="48" spans="2:13" ht="14.5" x14ac:dyDescent="0.25">
      <c r="B48" s="58" t="s">
        <v>52</v>
      </c>
      <c r="C48" s="786" t="s">
        <v>190</v>
      </c>
      <c r="D48" s="15" t="s">
        <v>194</v>
      </c>
      <c r="E48" s="15"/>
      <c r="F48" s="24">
        <v>2000</v>
      </c>
      <c r="G48" s="64">
        <v>8</v>
      </c>
      <c r="H48" s="17">
        <f t="shared" si="0"/>
        <v>16000</v>
      </c>
      <c r="I48" s="18"/>
      <c r="J48" s="62"/>
      <c r="K48" s="399"/>
      <c r="L48" s="400">
        <f t="shared" si="7"/>
        <v>0</v>
      </c>
      <c r="M48" s="401" t="str">
        <f t="shared" si="3"/>
        <v/>
      </c>
    </row>
    <row r="49" spans="2:13" x14ac:dyDescent="0.25">
      <c r="B49" s="58"/>
      <c r="C49" s="65"/>
      <c r="D49" s="15"/>
      <c r="E49" s="15"/>
      <c r="F49" s="15"/>
      <c r="G49" s="703"/>
      <c r="H49" s="17" t="str">
        <f t="shared" si="0"/>
        <v/>
      </c>
      <c r="I49" s="18"/>
      <c r="J49" s="62"/>
      <c r="K49" s="62"/>
      <c r="L49" s="400" t="str">
        <f t="shared" si="7"/>
        <v/>
      </c>
      <c r="M49" s="401" t="str">
        <f t="shared" si="3"/>
        <v/>
      </c>
    </row>
    <row r="50" spans="2:13" x14ac:dyDescent="0.25">
      <c r="B50" s="58"/>
      <c r="C50" s="65"/>
      <c r="D50" s="15"/>
      <c r="E50" s="15"/>
      <c r="F50" s="15"/>
      <c r="G50" s="703"/>
      <c r="H50" s="17" t="str">
        <f t="shared" ref="H50:H64" si="8">IF(D50="","",F50*G50)</f>
        <v/>
      </c>
      <c r="I50" s="18"/>
      <c r="J50" s="62"/>
      <c r="K50" s="62"/>
      <c r="L50" s="400" t="str">
        <f t="shared" ref="L50:L64" si="9">IF(D50="","",F50*K50)</f>
        <v/>
      </c>
      <c r="M50" s="401" t="str">
        <f t="shared" ref="M50:M64" si="10">IF(J50="","",IF(SUM(H50)=0,"",L50/H50))</f>
        <v/>
      </c>
    </row>
    <row r="51" spans="2:13" x14ac:dyDescent="0.25">
      <c r="B51" s="58"/>
      <c r="C51" s="65"/>
      <c r="D51" s="15"/>
      <c r="E51" s="15"/>
      <c r="F51" s="15"/>
      <c r="G51" s="703"/>
      <c r="H51" s="17" t="str">
        <f t="shared" si="8"/>
        <v/>
      </c>
      <c r="I51" s="18"/>
      <c r="J51" s="62"/>
      <c r="K51" s="62"/>
      <c r="L51" s="400" t="str">
        <f t="shared" si="9"/>
        <v/>
      </c>
      <c r="M51" s="401" t="str">
        <f t="shared" si="10"/>
        <v/>
      </c>
    </row>
    <row r="52" spans="2:13" x14ac:dyDescent="0.25">
      <c r="B52" s="58"/>
      <c r="C52" s="65"/>
      <c r="D52" s="15"/>
      <c r="E52" s="15"/>
      <c r="F52" s="15"/>
      <c r="G52" s="703"/>
      <c r="H52" s="17" t="str">
        <f t="shared" si="8"/>
        <v/>
      </c>
      <c r="I52" s="18"/>
      <c r="J52" s="62"/>
      <c r="K52" s="62"/>
      <c r="L52" s="400" t="str">
        <f t="shared" si="9"/>
        <v/>
      </c>
      <c r="M52" s="401" t="str">
        <f t="shared" si="10"/>
        <v/>
      </c>
    </row>
    <row r="53" spans="2:13" x14ac:dyDescent="0.25">
      <c r="B53" s="58"/>
      <c r="C53" s="65"/>
      <c r="D53" s="15"/>
      <c r="E53" s="15"/>
      <c r="F53" s="15"/>
      <c r="G53" s="703"/>
      <c r="H53" s="17" t="str">
        <f t="shared" si="8"/>
        <v/>
      </c>
      <c r="I53" s="18"/>
      <c r="J53" s="62"/>
      <c r="K53" s="62"/>
      <c r="L53" s="400" t="str">
        <f t="shared" si="9"/>
        <v/>
      </c>
      <c r="M53" s="401" t="str">
        <f t="shared" si="10"/>
        <v/>
      </c>
    </row>
    <row r="54" spans="2:13" x14ac:dyDescent="0.25">
      <c r="B54" s="58"/>
      <c r="C54" s="65"/>
      <c r="D54" s="15"/>
      <c r="E54" s="15"/>
      <c r="F54" s="15"/>
      <c r="G54" s="703"/>
      <c r="H54" s="17" t="str">
        <f t="shared" si="8"/>
        <v/>
      </c>
      <c r="I54" s="18"/>
      <c r="J54" s="62"/>
      <c r="K54" s="62"/>
      <c r="L54" s="400" t="str">
        <f t="shared" si="9"/>
        <v/>
      </c>
      <c r="M54" s="401" t="str">
        <f t="shared" si="10"/>
        <v/>
      </c>
    </row>
    <row r="55" spans="2:13" x14ac:dyDescent="0.25">
      <c r="B55" s="58"/>
      <c r="C55" s="65"/>
      <c r="D55" s="15"/>
      <c r="E55" s="15"/>
      <c r="F55" s="15"/>
      <c r="G55" s="703"/>
      <c r="H55" s="17" t="str">
        <f t="shared" si="8"/>
        <v/>
      </c>
      <c r="I55" s="18"/>
      <c r="J55" s="62"/>
      <c r="K55" s="62"/>
      <c r="L55" s="400" t="str">
        <f t="shared" si="9"/>
        <v/>
      </c>
      <c r="M55" s="401" t="str">
        <f t="shared" si="10"/>
        <v/>
      </c>
    </row>
    <row r="56" spans="2:13" x14ac:dyDescent="0.25">
      <c r="B56" s="58"/>
      <c r="C56" s="65"/>
      <c r="D56" s="15"/>
      <c r="E56" s="15"/>
      <c r="F56" s="15"/>
      <c r="G56" s="703"/>
      <c r="H56" s="17" t="str">
        <f t="shared" si="8"/>
        <v/>
      </c>
      <c r="I56" s="18"/>
      <c r="J56" s="62"/>
      <c r="K56" s="62"/>
      <c r="L56" s="400" t="str">
        <f t="shared" si="9"/>
        <v/>
      </c>
      <c r="M56" s="401" t="str">
        <f t="shared" si="10"/>
        <v/>
      </c>
    </row>
    <row r="57" spans="2:13" x14ac:dyDescent="0.25">
      <c r="B57" s="58"/>
      <c r="C57" s="65"/>
      <c r="D57" s="15"/>
      <c r="E57" s="15"/>
      <c r="F57" s="15"/>
      <c r="G57" s="703"/>
      <c r="H57" s="17" t="str">
        <f t="shared" si="8"/>
        <v/>
      </c>
      <c r="I57" s="18"/>
      <c r="J57" s="62"/>
      <c r="K57" s="62"/>
      <c r="L57" s="400" t="str">
        <f t="shared" si="9"/>
        <v/>
      </c>
      <c r="M57" s="401" t="str">
        <f t="shared" si="10"/>
        <v/>
      </c>
    </row>
    <row r="58" spans="2:13" x14ac:dyDescent="0.25">
      <c r="B58" s="58"/>
      <c r="C58" s="65"/>
      <c r="D58" s="15"/>
      <c r="E58" s="15"/>
      <c r="F58" s="15"/>
      <c r="G58" s="703"/>
      <c r="H58" s="17" t="str">
        <f t="shared" si="8"/>
        <v/>
      </c>
      <c r="I58" s="18"/>
      <c r="J58" s="62"/>
      <c r="K58" s="62"/>
      <c r="L58" s="400" t="str">
        <f t="shared" si="9"/>
        <v/>
      </c>
      <c r="M58" s="401" t="str">
        <f t="shared" si="10"/>
        <v/>
      </c>
    </row>
    <row r="59" spans="2:13" x14ac:dyDescent="0.25">
      <c r="B59" s="58"/>
      <c r="C59" s="65"/>
      <c r="D59" s="15"/>
      <c r="E59" s="15"/>
      <c r="F59" s="15"/>
      <c r="G59" s="703"/>
      <c r="H59" s="17" t="str">
        <f t="shared" si="8"/>
        <v/>
      </c>
      <c r="I59" s="18"/>
      <c r="J59" s="62"/>
      <c r="K59" s="62"/>
      <c r="L59" s="400" t="str">
        <f t="shared" si="9"/>
        <v/>
      </c>
      <c r="M59" s="401" t="str">
        <f t="shared" si="10"/>
        <v/>
      </c>
    </row>
    <row r="60" spans="2:13" x14ac:dyDescent="0.25">
      <c r="B60" s="58"/>
      <c r="C60" s="65"/>
      <c r="D60" s="15"/>
      <c r="E60" s="15"/>
      <c r="F60" s="15"/>
      <c r="G60" s="703"/>
      <c r="H60" s="17" t="str">
        <f t="shared" si="8"/>
        <v/>
      </c>
      <c r="I60" s="18"/>
      <c r="J60" s="62"/>
      <c r="K60" s="62"/>
      <c r="L60" s="400" t="str">
        <f t="shared" si="9"/>
        <v/>
      </c>
      <c r="M60" s="401" t="str">
        <f t="shared" si="10"/>
        <v/>
      </c>
    </row>
    <row r="61" spans="2:13" x14ac:dyDescent="0.25">
      <c r="B61" s="58"/>
      <c r="C61" s="65"/>
      <c r="D61" s="15"/>
      <c r="E61" s="15"/>
      <c r="F61" s="15"/>
      <c r="G61" s="703"/>
      <c r="H61" s="17" t="str">
        <f t="shared" si="8"/>
        <v/>
      </c>
      <c r="I61" s="18"/>
      <c r="J61" s="62"/>
      <c r="K61" s="62"/>
      <c r="L61" s="400" t="str">
        <f t="shared" si="9"/>
        <v/>
      </c>
      <c r="M61" s="401" t="str">
        <f t="shared" si="10"/>
        <v/>
      </c>
    </row>
    <row r="62" spans="2:13" x14ac:dyDescent="0.25">
      <c r="B62" s="58"/>
      <c r="C62" s="65"/>
      <c r="D62" s="15"/>
      <c r="E62" s="15"/>
      <c r="F62" s="15"/>
      <c r="G62" s="703"/>
      <c r="H62" s="17" t="str">
        <f t="shared" si="8"/>
        <v/>
      </c>
      <c r="I62" s="18"/>
      <c r="J62" s="62"/>
      <c r="K62" s="62"/>
      <c r="L62" s="400" t="str">
        <f t="shared" si="9"/>
        <v/>
      </c>
      <c r="M62" s="401" t="str">
        <f t="shared" si="10"/>
        <v/>
      </c>
    </row>
    <row r="63" spans="2:13" x14ac:dyDescent="0.25">
      <c r="B63" s="58"/>
      <c r="C63" s="65"/>
      <c r="D63" s="15"/>
      <c r="E63" s="15"/>
      <c r="F63" s="15"/>
      <c r="G63" s="703"/>
      <c r="H63" s="17" t="str">
        <f t="shared" si="8"/>
        <v/>
      </c>
      <c r="I63" s="18"/>
      <c r="J63" s="62"/>
      <c r="K63" s="62"/>
      <c r="L63" s="400" t="str">
        <f t="shared" si="9"/>
        <v/>
      </c>
      <c r="M63" s="401" t="str">
        <f t="shared" si="10"/>
        <v/>
      </c>
    </row>
    <row r="64" spans="2:13" x14ac:dyDescent="0.25">
      <c r="B64" s="58"/>
      <c r="C64" s="65"/>
      <c r="D64" s="15"/>
      <c r="E64" s="15"/>
      <c r="F64" s="15"/>
      <c r="G64" s="64"/>
      <c r="H64" s="17" t="str">
        <f t="shared" si="8"/>
        <v/>
      </c>
      <c r="I64" s="18"/>
      <c r="J64" s="711"/>
      <c r="K64" s="399"/>
      <c r="L64" s="400" t="str">
        <f t="shared" si="9"/>
        <v/>
      </c>
      <c r="M64" s="401" t="str">
        <f t="shared" si="10"/>
        <v/>
      </c>
    </row>
    <row r="65" spans="2:13" s="28" customFormat="1" ht="19.5" customHeight="1" x14ac:dyDescent="0.25">
      <c r="B65" s="135" t="str">
        <f>$B$12</f>
        <v>C13.4</v>
      </c>
      <c r="C65" s="30" t="s">
        <v>12</v>
      </c>
      <c r="D65" s="31"/>
      <c r="E65" s="31"/>
      <c r="F65" s="32"/>
      <c r="G65" s="31"/>
      <c r="H65" s="33">
        <f>SUM(H11:H64)</f>
        <v>3011600</v>
      </c>
      <c r="I65" s="34"/>
      <c r="J65" s="600"/>
      <c r="K65" s="601"/>
      <c r="L65" s="406">
        <f>SUM(L10:L64)</f>
        <v>105563.8</v>
      </c>
      <c r="M65" s="410" t="str">
        <f t="shared" si="3"/>
        <v/>
      </c>
    </row>
    <row r="66" spans="2:13" ht="13" x14ac:dyDescent="0.25">
      <c r="B66" s="1108" t="str">
        <f>Client1</f>
        <v>Province of KwaZulu-Natal</v>
      </c>
      <c r="C66" s="1108"/>
      <c r="D66" s="1108"/>
      <c r="E66" s="87"/>
      <c r="F66" s="1109" t="str">
        <f>"Contract No. "&amp;ContractNo</f>
        <v>Contract No. ZNB 00399/00000/HOD/INF/21/T</v>
      </c>
      <c r="G66" s="1109"/>
      <c r="H66" s="1109"/>
    </row>
    <row r="67" spans="2:13" ht="13" x14ac:dyDescent="0.25">
      <c r="B67" s="1108" t="str">
        <f>Client2</f>
        <v>Department of Transport</v>
      </c>
      <c r="C67" s="1108"/>
      <c r="D67" s="1108"/>
      <c r="E67" s="87"/>
      <c r="F67" s="1109"/>
      <c r="G67" s="1109"/>
      <c r="H67" s="1109"/>
    </row>
    <row r="68" spans="2:13" x14ac:dyDescent="0.25">
      <c r="B68" s="1111"/>
      <c r="C68" s="1111"/>
      <c r="D68" s="1111"/>
      <c r="E68" s="78"/>
      <c r="F68" s="1110"/>
      <c r="G68" s="1110"/>
      <c r="H68" s="1110"/>
    </row>
    <row r="69" spans="2:13" ht="13" x14ac:dyDescent="0.25">
      <c r="B69" s="1112" t="s">
        <v>1773</v>
      </c>
      <c r="C69" s="1113"/>
      <c r="D69" s="1113"/>
      <c r="E69" s="1113"/>
      <c r="F69" s="1113"/>
      <c r="G69" s="1113"/>
      <c r="H69" s="1125" t="str">
        <f>$H$6</f>
        <v>CHAPTER C13.4</v>
      </c>
      <c r="I69" s="6"/>
    </row>
    <row r="70" spans="2:13" ht="12.75" customHeight="1" x14ac:dyDescent="0.25">
      <c r="B70" s="1117" t="str">
        <f>ContractDescription</f>
        <v>THE CONSTRUCTION OF EARTHWORKS, LAYERWORKS, SURFACING, CULVERTS AND CWAKA RIVER BRIDGE FROM KM 11.600 TO KM 14.000 ON MAIN ROAD P494 IN THE KING CETSHWAYO DISTRICT UNDER EMPANGENI REGION</v>
      </c>
      <c r="C70" s="1148"/>
      <c r="D70" s="1148"/>
      <c r="E70" s="1148"/>
      <c r="F70" s="1148"/>
      <c r="G70" s="1148"/>
      <c r="H70" s="1126"/>
      <c r="I70" s="8"/>
    </row>
    <row r="71" spans="2:13" ht="13" x14ac:dyDescent="0.25">
      <c r="B71" s="1149" t="s">
        <v>1775</v>
      </c>
      <c r="C71" s="1150"/>
      <c r="D71" s="1150"/>
      <c r="E71" s="1150"/>
      <c r="F71" s="1150"/>
      <c r="G71" s="1150"/>
      <c r="H71" s="1126"/>
      <c r="I71" s="8"/>
    </row>
    <row r="72" spans="2:13" ht="13" x14ac:dyDescent="0.25">
      <c r="B72" s="611"/>
      <c r="C72" s="612"/>
      <c r="D72" s="612"/>
      <c r="E72" s="612"/>
      <c r="F72" s="612"/>
      <c r="G72" s="612"/>
      <c r="H72" s="1127"/>
      <c r="I72" s="8"/>
    </row>
    <row r="73" spans="2:13" s="9" customFormat="1" ht="25" customHeight="1" x14ac:dyDescent="0.25">
      <c r="B73" s="74" t="s">
        <v>0</v>
      </c>
      <c r="C73" s="11" t="s">
        <v>1</v>
      </c>
      <c r="D73" s="11" t="s">
        <v>2</v>
      </c>
      <c r="E73" s="11"/>
      <c r="F73" s="11" t="s">
        <v>3</v>
      </c>
      <c r="G73" s="11" t="s">
        <v>4</v>
      </c>
      <c r="H73" s="11" t="s">
        <v>5</v>
      </c>
      <c r="I73" s="12"/>
      <c r="J73" s="408" t="s">
        <v>996</v>
      </c>
      <c r="K73" s="253" t="s">
        <v>997</v>
      </c>
      <c r="L73" s="253" t="s">
        <v>998</v>
      </c>
      <c r="M73" s="253" t="s">
        <v>999</v>
      </c>
    </row>
    <row r="74" spans="2:13" s="28" customFormat="1" ht="19.5" customHeight="1" x14ac:dyDescent="0.25">
      <c r="B74" s="80"/>
      <c r="C74" s="30" t="s">
        <v>27</v>
      </c>
      <c r="D74" s="31"/>
      <c r="E74" s="31"/>
      <c r="F74" s="32"/>
      <c r="G74" s="31"/>
      <c r="H74" s="33">
        <f>H65</f>
        <v>3011600</v>
      </c>
      <c r="I74" s="34"/>
      <c r="J74" s="602"/>
      <c r="K74" s="409" t="str">
        <f t="shared" ref="K74:K77" si="11">IF(D74="","",ROUND(Labour_perc_structures*H74,1))</f>
        <v/>
      </c>
      <c r="L74" s="604">
        <f>L65</f>
        <v>105563.8</v>
      </c>
      <c r="M74" s="603" t="str">
        <f t="shared" ref="M74" si="12">IF(F74="","",G74*L74)</f>
        <v/>
      </c>
    </row>
    <row r="75" spans="2:13" x14ac:dyDescent="0.25">
      <c r="B75" s="58"/>
      <c r="C75" s="65"/>
      <c r="D75" s="15"/>
      <c r="E75" s="15"/>
      <c r="F75" s="15"/>
      <c r="G75" s="64"/>
      <c r="H75" s="17"/>
      <c r="I75" s="18"/>
      <c r="J75" s="62"/>
      <c r="K75" s="399" t="str">
        <f t="shared" si="11"/>
        <v/>
      </c>
      <c r="L75" s="400" t="str">
        <f t="shared" ref="L75:L123" si="13">IF(D75="","",F75*K75)</f>
        <v/>
      </c>
      <c r="M75" s="400" t="str">
        <f t="shared" ref="M75:M124" si="14">IF(J75="","",IF(SUM(H75)=0,"",L75/H75))</f>
        <v/>
      </c>
    </row>
    <row r="76" spans="2:13" x14ac:dyDescent="0.25">
      <c r="B76" s="58"/>
      <c r="C76" s="65"/>
      <c r="D76" s="15"/>
      <c r="E76" s="15"/>
      <c r="F76" s="15"/>
      <c r="G76" s="64"/>
      <c r="H76" s="17" t="str">
        <f t="shared" ref="H76:H118" si="15">IF(D76="","",F76*G76)</f>
        <v/>
      </c>
      <c r="I76" s="18"/>
      <c r="J76" s="62"/>
      <c r="K76" s="399" t="str">
        <f t="shared" si="11"/>
        <v/>
      </c>
      <c r="L76" s="400" t="str">
        <f t="shared" si="13"/>
        <v/>
      </c>
      <c r="M76" s="400" t="str">
        <f t="shared" si="14"/>
        <v/>
      </c>
    </row>
    <row r="77" spans="2:13" x14ac:dyDescent="0.25">
      <c r="B77" s="58"/>
      <c r="C77" s="65"/>
      <c r="D77" s="15"/>
      <c r="E77" s="15"/>
      <c r="F77" s="15"/>
      <c r="G77" s="64"/>
      <c r="H77" s="17" t="str">
        <f t="shared" si="15"/>
        <v/>
      </c>
      <c r="I77" s="18"/>
      <c r="J77" s="62"/>
      <c r="K77" s="399" t="str">
        <f t="shared" si="11"/>
        <v/>
      </c>
      <c r="L77" s="400" t="str">
        <f t="shared" si="13"/>
        <v/>
      </c>
      <c r="M77" s="400" t="str">
        <f t="shared" si="14"/>
        <v/>
      </c>
    </row>
    <row r="78" spans="2:13" x14ac:dyDescent="0.25">
      <c r="B78" s="58"/>
      <c r="C78" s="65"/>
      <c r="D78" s="15"/>
      <c r="E78" s="15"/>
      <c r="F78" s="15"/>
      <c r="G78" s="64"/>
      <c r="H78" s="17" t="str">
        <f t="shared" si="15"/>
        <v/>
      </c>
      <c r="I78" s="18"/>
      <c r="J78" s="62"/>
      <c r="K78" s="399"/>
      <c r="L78" s="400" t="str">
        <f t="shared" si="13"/>
        <v/>
      </c>
      <c r="M78" s="400" t="str">
        <f t="shared" si="14"/>
        <v/>
      </c>
    </row>
    <row r="79" spans="2:13" x14ac:dyDescent="0.25">
      <c r="B79" s="58"/>
      <c r="C79" s="65"/>
      <c r="D79" s="61"/>
      <c r="E79" s="61"/>
      <c r="F79" s="61"/>
      <c r="G79" s="64"/>
      <c r="H79" s="17" t="str">
        <f t="shared" si="15"/>
        <v/>
      </c>
      <c r="I79" s="63"/>
      <c r="J79" s="62"/>
      <c r="K79" s="399"/>
      <c r="L79" s="400" t="str">
        <f t="shared" si="13"/>
        <v/>
      </c>
      <c r="M79" s="400" t="str">
        <f t="shared" si="14"/>
        <v/>
      </c>
    </row>
    <row r="80" spans="2:13" x14ac:dyDescent="0.25">
      <c r="B80" s="58"/>
      <c r="C80" s="65"/>
      <c r="D80" s="15"/>
      <c r="E80" s="15"/>
      <c r="F80" s="15"/>
      <c r="G80" s="64"/>
      <c r="H80" s="17" t="str">
        <f t="shared" si="15"/>
        <v/>
      </c>
      <c r="I80" s="18"/>
      <c r="J80" s="62"/>
      <c r="K80" s="399"/>
      <c r="L80" s="400" t="str">
        <f t="shared" si="13"/>
        <v/>
      </c>
      <c r="M80" s="400" t="str">
        <f t="shared" si="14"/>
        <v/>
      </c>
    </row>
    <row r="81" spans="2:13" x14ac:dyDescent="0.25">
      <c r="B81" s="58"/>
      <c r="C81" s="65"/>
      <c r="D81" s="61"/>
      <c r="E81" s="61"/>
      <c r="F81" s="61"/>
      <c r="G81" s="64"/>
      <c r="H81" s="17" t="str">
        <f t="shared" si="15"/>
        <v/>
      </c>
      <c r="I81" s="69"/>
      <c r="J81" s="62"/>
      <c r="K81" s="399"/>
      <c r="L81" s="400" t="str">
        <f t="shared" si="13"/>
        <v/>
      </c>
      <c r="M81" s="400" t="str">
        <f t="shared" si="14"/>
        <v/>
      </c>
    </row>
    <row r="82" spans="2:13" x14ac:dyDescent="0.25">
      <c r="B82" s="58"/>
      <c r="C82" s="65"/>
      <c r="D82" s="61"/>
      <c r="E82" s="61"/>
      <c r="F82" s="61"/>
      <c r="G82" s="64"/>
      <c r="H82" s="17" t="str">
        <f t="shared" si="15"/>
        <v/>
      </c>
      <c r="I82" s="63"/>
      <c r="J82" s="62"/>
      <c r="K82" s="399"/>
      <c r="L82" s="400" t="str">
        <f t="shared" si="13"/>
        <v/>
      </c>
      <c r="M82" s="400" t="str">
        <f t="shared" si="14"/>
        <v/>
      </c>
    </row>
    <row r="83" spans="2:13" x14ac:dyDescent="0.25">
      <c r="B83" s="58"/>
      <c r="C83" s="65"/>
      <c r="D83" s="15"/>
      <c r="E83" s="15"/>
      <c r="F83" s="15"/>
      <c r="G83" s="64"/>
      <c r="H83" s="17" t="str">
        <f t="shared" si="15"/>
        <v/>
      </c>
      <c r="I83" s="18"/>
      <c r="J83" s="62"/>
      <c r="K83" s="399"/>
      <c r="L83" s="400" t="str">
        <f t="shared" si="13"/>
        <v/>
      </c>
      <c r="M83" s="400" t="str">
        <f t="shared" si="14"/>
        <v/>
      </c>
    </row>
    <row r="84" spans="2:13" x14ac:dyDescent="0.25">
      <c r="B84" s="58"/>
      <c r="C84" s="65"/>
      <c r="D84" s="15"/>
      <c r="E84" s="15"/>
      <c r="F84" s="15"/>
      <c r="G84" s="64"/>
      <c r="H84" s="17" t="str">
        <f t="shared" si="15"/>
        <v/>
      </c>
      <c r="I84" s="18"/>
      <c r="J84" s="62"/>
      <c r="K84" s="399"/>
      <c r="L84" s="400" t="str">
        <f t="shared" si="13"/>
        <v/>
      </c>
      <c r="M84" s="400" t="str">
        <f t="shared" si="14"/>
        <v/>
      </c>
    </row>
    <row r="85" spans="2:13" x14ac:dyDescent="0.25">
      <c r="B85" s="58"/>
      <c r="C85" s="65"/>
      <c r="D85" s="15"/>
      <c r="E85" s="15"/>
      <c r="F85" s="15"/>
      <c r="G85" s="64"/>
      <c r="H85" s="17" t="str">
        <f t="shared" si="15"/>
        <v/>
      </c>
      <c r="I85" s="18"/>
      <c r="J85" s="62"/>
      <c r="K85" s="399"/>
      <c r="L85" s="400" t="str">
        <f t="shared" si="13"/>
        <v/>
      </c>
      <c r="M85" s="400" t="str">
        <f t="shared" si="14"/>
        <v/>
      </c>
    </row>
    <row r="86" spans="2:13" x14ac:dyDescent="0.25">
      <c r="B86" s="58"/>
      <c r="C86" s="65"/>
      <c r="D86" s="15"/>
      <c r="E86" s="15"/>
      <c r="F86" s="15"/>
      <c r="G86" s="64"/>
      <c r="H86" s="17" t="str">
        <f t="shared" si="15"/>
        <v/>
      </c>
      <c r="I86" s="18"/>
      <c r="J86" s="62"/>
      <c r="K86" s="399"/>
      <c r="L86" s="400" t="str">
        <f t="shared" si="13"/>
        <v/>
      </c>
      <c r="M86" s="400" t="str">
        <f t="shared" si="14"/>
        <v/>
      </c>
    </row>
    <row r="87" spans="2:13" x14ac:dyDescent="0.25">
      <c r="B87" s="58"/>
      <c r="C87" s="65"/>
      <c r="D87" s="15"/>
      <c r="E87" s="15"/>
      <c r="F87" s="15"/>
      <c r="G87" s="64"/>
      <c r="H87" s="17" t="str">
        <f t="shared" si="15"/>
        <v/>
      </c>
      <c r="I87" s="18"/>
      <c r="J87" s="62"/>
      <c r="K87" s="399"/>
      <c r="L87" s="400" t="str">
        <f t="shared" si="13"/>
        <v/>
      </c>
      <c r="M87" s="400" t="str">
        <f t="shared" si="14"/>
        <v/>
      </c>
    </row>
    <row r="88" spans="2:13" x14ac:dyDescent="0.25">
      <c r="B88" s="58"/>
      <c r="C88" s="65"/>
      <c r="D88" s="15"/>
      <c r="E88" s="15"/>
      <c r="F88" s="15"/>
      <c r="G88" s="64"/>
      <c r="H88" s="17" t="str">
        <f t="shared" si="15"/>
        <v/>
      </c>
      <c r="I88" s="18"/>
      <c r="J88" s="62"/>
      <c r="K88" s="399"/>
      <c r="L88" s="400" t="str">
        <f t="shared" si="13"/>
        <v/>
      </c>
      <c r="M88" s="400" t="str">
        <f t="shared" si="14"/>
        <v/>
      </c>
    </row>
    <row r="89" spans="2:13" x14ac:dyDescent="0.25">
      <c r="B89" s="58"/>
      <c r="C89" s="65"/>
      <c r="D89" s="15"/>
      <c r="E89" s="15"/>
      <c r="F89" s="15"/>
      <c r="G89" s="64"/>
      <c r="H89" s="17" t="str">
        <f t="shared" si="15"/>
        <v/>
      </c>
      <c r="I89" s="18"/>
      <c r="J89" s="62"/>
      <c r="K89" s="399"/>
      <c r="L89" s="400" t="str">
        <f t="shared" si="13"/>
        <v/>
      </c>
      <c r="M89" s="400" t="str">
        <f t="shared" si="14"/>
        <v/>
      </c>
    </row>
    <row r="90" spans="2:13" x14ac:dyDescent="0.25">
      <c r="B90" s="58"/>
      <c r="C90" s="65"/>
      <c r="D90" s="15"/>
      <c r="E90" s="15"/>
      <c r="F90" s="15"/>
      <c r="G90" s="64"/>
      <c r="H90" s="17" t="str">
        <f t="shared" si="15"/>
        <v/>
      </c>
      <c r="I90" s="18"/>
      <c r="J90" s="62"/>
      <c r="K90" s="399"/>
      <c r="L90" s="400" t="str">
        <f t="shared" si="13"/>
        <v/>
      </c>
      <c r="M90" s="400" t="str">
        <f t="shared" si="14"/>
        <v/>
      </c>
    </row>
    <row r="91" spans="2:13" x14ac:dyDescent="0.25">
      <c r="B91" s="58"/>
      <c r="C91" s="65"/>
      <c r="D91" s="15"/>
      <c r="E91" s="15"/>
      <c r="F91" s="15"/>
      <c r="G91" s="64"/>
      <c r="H91" s="17" t="str">
        <f t="shared" si="15"/>
        <v/>
      </c>
      <c r="I91" s="18"/>
      <c r="J91" s="62"/>
      <c r="K91" s="399"/>
      <c r="L91" s="400" t="str">
        <f t="shared" si="13"/>
        <v/>
      </c>
      <c r="M91" s="400" t="str">
        <f t="shared" si="14"/>
        <v/>
      </c>
    </row>
    <row r="92" spans="2:13" ht="27.75" customHeight="1" x14ac:dyDescent="0.25">
      <c r="B92" s="58"/>
      <c r="C92" s="65"/>
      <c r="D92" s="15"/>
      <c r="E92" s="15"/>
      <c r="F92" s="15"/>
      <c r="G92" s="64"/>
      <c r="H92" s="17" t="str">
        <f t="shared" si="15"/>
        <v/>
      </c>
      <c r="I92" s="18"/>
      <c r="J92" s="62"/>
      <c r="K92" s="399"/>
      <c r="L92" s="400" t="str">
        <f t="shared" si="13"/>
        <v/>
      </c>
      <c r="M92" s="400" t="str">
        <f t="shared" si="14"/>
        <v/>
      </c>
    </row>
    <row r="93" spans="2:13" x14ac:dyDescent="0.25">
      <c r="B93" s="58"/>
      <c r="C93" s="65"/>
      <c r="D93" s="15"/>
      <c r="E93" s="15"/>
      <c r="F93" s="15"/>
      <c r="G93" s="64"/>
      <c r="H93" s="17" t="str">
        <f t="shared" si="15"/>
        <v/>
      </c>
      <c r="I93" s="18"/>
      <c r="J93" s="62"/>
      <c r="K93" s="399"/>
      <c r="L93" s="400" t="str">
        <f t="shared" si="13"/>
        <v/>
      </c>
      <c r="M93" s="400" t="str">
        <f t="shared" si="14"/>
        <v/>
      </c>
    </row>
    <row r="94" spans="2:13" x14ac:dyDescent="0.25">
      <c r="B94" s="58"/>
      <c r="C94" s="65"/>
      <c r="D94" s="15"/>
      <c r="E94" s="15"/>
      <c r="F94" s="15"/>
      <c r="G94" s="64"/>
      <c r="H94" s="17" t="str">
        <f t="shared" si="15"/>
        <v/>
      </c>
      <c r="I94" s="18"/>
      <c r="J94" s="62"/>
      <c r="K94" s="399"/>
      <c r="L94" s="400" t="str">
        <f t="shared" si="13"/>
        <v/>
      </c>
      <c r="M94" s="400" t="str">
        <f t="shared" si="14"/>
        <v/>
      </c>
    </row>
    <row r="95" spans="2:13" x14ac:dyDescent="0.25">
      <c r="B95" s="58"/>
      <c r="C95" s="65"/>
      <c r="D95" s="15"/>
      <c r="E95" s="15"/>
      <c r="F95" s="15"/>
      <c r="G95" s="64"/>
      <c r="H95" s="17" t="str">
        <f t="shared" si="15"/>
        <v/>
      </c>
      <c r="I95" s="18"/>
      <c r="J95" s="62"/>
      <c r="K95" s="399"/>
      <c r="L95" s="400" t="str">
        <f t="shared" si="13"/>
        <v/>
      </c>
      <c r="M95" s="400" t="str">
        <f t="shared" si="14"/>
        <v/>
      </c>
    </row>
    <row r="96" spans="2:13" x14ac:dyDescent="0.25">
      <c r="B96" s="58"/>
      <c r="C96" s="65"/>
      <c r="D96" s="15"/>
      <c r="E96" s="15"/>
      <c r="F96" s="15"/>
      <c r="G96" s="64"/>
      <c r="H96" s="17" t="str">
        <f t="shared" si="15"/>
        <v/>
      </c>
      <c r="I96" s="18"/>
      <c r="J96" s="62"/>
      <c r="K96" s="399"/>
      <c r="L96" s="400" t="str">
        <f t="shared" si="13"/>
        <v/>
      </c>
      <c r="M96" s="400" t="str">
        <f t="shared" si="14"/>
        <v/>
      </c>
    </row>
    <row r="97" spans="2:13" x14ac:dyDescent="0.25">
      <c r="B97" s="58"/>
      <c r="C97" s="65"/>
      <c r="D97" s="15"/>
      <c r="E97" s="15"/>
      <c r="F97" s="15"/>
      <c r="G97" s="64"/>
      <c r="H97" s="17" t="str">
        <f t="shared" si="15"/>
        <v/>
      </c>
      <c r="I97" s="18"/>
      <c r="J97" s="62"/>
      <c r="K97" s="399"/>
      <c r="L97" s="400" t="str">
        <f t="shared" si="13"/>
        <v/>
      </c>
      <c r="M97" s="400" t="str">
        <f t="shared" si="14"/>
        <v/>
      </c>
    </row>
    <row r="98" spans="2:13" x14ac:dyDescent="0.25">
      <c r="B98" s="58"/>
      <c r="C98" s="65"/>
      <c r="D98" s="15"/>
      <c r="E98" s="15"/>
      <c r="F98" s="15"/>
      <c r="G98" s="64"/>
      <c r="H98" s="17" t="str">
        <f t="shared" si="15"/>
        <v/>
      </c>
      <c r="I98" s="18"/>
      <c r="J98" s="62"/>
      <c r="K98" s="399"/>
      <c r="L98" s="400" t="str">
        <f t="shared" si="13"/>
        <v/>
      </c>
      <c r="M98" s="400" t="str">
        <f t="shared" si="14"/>
        <v/>
      </c>
    </row>
    <row r="99" spans="2:13" x14ac:dyDescent="0.25">
      <c r="B99" s="58"/>
      <c r="C99" s="65"/>
      <c r="D99" s="15"/>
      <c r="E99" s="15"/>
      <c r="F99" s="15"/>
      <c r="G99" s="64"/>
      <c r="H99" s="17" t="str">
        <f t="shared" si="15"/>
        <v/>
      </c>
      <c r="I99" s="18"/>
      <c r="J99" s="62"/>
      <c r="K99" s="399"/>
      <c r="L99" s="400" t="str">
        <f t="shared" si="13"/>
        <v/>
      </c>
      <c r="M99" s="400" t="str">
        <f t="shared" si="14"/>
        <v/>
      </c>
    </row>
    <row r="100" spans="2:13" x14ac:dyDescent="0.25">
      <c r="B100" s="58"/>
      <c r="C100" s="65"/>
      <c r="D100" s="15"/>
      <c r="E100" s="15"/>
      <c r="F100" s="15"/>
      <c r="G100" s="64"/>
      <c r="H100" s="17" t="str">
        <f t="shared" si="15"/>
        <v/>
      </c>
      <c r="I100" s="18"/>
      <c r="J100" s="62"/>
      <c r="K100" s="402"/>
      <c r="L100" s="400" t="str">
        <f t="shared" si="13"/>
        <v/>
      </c>
      <c r="M100" s="400" t="str">
        <f t="shared" si="14"/>
        <v/>
      </c>
    </row>
    <row r="101" spans="2:13" x14ac:dyDescent="0.25">
      <c r="B101" s="58"/>
      <c r="C101" s="65"/>
      <c r="D101" s="15"/>
      <c r="E101" s="15"/>
      <c r="F101" s="15"/>
      <c r="G101" s="64"/>
      <c r="H101" s="17" t="str">
        <f t="shared" si="15"/>
        <v/>
      </c>
      <c r="I101" s="18"/>
      <c r="J101" s="62"/>
      <c r="K101" s="399"/>
      <c r="L101" s="400" t="str">
        <f t="shared" si="13"/>
        <v/>
      </c>
      <c r="M101" s="400" t="str">
        <f t="shared" si="14"/>
        <v/>
      </c>
    </row>
    <row r="102" spans="2:13" x14ac:dyDescent="0.25">
      <c r="B102" s="58"/>
      <c r="C102" s="65"/>
      <c r="D102" s="15"/>
      <c r="E102" s="15"/>
      <c r="F102" s="15"/>
      <c r="G102" s="64"/>
      <c r="H102" s="17" t="str">
        <f t="shared" si="15"/>
        <v/>
      </c>
      <c r="I102" s="18"/>
      <c r="J102" s="62"/>
      <c r="K102" s="399"/>
      <c r="L102" s="400" t="str">
        <f t="shared" si="13"/>
        <v/>
      </c>
      <c r="M102" s="400" t="str">
        <f t="shared" si="14"/>
        <v/>
      </c>
    </row>
    <row r="103" spans="2:13" x14ac:dyDescent="0.25">
      <c r="B103" s="58"/>
      <c r="C103" s="65"/>
      <c r="D103" s="15"/>
      <c r="E103" s="15"/>
      <c r="F103" s="15"/>
      <c r="G103" s="64"/>
      <c r="H103" s="17" t="str">
        <f t="shared" si="15"/>
        <v/>
      </c>
      <c r="I103" s="18"/>
      <c r="J103" s="62"/>
      <c r="K103" s="399"/>
      <c r="L103" s="400" t="str">
        <f t="shared" si="13"/>
        <v/>
      </c>
      <c r="M103" s="400" t="str">
        <f t="shared" si="14"/>
        <v/>
      </c>
    </row>
    <row r="104" spans="2:13" x14ac:dyDescent="0.25">
      <c r="B104" s="58"/>
      <c r="C104" s="65"/>
      <c r="D104" s="15"/>
      <c r="E104" s="15"/>
      <c r="F104" s="15"/>
      <c r="G104" s="64"/>
      <c r="H104" s="17" t="str">
        <f t="shared" si="15"/>
        <v/>
      </c>
      <c r="I104" s="18"/>
      <c r="J104" s="62"/>
      <c r="K104" s="399"/>
      <c r="L104" s="400" t="str">
        <f t="shared" si="13"/>
        <v/>
      </c>
      <c r="M104" s="400" t="str">
        <f t="shared" si="14"/>
        <v/>
      </c>
    </row>
    <row r="105" spans="2:13" x14ac:dyDescent="0.25">
      <c r="B105" s="58"/>
      <c r="C105" s="65"/>
      <c r="D105" s="15"/>
      <c r="E105" s="15"/>
      <c r="F105" s="15"/>
      <c r="G105" s="64"/>
      <c r="H105" s="17" t="str">
        <f t="shared" si="15"/>
        <v/>
      </c>
      <c r="I105" s="18"/>
      <c r="J105" s="62"/>
      <c r="K105" s="399"/>
      <c r="L105" s="400" t="str">
        <f t="shared" si="13"/>
        <v/>
      </c>
      <c r="M105" s="400" t="str">
        <f t="shared" si="14"/>
        <v/>
      </c>
    </row>
    <row r="106" spans="2:13" x14ac:dyDescent="0.25">
      <c r="B106" s="58"/>
      <c r="C106" s="65"/>
      <c r="D106" s="15"/>
      <c r="E106" s="15"/>
      <c r="F106" s="15"/>
      <c r="G106" s="64"/>
      <c r="H106" s="17" t="str">
        <f t="shared" si="15"/>
        <v/>
      </c>
      <c r="I106" s="18"/>
      <c r="J106" s="62"/>
      <c r="K106" s="399"/>
      <c r="L106" s="400" t="str">
        <f t="shared" si="13"/>
        <v/>
      </c>
      <c r="M106" s="400" t="str">
        <f t="shared" si="14"/>
        <v/>
      </c>
    </row>
    <row r="107" spans="2:13" x14ac:dyDescent="0.25">
      <c r="B107" s="58"/>
      <c r="C107" s="65"/>
      <c r="D107" s="15"/>
      <c r="E107" s="15"/>
      <c r="F107" s="15"/>
      <c r="G107" s="64"/>
      <c r="H107" s="17" t="str">
        <f t="shared" si="15"/>
        <v/>
      </c>
      <c r="I107" s="18"/>
      <c r="J107" s="62"/>
      <c r="K107" s="399"/>
      <c r="L107" s="400" t="str">
        <f t="shared" si="13"/>
        <v/>
      </c>
      <c r="M107" s="400" t="str">
        <f t="shared" si="14"/>
        <v/>
      </c>
    </row>
    <row r="108" spans="2:13" x14ac:dyDescent="0.25">
      <c r="B108" s="58"/>
      <c r="C108" s="65"/>
      <c r="D108" s="15"/>
      <c r="E108" s="15"/>
      <c r="F108" s="15"/>
      <c r="G108" s="64"/>
      <c r="H108" s="17" t="str">
        <f t="shared" si="15"/>
        <v/>
      </c>
      <c r="I108" s="18"/>
      <c r="J108" s="62"/>
      <c r="K108" s="399"/>
      <c r="L108" s="400" t="str">
        <f t="shared" si="13"/>
        <v/>
      </c>
      <c r="M108" s="400" t="str">
        <f t="shared" si="14"/>
        <v/>
      </c>
    </row>
    <row r="109" spans="2:13" x14ac:dyDescent="0.25">
      <c r="B109" s="58"/>
      <c r="C109" s="65"/>
      <c r="D109" s="15"/>
      <c r="E109" s="15"/>
      <c r="F109" s="15"/>
      <c r="G109" s="64"/>
      <c r="H109" s="17" t="str">
        <f t="shared" si="15"/>
        <v/>
      </c>
      <c r="I109" s="18"/>
      <c r="J109" s="62"/>
      <c r="K109" s="399"/>
      <c r="L109" s="400" t="str">
        <f t="shared" si="13"/>
        <v/>
      </c>
      <c r="M109" s="400" t="str">
        <f t="shared" si="14"/>
        <v/>
      </c>
    </row>
    <row r="110" spans="2:13" x14ac:dyDescent="0.25">
      <c r="B110" s="58"/>
      <c r="C110" s="65"/>
      <c r="D110" s="15"/>
      <c r="E110" s="15"/>
      <c r="F110" s="15"/>
      <c r="G110" s="64"/>
      <c r="H110" s="17" t="str">
        <f t="shared" si="15"/>
        <v/>
      </c>
      <c r="I110" s="18"/>
      <c r="J110" s="62"/>
      <c r="K110" s="62"/>
      <c r="L110" s="400" t="str">
        <f t="shared" si="13"/>
        <v/>
      </c>
      <c r="M110" s="400" t="str">
        <f t="shared" si="14"/>
        <v/>
      </c>
    </row>
    <row r="111" spans="2:13" x14ac:dyDescent="0.25">
      <c r="B111" s="58"/>
      <c r="C111" s="65"/>
      <c r="D111" s="15"/>
      <c r="E111" s="15"/>
      <c r="F111" s="15"/>
      <c r="G111" s="64"/>
      <c r="H111" s="17" t="str">
        <f t="shared" si="15"/>
        <v/>
      </c>
      <c r="I111" s="18"/>
      <c r="J111" s="62"/>
      <c r="K111" s="62"/>
      <c r="L111" s="400" t="str">
        <f t="shared" si="13"/>
        <v/>
      </c>
      <c r="M111" s="400" t="str">
        <f t="shared" si="14"/>
        <v/>
      </c>
    </row>
    <row r="112" spans="2:13" x14ac:dyDescent="0.25">
      <c r="B112" s="58"/>
      <c r="C112" s="65"/>
      <c r="D112" s="15"/>
      <c r="E112" s="15"/>
      <c r="F112" s="15"/>
      <c r="G112" s="64"/>
      <c r="H112" s="17" t="str">
        <f t="shared" si="15"/>
        <v/>
      </c>
      <c r="I112" s="18"/>
      <c r="J112" s="62"/>
      <c r="K112" s="62"/>
      <c r="L112" s="400" t="str">
        <f t="shared" si="13"/>
        <v/>
      </c>
      <c r="M112" s="400" t="str">
        <f t="shared" si="14"/>
        <v/>
      </c>
    </row>
    <row r="113" spans="2:13" x14ac:dyDescent="0.25">
      <c r="B113" s="58"/>
      <c r="C113" s="65"/>
      <c r="D113" s="15"/>
      <c r="E113" s="15"/>
      <c r="F113" s="15"/>
      <c r="G113" s="64"/>
      <c r="H113" s="17" t="str">
        <f t="shared" si="15"/>
        <v/>
      </c>
      <c r="I113" s="18"/>
      <c r="J113" s="62"/>
      <c r="K113" s="62"/>
      <c r="L113" s="400" t="str">
        <f t="shared" si="13"/>
        <v/>
      </c>
      <c r="M113" s="400" t="str">
        <f t="shared" si="14"/>
        <v/>
      </c>
    </row>
    <row r="114" spans="2:13" x14ac:dyDescent="0.25">
      <c r="B114" s="58"/>
      <c r="C114" s="65"/>
      <c r="D114" s="15"/>
      <c r="E114" s="15"/>
      <c r="F114" s="15"/>
      <c r="G114" s="64"/>
      <c r="H114" s="17" t="str">
        <f t="shared" si="15"/>
        <v/>
      </c>
      <c r="I114" s="18"/>
      <c r="J114" s="62"/>
      <c r="K114" s="62"/>
      <c r="L114" s="400" t="str">
        <f t="shared" si="13"/>
        <v/>
      </c>
      <c r="M114" s="400" t="str">
        <f t="shared" si="14"/>
        <v/>
      </c>
    </row>
    <row r="115" spans="2:13" x14ac:dyDescent="0.25">
      <c r="B115" s="58"/>
      <c r="C115" s="65"/>
      <c r="D115" s="15"/>
      <c r="E115" s="15"/>
      <c r="F115" s="15"/>
      <c r="G115" s="64"/>
      <c r="H115" s="17" t="str">
        <f t="shared" si="15"/>
        <v/>
      </c>
      <c r="I115" s="18"/>
      <c r="J115" s="62"/>
      <c r="K115" s="62"/>
      <c r="L115" s="400" t="str">
        <f t="shared" si="13"/>
        <v/>
      </c>
      <c r="M115" s="400" t="str">
        <f t="shared" si="14"/>
        <v/>
      </c>
    </row>
    <row r="116" spans="2:13" x14ac:dyDescent="0.25">
      <c r="B116" s="58"/>
      <c r="C116" s="65"/>
      <c r="D116" s="15"/>
      <c r="E116" s="15"/>
      <c r="F116" s="15"/>
      <c r="G116" s="64"/>
      <c r="H116" s="17" t="str">
        <f t="shared" si="15"/>
        <v/>
      </c>
      <c r="I116" s="18"/>
      <c r="J116" s="62"/>
      <c r="K116" s="62"/>
      <c r="L116" s="400" t="str">
        <f t="shared" si="13"/>
        <v/>
      </c>
      <c r="M116" s="400" t="str">
        <f t="shared" si="14"/>
        <v/>
      </c>
    </row>
    <row r="117" spans="2:13" x14ac:dyDescent="0.25">
      <c r="B117" s="58"/>
      <c r="C117" s="65"/>
      <c r="D117" s="15"/>
      <c r="E117" s="15"/>
      <c r="F117" s="15"/>
      <c r="G117" s="64"/>
      <c r="H117" s="17" t="str">
        <f t="shared" si="15"/>
        <v/>
      </c>
      <c r="I117" s="18"/>
      <c r="J117" s="62"/>
      <c r="K117" s="62"/>
      <c r="L117" s="400" t="str">
        <f t="shared" si="13"/>
        <v/>
      </c>
      <c r="M117" s="400" t="str">
        <f t="shared" si="14"/>
        <v/>
      </c>
    </row>
    <row r="118" spans="2:13" x14ac:dyDescent="0.25">
      <c r="B118" s="58"/>
      <c r="C118" s="65"/>
      <c r="D118" s="15"/>
      <c r="E118" s="15"/>
      <c r="F118" s="15"/>
      <c r="G118" s="64"/>
      <c r="H118" s="17" t="str">
        <f t="shared" si="15"/>
        <v/>
      </c>
      <c r="I118" s="18"/>
      <c r="J118" s="62"/>
      <c r="K118" s="62"/>
      <c r="L118" s="400" t="str">
        <f t="shared" si="13"/>
        <v/>
      </c>
      <c r="M118" s="400" t="str">
        <f t="shared" si="14"/>
        <v/>
      </c>
    </row>
    <row r="119" spans="2:13" x14ac:dyDescent="0.25">
      <c r="B119" s="58"/>
      <c r="C119" s="65"/>
      <c r="D119" s="15"/>
      <c r="E119" s="15"/>
      <c r="F119" s="15"/>
      <c r="G119" s="64"/>
      <c r="H119" s="17"/>
      <c r="I119" s="18"/>
      <c r="J119" s="62"/>
      <c r="K119" s="62"/>
      <c r="L119" s="400" t="str">
        <f t="shared" si="13"/>
        <v/>
      </c>
      <c r="M119" s="400" t="str">
        <f t="shared" si="14"/>
        <v/>
      </c>
    </row>
    <row r="120" spans="2:13" x14ac:dyDescent="0.25">
      <c r="B120" s="58"/>
      <c r="C120" s="65"/>
      <c r="D120" s="15"/>
      <c r="E120" s="15"/>
      <c r="F120" s="15"/>
      <c r="G120" s="64"/>
      <c r="H120" s="17"/>
      <c r="I120" s="18"/>
      <c r="J120" s="62"/>
      <c r="K120" s="399"/>
      <c r="L120" s="400" t="str">
        <f t="shared" si="13"/>
        <v/>
      </c>
      <c r="M120" s="400" t="str">
        <f t="shared" si="14"/>
        <v/>
      </c>
    </row>
    <row r="121" spans="2:13" x14ac:dyDescent="0.25">
      <c r="B121" s="58"/>
      <c r="C121" s="65"/>
      <c r="D121" s="15"/>
      <c r="E121" s="15"/>
      <c r="F121" s="15"/>
      <c r="G121" s="64"/>
      <c r="H121" s="17"/>
      <c r="I121" s="18"/>
      <c r="J121" s="62"/>
      <c r="K121" s="399"/>
      <c r="L121" s="400" t="str">
        <f t="shared" si="13"/>
        <v/>
      </c>
      <c r="M121" s="400" t="str">
        <f t="shared" si="14"/>
        <v/>
      </c>
    </row>
    <row r="122" spans="2:13" x14ac:dyDescent="0.25">
      <c r="B122" s="58"/>
      <c r="C122" s="65"/>
      <c r="D122" s="15"/>
      <c r="E122" s="15"/>
      <c r="F122" s="15"/>
      <c r="G122" s="64"/>
      <c r="H122" s="17"/>
      <c r="I122" s="18"/>
      <c r="J122" s="62"/>
      <c r="K122" s="399"/>
      <c r="L122" s="400" t="str">
        <f t="shared" si="13"/>
        <v/>
      </c>
      <c r="M122" s="400" t="str">
        <f t="shared" si="14"/>
        <v/>
      </c>
    </row>
    <row r="123" spans="2:13" x14ac:dyDescent="0.25">
      <c r="B123" s="58"/>
      <c r="C123" s="65"/>
      <c r="D123" s="15"/>
      <c r="E123" s="15"/>
      <c r="F123" s="15"/>
      <c r="G123" s="64"/>
      <c r="H123" s="17" t="str">
        <f>IF(D123="","",F123*G123)</f>
        <v/>
      </c>
      <c r="I123" s="18"/>
      <c r="J123" s="711"/>
      <c r="K123" s="399" t="str">
        <f>IF(D119="","",ROUND(Labour_perc_structures*H119,1))</f>
        <v/>
      </c>
      <c r="L123" s="400" t="str">
        <f t="shared" si="13"/>
        <v/>
      </c>
      <c r="M123" s="400" t="str">
        <f t="shared" si="14"/>
        <v/>
      </c>
    </row>
    <row r="124" spans="2:13" s="28" customFormat="1" ht="19.5" customHeight="1" x14ac:dyDescent="0.25">
      <c r="B124" s="135" t="str">
        <f>$B$12</f>
        <v>C13.4</v>
      </c>
      <c r="C124" s="30" t="s">
        <v>12</v>
      </c>
      <c r="D124" s="31"/>
      <c r="E124" s="31"/>
      <c r="F124" s="32"/>
      <c r="G124" s="31"/>
      <c r="H124" s="33">
        <f>SUM(H74:H123)</f>
        <v>3011600</v>
      </c>
      <c r="I124" s="34"/>
      <c r="J124" s="600"/>
      <c r="K124" s="601"/>
      <c r="L124" s="406">
        <f>SUM(L74:L123)</f>
        <v>105563.8</v>
      </c>
      <c r="M124" s="410" t="str">
        <f t="shared" si="14"/>
        <v/>
      </c>
    </row>
    <row r="125" spans="2:13" ht="13" x14ac:dyDescent="0.25">
      <c r="B125" s="1108" t="str">
        <f>Client1</f>
        <v>Province of KwaZulu-Natal</v>
      </c>
      <c r="C125" s="1108"/>
      <c r="D125" s="1108"/>
      <c r="E125" s="87"/>
      <c r="F125" s="1109" t="str">
        <f>"Contract No. "&amp;ContractNo</f>
        <v>Contract No. ZNB 00399/00000/HOD/INF/21/T</v>
      </c>
      <c r="G125" s="1109"/>
      <c r="H125" s="1109"/>
    </row>
    <row r="126" spans="2:13" ht="13" x14ac:dyDescent="0.25">
      <c r="B126" s="1108" t="str">
        <f>Client2</f>
        <v>Department of Transport</v>
      </c>
      <c r="C126" s="1108"/>
      <c r="D126" s="1108"/>
      <c r="E126" s="87"/>
      <c r="F126" s="1109"/>
      <c r="G126" s="1109"/>
      <c r="H126" s="1109"/>
    </row>
    <row r="127" spans="2:13" x14ac:dyDescent="0.25">
      <c r="B127" s="1111"/>
      <c r="C127" s="1111"/>
      <c r="D127" s="1111"/>
      <c r="E127" s="78"/>
      <c r="F127" s="1110"/>
      <c r="G127" s="1110"/>
      <c r="H127" s="1110"/>
    </row>
    <row r="128" spans="2:13" ht="13" x14ac:dyDescent="0.25">
      <c r="B128" s="1112" t="s">
        <v>1773</v>
      </c>
      <c r="C128" s="1113"/>
      <c r="D128" s="1113"/>
      <c r="E128" s="1113"/>
      <c r="F128" s="1113"/>
      <c r="G128" s="1113"/>
      <c r="H128" s="1125" t="str">
        <f>$H$6</f>
        <v>CHAPTER C13.4</v>
      </c>
      <c r="I128" s="6"/>
    </row>
    <row r="129" spans="2:13" ht="29.25" customHeight="1" x14ac:dyDescent="0.25">
      <c r="B129" s="1117" t="str">
        <f>ContractDescription</f>
        <v>THE CONSTRUCTION OF EARTHWORKS, LAYERWORKS, SURFACING, CULVERTS AND CWAKA RIVER BRIDGE FROM KM 11.600 TO KM 14.000 ON MAIN ROAD P494 IN THE KING CETSHWAYO DISTRICT UNDER EMPANGENI REGION</v>
      </c>
      <c r="C129" s="1148"/>
      <c r="D129" s="1148"/>
      <c r="E129" s="1148"/>
      <c r="F129" s="1148"/>
      <c r="G129" s="1148"/>
      <c r="H129" s="1126"/>
      <c r="I129" s="8"/>
    </row>
    <row r="130" spans="2:13" ht="22.5" customHeight="1" x14ac:dyDescent="0.25">
      <c r="B130" s="1149" t="s">
        <v>1775</v>
      </c>
      <c r="C130" s="1150"/>
      <c r="D130" s="1150"/>
      <c r="E130" s="1150"/>
      <c r="F130" s="1150"/>
      <c r="G130" s="1150"/>
      <c r="H130" s="1126"/>
      <c r="I130" s="8"/>
    </row>
    <row r="131" spans="2:13" ht="13" x14ac:dyDescent="0.25">
      <c r="B131" s="611"/>
      <c r="C131" s="612"/>
      <c r="D131" s="612"/>
      <c r="E131" s="612"/>
      <c r="F131" s="612"/>
      <c r="G131" s="612"/>
      <c r="H131" s="1127"/>
      <c r="I131" s="8"/>
    </row>
    <row r="132" spans="2:13" s="9" customFormat="1" ht="25" customHeight="1" x14ac:dyDescent="0.25">
      <c r="B132" s="74" t="s">
        <v>0</v>
      </c>
      <c r="C132" s="11" t="s">
        <v>1</v>
      </c>
      <c r="D132" s="11" t="s">
        <v>2</v>
      </c>
      <c r="E132" s="11"/>
      <c r="F132" s="11" t="s">
        <v>3</v>
      </c>
      <c r="G132" s="11" t="s">
        <v>4</v>
      </c>
      <c r="H132" s="11" t="s">
        <v>5</v>
      </c>
      <c r="I132" s="12"/>
      <c r="J132" s="408" t="s">
        <v>996</v>
      </c>
      <c r="K132" s="253" t="s">
        <v>997</v>
      </c>
      <c r="L132" s="253" t="s">
        <v>998</v>
      </c>
      <c r="M132" s="253" t="s">
        <v>999</v>
      </c>
    </row>
    <row r="133" spans="2:13" s="28" customFormat="1" ht="19.5" customHeight="1" x14ac:dyDescent="0.25">
      <c r="B133" s="80"/>
      <c r="C133" s="30" t="s">
        <v>27</v>
      </c>
      <c r="D133" s="31"/>
      <c r="E133" s="31"/>
      <c r="F133" s="32"/>
      <c r="G133" s="31"/>
      <c r="H133" s="33">
        <f>H124</f>
        <v>3011600</v>
      </c>
      <c r="I133" s="34"/>
      <c r="J133" s="602"/>
      <c r="K133" s="409" t="str">
        <f t="shared" ref="K133" si="16">IF(D133="","",ROUND(Labour_perc_structures*H133,1))</f>
        <v/>
      </c>
      <c r="L133" s="604">
        <f>L124</f>
        <v>105563.8</v>
      </c>
      <c r="M133" s="603" t="str">
        <f t="shared" ref="M133" si="17">IF(F133="","",G133*L133)</f>
        <v/>
      </c>
    </row>
    <row r="134" spans="2:13" x14ac:dyDescent="0.25">
      <c r="B134" s="58"/>
      <c r="C134" s="65"/>
      <c r="D134" s="15"/>
      <c r="E134" s="15"/>
      <c r="F134" s="15"/>
      <c r="G134" s="64"/>
      <c r="H134" s="17"/>
      <c r="I134" s="18"/>
      <c r="J134" s="62"/>
      <c r="K134" s="399"/>
      <c r="L134" s="400" t="str">
        <f t="shared" ref="L134:L184" si="18">IF(D134="","",F134*K134)</f>
        <v/>
      </c>
      <c r="M134" s="401" t="str">
        <f t="shared" ref="M134:M185" si="19">IF(J134="","",IF(SUM(H134)=0,"",L134/H134))</f>
        <v/>
      </c>
    </row>
    <row r="135" spans="2:13" x14ac:dyDescent="0.25">
      <c r="B135" s="58"/>
      <c r="C135" s="65"/>
      <c r="D135" s="15"/>
      <c r="E135" s="15"/>
      <c r="F135" s="15"/>
      <c r="G135" s="64"/>
      <c r="H135" s="17" t="str">
        <f t="shared" ref="H135:H169" si="20">IF(D135="","",F135*G135)</f>
        <v/>
      </c>
      <c r="I135" s="18"/>
      <c r="J135" s="62"/>
      <c r="K135" s="399"/>
      <c r="L135" s="400" t="str">
        <f t="shared" si="18"/>
        <v/>
      </c>
      <c r="M135" s="401" t="str">
        <f t="shared" si="19"/>
        <v/>
      </c>
    </row>
    <row r="136" spans="2:13" x14ac:dyDescent="0.25">
      <c r="B136" s="58"/>
      <c r="C136" s="65"/>
      <c r="D136" s="15"/>
      <c r="E136" s="15"/>
      <c r="F136" s="15"/>
      <c r="G136" s="64"/>
      <c r="H136" s="17" t="str">
        <f t="shared" si="20"/>
        <v/>
      </c>
      <c r="I136" s="18"/>
      <c r="J136" s="62"/>
      <c r="K136" s="399"/>
      <c r="L136" s="400" t="str">
        <f t="shared" si="18"/>
        <v/>
      </c>
      <c r="M136" s="401" t="str">
        <f t="shared" si="19"/>
        <v/>
      </c>
    </row>
    <row r="137" spans="2:13" x14ac:dyDescent="0.25">
      <c r="B137" s="58"/>
      <c r="C137" s="65"/>
      <c r="D137" s="15"/>
      <c r="E137" s="15"/>
      <c r="F137" s="15"/>
      <c r="G137" s="64"/>
      <c r="H137" s="17" t="str">
        <f t="shared" si="20"/>
        <v/>
      </c>
      <c r="I137" s="18"/>
      <c r="J137" s="62"/>
      <c r="K137" s="399"/>
      <c r="L137" s="400" t="str">
        <f t="shared" si="18"/>
        <v/>
      </c>
      <c r="M137" s="401" t="str">
        <f t="shared" si="19"/>
        <v/>
      </c>
    </row>
    <row r="138" spans="2:13" x14ac:dyDescent="0.25">
      <c r="B138" s="58"/>
      <c r="C138" s="65"/>
      <c r="D138" s="15"/>
      <c r="E138" s="15"/>
      <c r="F138" s="15"/>
      <c r="G138" s="64"/>
      <c r="H138" s="17" t="str">
        <f t="shared" si="20"/>
        <v/>
      </c>
      <c r="I138" s="18"/>
      <c r="J138" s="62"/>
      <c r="K138" s="399"/>
      <c r="L138" s="400" t="str">
        <f t="shared" si="18"/>
        <v/>
      </c>
      <c r="M138" s="401" t="str">
        <f t="shared" si="19"/>
        <v/>
      </c>
    </row>
    <row r="139" spans="2:13" x14ac:dyDescent="0.25">
      <c r="B139" s="58"/>
      <c r="C139" s="65"/>
      <c r="D139" s="15"/>
      <c r="E139" s="15"/>
      <c r="F139" s="15"/>
      <c r="G139" s="64"/>
      <c r="H139" s="17" t="str">
        <f t="shared" si="20"/>
        <v/>
      </c>
      <c r="I139" s="18"/>
      <c r="J139" s="62"/>
      <c r="K139" s="399"/>
      <c r="L139" s="400" t="str">
        <f t="shared" si="18"/>
        <v/>
      </c>
      <c r="M139" s="401" t="str">
        <f t="shared" si="19"/>
        <v/>
      </c>
    </row>
    <row r="140" spans="2:13" x14ac:dyDescent="0.25">
      <c r="B140" s="58"/>
      <c r="C140" s="65"/>
      <c r="D140" s="15"/>
      <c r="E140" s="15"/>
      <c r="F140" s="15"/>
      <c r="G140" s="64"/>
      <c r="H140" s="17" t="str">
        <f t="shared" si="20"/>
        <v/>
      </c>
      <c r="I140" s="18"/>
      <c r="J140" s="62"/>
      <c r="K140" s="399"/>
      <c r="L140" s="400" t="str">
        <f t="shared" si="18"/>
        <v/>
      </c>
      <c r="M140" s="401" t="str">
        <f t="shared" si="19"/>
        <v/>
      </c>
    </row>
    <row r="141" spans="2:13" x14ac:dyDescent="0.25">
      <c r="B141" s="58"/>
      <c r="C141" s="787"/>
      <c r="D141" s="15"/>
      <c r="E141" s="15"/>
      <c r="F141" s="15"/>
      <c r="G141" s="64"/>
      <c r="H141" s="17" t="str">
        <f t="shared" si="20"/>
        <v/>
      </c>
      <c r="I141" s="18"/>
      <c r="J141" s="62"/>
      <c r="K141" s="402"/>
      <c r="L141" s="400" t="str">
        <f t="shared" si="18"/>
        <v/>
      </c>
      <c r="M141" s="401" t="str">
        <f t="shared" si="19"/>
        <v/>
      </c>
    </row>
    <row r="142" spans="2:13" x14ac:dyDescent="0.25">
      <c r="B142" s="58"/>
      <c r="C142" s="65"/>
      <c r="D142" s="15"/>
      <c r="E142" s="15"/>
      <c r="F142" s="15"/>
      <c r="G142" s="64"/>
      <c r="H142" s="17" t="str">
        <f t="shared" si="20"/>
        <v/>
      </c>
      <c r="I142" s="18"/>
      <c r="J142" s="62"/>
      <c r="K142" s="399"/>
      <c r="L142" s="400" t="str">
        <f t="shared" si="18"/>
        <v/>
      </c>
      <c r="M142" s="401" t="str">
        <f t="shared" si="19"/>
        <v/>
      </c>
    </row>
    <row r="143" spans="2:13" x14ac:dyDescent="0.25">
      <c r="B143" s="58"/>
      <c r="C143" s="65"/>
      <c r="D143" s="15"/>
      <c r="E143" s="15"/>
      <c r="F143" s="15"/>
      <c r="G143" s="64"/>
      <c r="H143" s="17" t="str">
        <f t="shared" si="20"/>
        <v/>
      </c>
      <c r="I143" s="18"/>
      <c r="J143" s="62"/>
      <c r="K143" s="399"/>
      <c r="L143" s="400" t="str">
        <f t="shared" si="18"/>
        <v/>
      </c>
      <c r="M143" s="401" t="str">
        <f t="shared" si="19"/>
        <v/>
      </c>
    </row>
    <row r="144" spans="2:13" x14ac:dyDescent="0.25">
      <c r="B144" s="58"/>
      <c r="C144" s="65"/>
      <c r="D144" s="15"/>
      <c r="E144" s="15"/>
      <c r="F144" s="15"/>
      <c r="G144" s="64"/>
      <c r="H144" s="17" t="str">
        <f t="shared" si="20"/>
        <v/>
      </c>
      <c r="I144" s="18"/>
      <c r="J144" s="62"/>
      <c r="K144" s="399"/>
      <c r="L144" s="400" t="str">
        <f t="shared" si="18"/>
        <v/>
      </c>
      <c r="M144" s="401" t="str">
        <f t="shared" si="19"/>
        <v/>
      </c>
    </row>
    <row r="145" spans="2:13" x14ac:dyDescent="0.25">
      <c r="B145" s="58"/>
      <c r="C145" s="65"/>
      <c r="D145" s="15"/>
      <c r="E145" s="15"/>
      <c r="F145" s="15"/>
      <c r="G145" s="64"/>
      <c r="H145" s="17" t="str">
        <f t="shared" si="20"/>
        <v/>
      </c>
      <c r="I145" s="18"/>
      <c r="J145" s="62"/>
      <c r="K145" s="399"/>
      <c r="L145" s="400" t="str">
        <f t="shared" si="18"/>
        <v/>
      </c>
      <c r="M145" s="401" t="str">
        <f t="shared" si="19"/>
        <v/>
      </c>
    </row>
    <row r="146" spans="2:13" x14ac:dyDescent="0.25">
      <c r="B146" s="58"/>
      <c r="C146" s="65"/>
      <c r="D146" s="15"/>
      <c r="E146" s="15"/>
      <c r="F146" s="15"/>
      <c r="G146" s="64"/>
      <c r="H146" s="17" t="str">
        <f t="shared" si="20"/>
        <v/>
      </c>
      <c r="I146" s="18"/>
      <c r="J146" s="62"/>
      <c r="K146" s="399"/>
      <c r="L146" s="400" t="str">
        <f t="shared" si="18"/>
        <v/>
      </c>
      <c r="M146" s="401" t="str">
        <f t="shared" si="19"/>
        <v/>
      </c>
    </row>
    <row r="147" spans="2:13" x14ac:dyDescent="0.25">
      <c r="B147" s="58"/>
      <c r="C147" s="65"/>
      <c r="D147" s="15"/>
      <c r="E147" s="15"/>
      <c r="F147" s="15"/>
      <c r="G147" s="64"/>
      <c r="H147" s="17" t="str">
        <f t="shared" si="20"/>
        <v/>
      </c>
      <c r="I147" s="18"/>
      <c r="J147" s="62"/>
      <c r="K147" s="399"/>
      <c r="L147" s="400" t="str">
        <f t="shared" si="18"/>
        <v/>
      </c>
      <c r="M147" s="401" t="str">
        <f t="shared" si="19"/>
        <v/>
      </c>
    </row>
    <row r="148" spans="2:13" x14ac:dyDescent="0.25">
      <c r="B148" s="58"/>
      <c r="C148" s="65"/>
      <c r="D148" s="15"/>
      <c r="E148" s="15"/>
      <c r="F148" s="15"/>
      <c r="G148" s="64"/>
      <c r="H148" s="17" t="str">
        <f t="shared" si="20"/>
        <v/>
      </c>
      <c r="I148" s="18"/>
      <c r="J148" s="62"/>
      <c r="K148" s="399"/>
      <c r="L148" s="400" t="str">
        <f t="shared" si="18"/>
        <v/>
      </c>
      <c r="M148" s="401" t="str">
        <f t="shared" si="19"/>
        <v/>
      </c>
    </row>
    <row r="149" spans="2:13" x14ac:dyDescent="0.25">
      <c r="B149" s="58"/>
      <c r="C149" s="65"/>
      <c r="D149" s="15"/>
      <c r="E149" s="15"/>
      <c r="F149" s="15"/>
      <c r="G149" s="64"/>
      <c r="H149" s="17" t="str">
        <f t="shared" si="20"/>
        <v/>
      </c>
      <c r="I149" s="18"/>
      <c r="J149" s="62"/>
      <c r="K149" s="399"/>
      <c r="L149" s="400" t="str">
        <f t="shared" si="18"/>
        <v/>
      </c>
      <c r="M149" s="401" t="str">
        <f t="shared" si="19"/>
        <v/>
      </c>
    </row>
    <row r="150" spans="2:13" x14ac:dyDescent="0.25">
      <c r="B150" s="58"/>
      <c r="C150" s="65"/>
      <c r="D150" s="15"/>
      <c r="E150" s="15"/>
      <c r="F150" s="15"/>
      <c r="G150" s="64"/>
      <c r="H150" s="17" t="str">
        <f t="shared" si="20"/>
        <v/>
      </c>
      <c r="I150" s="18"/>
      <c r="J150" s="62"/>
      <c r="K150" s="399"/>
      <c r="L150" s="400" t="str">
        <f t="shared" si="18"/>
        <v/>
      </c>
      <c r="M150" s="401" t="str">
        <f t="shared" si="19"/>
        <v/>
      </c>
    </row>
    <row r="151" spans="2:13" x14ac:dyDescent="0.25">
      <c r="B151" s="594"/>
      <c r="C151" s="387"/>
      <c r="D151" s="587"/>
      <c r="E151" s="587"/>
      <c r="F151" s="103"/>
      <c r="G151" s="722"/>
      <c r="H151" s="112" t="str">
        <f t="shared" si="20"/>
        <v/>
      </c>
      <c r="I151" s="18"/>
      <c r="J151" s="62"/>
      <c r="K151" s="399"/>
      <c r="L151" s="400" t="str">
        <f t="shared" si="18"/>
        <v/>
      </c>
      <c r="M151" s="401" t="str">
        <f t="shared" si="19"/>
        <v/>
      </c>
    </row>
    <row r="152" spans="2:13" x14ac:dyDescent="0.25">
      <c r="B152" s="58"/>
      <c r="C152" s="65"/>
      <c r="D152" s="15"/>
      <c r="E152" s="15"/>
      <c r="F152" s="15"/>
      <c r="G152" s="64"/>
      <c r="H152" s="17" t="str">
        <f t="shared" si="20"/>
        <v/>
      </c>
      <c r="I152" s="18"/>
      <c r="J152" s="62"/>
      <c r="K152" s="399"/>
      <c r="L152" s="400" t="str">
        <f t="shared" si="18"/>
        <v/>
      </c>
      <c r="M152" s="401" t="str">
        <f t="shared" si="19"/>
        <v/>
      </c>
    </row>
    <row r="153" spans="2:13" x14ac:dyDescent="0.25">
      <c r="B153" s="594"/>
      <c r="C153" s="387"/>
      <c r="D153" s="587"/>
      <c r="E153" s="587"/>
      <c r="F153" s="103"/>
      <c r="G153" s="722"/>
      <c r="H153" s="112" t="str">
        <f t="shared" ref="H153" si="21">IF(D153="","",F153*G153)</f>
        <v/>
      </c>
      <c r="I153" s="18"/>
      <c r="J153" s="62"/>
      <c r="K153" s="399"/>
      <c r="L153" s="400" t="str">
        <f t="shared" si="18"/>
        <v/>
      </c>
      <c r="M153" s="401" t="str">
        <f t="shared" si="19"/>
        <v/>
      </c>
    </row>
    <row r="154" spans="2:13" x14ac:dyDescent="0.25">
      <c r="B154" s="58"/>
      <c r="C154" s="65"/>
      <c r="D154" s="15"/>
      <c r="E154" s="15"/>
      <c r="F154" s="15"/>
      <c r="G154" s="64"/>
      <c r="H154" s="17" t="str">
        <f t="shared" si="20"/>
        <v/>
      </c>
      <c r="I154" s="18"/>
      <c r="J154" s="62"/>
      <c r="K154" s="399"/>
      <c r="L154" s="400" t="str">
        <f t="shared" si="18"/>
        <v/>
      </c>
      <c r="M154" s="401" t="str">
        <f t="shared" si="19"/>
        <v/>
      </c>
    </row>
    <row r="155" spans="2:13" x14ac:dyDescent="0.25">
      <c r="B155" s="58"/>
      <c r="C155" s="65"/>
      <c r="D155" s="15"/>
      <c r="E155" s="15"/>
      <c r="F155" s="15"/>
      <c r="G155" s="64"/>
      <c r="H155" s="17" t="str">
        <f t="shared" si="20"/>
        <v/>
      </c>
      <c r="I155" s="18"/>
      <c r="J155" s="62"/>
      <c r="K155" s="399"/>
      <c r="L155" s="400" t="str">
        <f t="shared" si="18"/>
        <v/>
      </c>
      <c r="M155" s="401" t="str">
        <f t="shared" si="19"/>
        <v/>
      </c>
    </row>
    <row r="156" spans="2:13" x14ac:dyDescent="0.25">
      <c r="B156" s="58"/>
      <c r="C156" s="65"/>
      <c r="D156" s="15"/>
      <c r="E156" s="15"/>
      <c r="F156" s="15"/>
      <c r="G156" s="64"/>
      <c r="H156" s="17" t="str">
        <f t="shared" si="20"/>
        <v/>
      </c>
      <c r="I156" s="18"/>
      <c r="J156" s="62"/>
      <c r="K156" s="399"/>
      <c r="L156" s="400" t="str">
        <f t="shared" si="18"/>
        <v/>
      </c>
      <c r="M156" s="401" t="str">
        <f t="shared" si="19"/>
        <v/>
      </c>
    </row>
    <row r="157" spans="2:13" x14ac:dyDescent="0.25">
      <c r="B157" s="58"/>
      <c r="C157" s="65"/>
      <c r="D157" s="15"/>
      <c r="E157" s="15"/>
      <c r="F157" s="15"/>
      <c r="G157" s="64"/>
      <c r="H157" s="17" t="str">
        <f t="shared" si="20"/>
        <v/>
      </c>
      <c r="I157" s="18"/>
      <c r="J157" s="62"/>
      <c r="K157" s="399"/>
      <c r="L157" s="400" t="str">
        <f t="shared" si="18"/>
        <v/>
      </c>
      <c r="M157" s="401" t="str">
        <f t="shared" si="19"/>
        <v/>
      </c>
    </row>
    <row r="158" spans="2:13" x14ac:dyDescent="0.25">
      <c r="B158" s="58"/>
      <c r="C158" s="65"/>
      <c r="D158" s="15"/>
      <c r="E158" s="15"/>
      <c r="F158" s="15"/>
      <c r="G158" s="64"/>
      <c r="H158" s="17" t="str">
        <f t="shared" si="20"/>
        <v/>
      </c>
      <c r="I158" s="18"/>
      <c r="J158" s="62"/>
      <c r="K158" s="399"/>
      <c r="L158" s="400" t="str">
        <f t="shared" si="18"/>
        <v/>
      </c>
      <c r="M158" s="401" t="str">
        <f t="shared" si="19"/>
        <v/>
      </c>
    </row>
    <row r="159" spans="2:13" x14ac:dyDescent="0.25">
      <c r="B159" s="58"/>
      <c r="C159" s="65"/>
      <c r="D159" s="15"/>
      <c r="E159" s="15"/>
      <c r="F159" s="15"/>
      <c r="G159" s="64"/>
      <c r="H159" s="17" t="str">
        <f t="shared" si="20"/>
        <v/>
      </c>
      <c r="I159" s="18"/>
      <c r="J159" s="62"/>
      <c r="K159" s="399"/>
      <c r="L159" s="400" t="str">
        <f t="shared" si="18"/>
        <v/>
      </c>
      <c r="M159" s="401" t="str">
        <f t="shared" si="19"/>
        <v/>
      </c>
    </row>
    <row r="160" spans="2:13" x14ac:dyDescent="0.25">
      <c r="B160" s="58"/>
      <c r="C160" s="65"/>
      <c r="D160" s="15"/>
      <c r="E160" s="15"/>
      <c r="F160" s="15"/>
      <c r="G160" s="64"/>
      <c r="H160" s="17" t="str">
        <f t="shared" si="20"/>
        <v/>
      </c>
      <c r="I160" s="18"/>
      <c r="J160" s="62"/>
      <c r="K160" s="399"/>
      <c r="L160" s="400" t="str">
        <f t="shared" si="18"/>
        <v/>
      </c>
      <c r="M160" s="401" t="str">
        <f t="shared" si="19"/>
        <v/>
      </c>
    </row>
    <row r="161" spans="2:13" x14ac:dyDescent="0.25">
      <c r="B161" s="58"/>
      <c r="C161" s="65"/>
      <c r="D161" s="15"/>
      <c r="E161" s="15"/>
      <c r="F161" s="15"/>
      <c r="G161" s="64"/>
      <c r="H161" s="17" t="str">
        <f t="shared" si="20"/>
        <v/>
      </c>
      <c r="I161" s="18"/>
      <c r="J161" s="62"/>
      <c r="K161" s="399"/>
      <c r="L161" s="400" t="str">
        <f t="shared" si="18"/>
        <v/>
      </c>
      <c r="M161" s="401" t="str">
        <f t="shared" si="19"/>
        <v/>
      </c>
    </row>
    <row r="162" spans="2:13" x14ac:dyDescent="0.25">
      <c r="B162" s="58"/>
      <c r="C162" s="65"/>
      <c r="D162" s="15"/>
      <c r="E162" s="15"/>
      <c r="F162" s="15"/>
      <c r="G162" s="64"/>
      <c r="H162" s="17" t="str">
        <f t="shared" si="20"/>
        <v/>
      </c>
      <c r="I162" s="18"/>
      <c r="J162" s="62"/>
      <c r="K162" s="399"/>
      <c r="L162" s="400" t="str">
        <f t="shared" si="18"/>
        <v/>
      </c>
      <c r="M162" s="401" t="str">
        <f t="shared" si="19"/>
        <v/>
      </c>
    </row>
    <row r="163" spans="2:13" x14ac:dyDescent="0.25">
      <c r="B163" s="58"/>
      <c r="C163" s="65"/>
      <c r="D163" s="15"/>
      <c r="E163" s="15"/>
      <c r="F163" s="15"/>
      <c r="G163" s="64"/>
      <c r="H163" s="17" t="str">
        <f t="shared" si="20"/>
        <v/>
      </c>
      <c r="I163" s="18"/>
      <c r="J163" s="62"/>
      <c r="K163" s="399"/>
      <c r="L163" s="400" t="str">
        <f t="shared" si="18"/>
        <v/>
      </c>
      <c r="M163" s="401" t="str">
        <f t="shared" si="19"/>
        <v/>
      </c>
    </row>
    <row r="164" spans="2:13" x14ac:dyDescent="0.25">
      <c r="B164" s="58"/>
      <c r="C164" s="65"/>
      <c r="D164" s="15"/>
      <c r="E164" s="15"/>
      <c r="F164" s="15"/>
      <c r="G164" s="64"/>
      <c r="H164" s="17" t="str">
        <f t="shared" si="20"/>
        <v/>
      </c>
      <c r="I164" s="18"/>
      <c r="J164" s="62"/>
      <c r="K164" s="399"/>
      <c r="L164" s="400" t="str">
        <f t="shared" si="18"/>
        <v/>
      </c>
      <c r="M164" s="401" t="str">
        <f t="shared" si="19"/>
        <v/>
      </c>
    </row>
    <row r="165" spans="2:13" x14ac:dyDescent="0.25">
      <c r="B165" s="58"/>
      <c r="C165" s="65"/>
      <c r="D165" s="15"/>
      <c r="E165" s="15"/>
      <c r="F165" s="15"/>
      <c r="G165" s="64"/>
      <c r="H165" s="17" t="str">
        <f t="shared" si="20"/>
        <v/>
      </c>
      <c r="I165" s="18"/>
      <c r="J165" s="62"/>
      <c r="K165" s="399"/>
      <c r="L165" s="400" t="str">
        <f t="shared" si="18"/>
        <v/>
      </c>
      <c r="M165" s="401" t="str">
        <f t="shared" si="19"/>
        <v/>
      </c>
    </row>
    <row r="166" spans="2:13" x14ac:dyDescent="0.25">
      <c r="B166" s="58"/>
      <c r="C166" s="65"/>
      <c r="D166" s="15"/>
      <c r="E166" s="15"/>
      <c r="F166" s="15"/>
      <c r="G166" s="64"/>
      <c r="H166" s="17" t="str">
        <f t="shared" si="20"/>
        <v/>
      </c>
      <c r="I166" s="18"/>
      <c r="J166" s="62"/>
      <c r="K166" s="399"/>
      <c r="L166" s="400" t="str">
        <f t="shared" si="18"/>
        <v/>
      </c>
      <c r="M166" s="401" t="str">
        <f t="shared" si="19"/>
        <v/>
      </c>
    </row>
    <row r="167" spans="2:13" x14ac:dyDescent="0.25">
      <c r="B167" s="58"/>
      <c r="C167" s="65"/>
      <c r="D167" s="15"/>
      <c r="E167" s="15"/>
      <c r="F167" s="15"/>
      <c r="G167" s="64"/>
      <c r="H167" s="17" t="str">
        <f t="shared" si="20"/>
        <v/>
      </c>
      <c r="I167" s="18"/>
      <c r="J167" s="62"/>
      <c r="K167" s="399"/>
      <c r="L167" s="400" t="str">
        <f t="shared" si="18"/>
        <v/>
      </c>
      <c r="M167" s="401" t="str">
        <f t="shared" si="19"/>
        <v/>
      </c>
    </row>
    <row r="168" spans="2:13" x14ac:dyDescent="0.25">
      <c r="B168" s="58"/>
      <c r="C168" s="65"/>
      <c r="D168" s="15"/>
      <c r="E168" s="15"/>
      <c r="F168" s="15"/>
      <c r="G168" s="64"/>
      <c r="H168" s="17" t="str">
        <f t="shared" si="20"/>
        <v/>
      </c>
      <c r="I168" s="18"/>
      <c r="J168" s="62"/>
      <c r="K168" s="399"/>
      <c r="L168" s="400" t="str">
        <f t="shared" si="18"/>
        <v/>
      </c>
      <c r="M168" s="401" t="str">
        <f t="shared" si="19"/>
        <v/>
      </c>
    </row>
    <row r="169" spans="2:13" x14ac:dyDescent="0.25">
      <c r="B169" s="58"/>
      <c r="C169" s="65"/>
      <c r="D169" s="15"/>
      <c r="E169" s="15"/>
      <c r="F169" s="15"/>
      <c r="G169" s="64"/>
      <c r="H169" s="17" t="str">
        <f t="shared" si="20"/>
        <v/>
      </c>
      <c r="I169" s="18"/>
      <c r="J169" s="62"/>
      <c r="K169" s="399"/>
      <c r="L169" s="400" t="str">
        <f t="shared" si="18"/>
        <v/>
      </c>
      <c r="M169" s="401" t="str">
        <f t="shared" si="19"/>
        <v/>
      </c>
    </row>
    <row r="170" spans="2:13" x14ac:dyDescent="0.25">
      <c r="B170" s="58"/>
      <c r="C170" s="65"/>
      <c r="D170" s="15"/>
      <c r="E170" s="15"/>
      <c r="F170" s="15"/>
      <c r="G170" s="64"/>
      <c r="H170" s="17"/>
      <c r="I170" s="18"/>
      <c r="J170" s="62"/>
      <c r="K170" s="399"/>
      <c r="L170" s="400" t="str">
        <f t="shared" si="18"/>
        <v/>
      </c>
      <c r="M170" s="401" t="str">
        <f t="shared" si="19"/>
        <v/>
      </c>
    </row>
    <row r="171" spans="2:13" x14ac:dyDescent="0.25">
      <c r="B171" s="58"/>
      <c r="C171" s="65"/>
      <c r="D171" s="15"/>
      <c r="E171" s="15"/>
      <c r="F171" s="15"/>
      <c r="G171" s="64"/>
      <c r="H171" s="17"/>
      <c r="I171" s="18"/>
      <c r="J171" s="62"/>
      <c r="K171" s="399"/>
      <c r="L171" s="400" t="str">
        <f t="shared" si="18"/>
        <v/>
      </c>
      <c r="M171" s="401" t="str">
        <f t="shared" si="19"/>
        <v/>
      </c>
    </row>
    <row r="172" spans="2:13" x14ac:dyDescent="0.25">
      <c r="B172" s="58"/>
      <c r="C172" s="65"/>
      <c r="D172" s="15"/>
      <c r="E172" s="15"/>
      <c r="F172" s="15"/>
      <c r="G172" s="64"/>
      <c r="H172" s="17"/>
      <c r="I172" s="18"/>
      <c r="J172" s="62"/>
      <c r="K172" s="399"/>
      <c r="L172" s="400" t="str">
        <f t="shared" si="18"/>
        <v/>
      </c>
      <c r="M172" s="401" t="str">
        <f t="shared" si="19"/>
        <v/>
      </c>
    </row>
    <row r="173" spans="2:13" x14ac:dyDescent="0.25">
      <c r="B173" s="58"/>
      <c r="C173" s="65"/>
      <c r="D173" s="15"/>
      <c r="E173" s="15"/>
      <c r="F173" s="15"/>
      <c r="G173" s="64"/>
      <c r="H173" s="17"/>
      <c r="I173" s="18"/>
      <c r="J173" s="62"/>
      <c r="K173" s="399"/>
      <c r="L173" s="400" t="str">
        <f t="shared" si="18"/>
        <v/>
      </c>
      <c r="M173" s="401" t="str">
        <f t="shared" si="19"/>
        <v/>
      </c>
    </row>
    <row r="174" spans="2:13" x14ac:dyDescent="0.25">
      <c r="B174" s="58"/>
      <c r="C174" s="65"/>
      <c r="D174" s="15"/>
      <c r="E174" s="15"/>
      <c r="F174" s="15"/>
      <c r="G174" s="64"/>
      <c r="H174" s="17"/>
      <c r="I174" s="18"/>
      <c r="J174" s="62"/>
      <c r="K174" s="399"/>
      <c r="L174" s="400" t="str">
        <f t="shared" si="18"/>
        <v/>
      </c>
      <c r="M174" s="401" t="str">
        <f t="shared" si="19"/>
        <v/>
      </c>
    </row>
    <row r="175" spans="2:13" x14ac:dyDescent="0.25">
      <c r="B175" s="58"/>
      <c r="C175" s="65"/>
      <c r="D175" s="15"/>
      <c r="E175" s="15"/>
      <c r="F175" s="15"/>
      <c r="G175" s="64"/>
      <c r="H175" s="17"/>
      <c r="I175" s="18"/>
      <c r="J175" s="62"/>
      <c r="K175" s="399"/>
      <c r="L175" s="400" t="str">
        <f t="shared" si="18"/>
        <v/>
      </c>
      <c r="M175" s="401" t="str">
        <f t="shared" si="19"/>
        <v/>
      </c>
    </row>
    <row r="176" spans="2:13" x14ac:dyDescent="0.25">
      <c r="B176" s="58"/>
      <c r="C176" s="65"/>
      <c r="D176" s="15"/>
      <c r="E176" s="15"/>
      <c r="F176" s="15"/>
      <c r="G176" s="64"/>
      <c r="H176" s="17"/>
      <c r="I176" s="18"/>
      <c r="J176" s="62"/>
      <c r="K176" s="399"/>
      <c r="L176" s="400" t="str">
        <f t="shared" si="18"/>
        <v/>
      </c>
      <c r="M176" s="401" t="str">
        <f t="shared" si="19"/>
        <v/>
      </c>
    </row>
    <row r="177" spans="2:13" x14ac:dyDescent="0.25">
      <c r="B177" s="58"/>
      <c r="C177" s="65"/>
      <c r="D177" s="15"/>
      <c r="E177" s="15"/>
      <c r="F177" s="15"/>
      <c r="G177" s="64"/>
      <c r="H177" s="17"/>
      <c r="I177" s="18"/>
      <c r="J177" s="62"/>
      <c r="K177" s="399"/>
      <c r="L177" s="400" t="str">
        <f t="shared" si="18"/>
        <v/>
      </c>
      <c r="M177" s="401" t="str">
        <f t="shared" si="19"/>
        <v/>
      </c>
    </row>
    <row r="178" spans="2:13" x14ac:dyDescent="0.25">
      <c r="B178" s="58"/>
      <c r="C178" s="65"/>
      <c r="D178" s="15"/>
      <c r="E178" s="15"/>
      <c r="F178" s="15"/>
      <c r="G178" s="64"/>
      <c r="H178" s="17"/>
      <c r="I178" s="18"/>
      <c r="J178" s="62"/>
      <c r="K178" s="399"/>
      <c r="L178" s="400" t="str">
        <f t="shared" si="18"/>
        <v/>
      </c>
      <c r="M178" s="401" t="str">
        <f t="shared" si="19"/>
        <v/>
      </c>
    </row>
    <row r="179" spans="2:13" x14ac:dyDescent="0.25">
      <c r="B179" s="58"/>
      <c r="C179" s="65"/>
      <c r="D179" s="15"/>
      <c r="E179" s="15"/>
      <c r="F179" s="15"/>
      <c r="G179" s="64"/>
      <c r="H179" s="17"/>
      <c r="I179" s="18"/>
      <c r="J179" s="62"/>
      <c r="K179" s="399"/>
      <c r="L179" s="400" t="str">
        <f t="shared" si="18"/>
        <v/>
      </c>
      <c r="M179" s="401" t="str">
        <f t="shared" si="19"/>
        <v/>
      </c>
    </row>
    <row r="180" spans="2:13" x14ac:dyDescent="0.25">
      <c r="B180" s="58"/>
      <c r="C180" s="65"/>
      <c r="D180" s="15"/>
      <c r="E180" s="15"/>
      <c r="F180" s="15"/>
      <c r="G180" s="64"/>
      <c r="H180" s="17"/>
      <c r="I180" s="18"/>
      <c r="J180" s="62"/>
      <c r="K180" s="399"/>
      <c r="L180" s="400" t="str">
        <f t="shared" si="18"/>
        <v/>
      </c>
      <c r="M180" s="401" t="str">
        <f t="shared" si="19"/>
        <v/>
      </c>
    </row>
    <row r="181" spans="2:13" x14ac:dyDescent="0.25">
      <c r="B181" s="58"/>
      <c r="C181" s="65"/>
      <c r="D181" s="15"/>
      <c r="E181" s="15"/>
      <c r="F181" s="15"/>
      <c r="G181" s="64"/>
      <c r="H181" s="17"/>
      <c r="I181" s="18"/>
      <c r="J181" s="62"/>
      <c r="K181" s="399"/>
      <c r="L181" s="400" t="str">
        <f t="shared" si="18"/>
        <v/>
      </c>
      <c r="M181" s="401" t="str">
        <f t="shared" si="19"/>
        <v/>
      </c>
    </row>
    <row r="182" spans="2:13" x14ac:dyDescent="0.25">
      <c r="B182" s="58"/>
      <c r="C182" s="65"/>
      <c r="D182" s="15"/>
      <c r="E182" s="15"/>
      <c r="F182" s="15"/>
      <c r="G182" s="64"/>
      <c r="H182" s="17"/>
      <c r="I182" s="18"/>
      <c r="J182" s="62"/>
      <c r="K182" s="399"/>
      <c r="L182" s="400" t="str">
        <f t="shared" si="18"/>
        <v/>
      </c>
      <c r="M182" s="401" t="str">
        <f t="shared" si="19"/>
        <v/>
      </c>
    </row>
    <row r="183" spans="2:13" x14ac:dyDescent="0.25">
      <c r="B183" s="58"/>
      <c r="C183" s="65"/>
      <c r="D183" s="15"/>
      <c r="E183" s="15"/>
      <c r="F183" s="15"/>
      <c r="G183" s="64"/>
      <c r="H183" s="17"/>
      <c r="I183" s="18"/>
      <c r="J183" s="62"/>
      <c r="K183" s="399"/>
      <c r="L183" s="400" t="str">
        <f t="shared" si="18"/>
        <v/>
      </c>
      <c r="M183" s="401" t="str">
        <f t="shared" si="19"/>
        <v/>
      </c>
    </row>
    <row r="184" spans="2:13" x14ac:dyDescent="0.25">
      <c r="B184" s="58"/>
      <c r="C184" s="65"/>
      <c r="D184" s="15"/>
      <c r="E184" s="15"/>
      <c r="F184" s="15"/>
      <c r="G184" s="64"/>
      <c r="H184" s="17"/>
      <c r="I184" s="18"/>
      <c r="J184" s="711"/>
      <c r="K184" s="399"/>
      <c r="L184" s="400" t="str">
        <f t="shared" si="18"/>
        <v/>
      </c>
      <c r="M184" s="401" t="str">
        <f t="shared" si="19"/>
        <v/>
      </c>
    </row>
    <row r="185" spans="2:13" s="28" customFormat="1" ht="24.75" customHeight="1" x14ac:dyDescent="0.25">
      <c r="B185" s="144" t="str">
        <f>$B$12</f>
        <v>C13.4</v>
      </c>
      <c r="C185" s="30" t="s">
        <v>791</v>
      </c>
      <c r="D185" s="31"/>
      <c r="E185" s="31"/>
      <c r="F185" s="32"/>
      <c r="G185" s="31"/>
      <c r="H185" s="33">
        <f>SUM(H133:H184)</f>
        <v>3011600</v>
      </c>
      <c r="I185" s="34"/>
      <c r="J185" s="600"/>
      <c r="K185" s="601"/>
      <c r="L185" s="406">
        <f>SUM(L133:L184)</f>
        <v>105563.8</v>
      </c>
      <c r="M185" s="410" t="str">
        <f t="shared" si="19"/>
        <v/>
      </c>
    </row>
  </sheetData>
  <mergeCells count="21">
    <mergeCell ref="F3:H3"/>
    <mergeCell ref="B6:G6"/>
    <mergeCell ref="H6:H9"/>
    <mergeCell ref="B66:D66"/>
    <mergeCell ref="F66:H68"/>
    <mergeCell ref="B67:D67"/>
    <mergeCell ref="B68:D68"/>
    <mergeCell ref="B7:G7"/>
    <mergeCell ref="B8:G8"/>
    <mergeCell ref="B128:G128"/>
    <mergeCell ref="H128:H131"/>
    <mergeCell ref="B69:G69"/>
    <mergeCell ref="H69:H72"/>
    <mergeCell ref="B125:D125"/>
    <mergeCell ref="F125:H127"/>
    <mergeCell ref="B126:D126"/>
    <mergeCell ref="B127:D127"/>
    <mergeCell ref="B70:G70"/>
    <mergeCell ref="B71:G71"/>
    <mergeCell ref="B129:G129"/>
    <mergeCell ref="B130:G130"/>
  </mergeCells>
  <conditionalFormatting sqref="G11:H65 G74:H124 G133:H185">
    <cfRule type="expression" dxfId="9" priority="1">
      <formula>_Show_Price=FALSE</formula>
    </cfRule>
  </conditionalFormatting>
  <dataValidations count="1">
    <dataValidation type="custom" allowBlank="1" showInputMessage="1" showErrorMessage="1" errorTitle="Invalid rate" error="A value with an invalid decimal part_x000a_was entered." sqref="G18:G34" xr:uid="{00000000-0002-0000-3600-000000000000}">
      <formula1>(G18)-TRUNC(G18,2)=0</formula1>
    </dataValidation>
  </dataValidations>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23">
    <tabColor rgb="FFFFFF00"/>
  </sheetPr>
  <dimension ref="A1:N75"/>
  <sheetViews>
    <sheetView view="pageBreakPreview" topLeftCell="A2" zoomScaleNormal="125" zoomScaleSheetLayoutView="100" zoomScalePageLayoutView="125" workbookViewId="0">
      <pane ySplit="1" topLeftCell="A3"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MAX(H2:H213)</f>
        <v>75000</v>
      </c>
      <c r="I1" s="247">
        <f>MAX(I2:I213)</f>
        <v>0</v>
      </c>
      <c r="J1" s="248"/>
      <c r="K1" s="249"/>
      <c r="L1" s="247">
        <f>MAX(L2:L213)</f>
        <v>4500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C13.6</v>
      </c>
      <c r="I6" s="6"/>
    </row>
    <row r="7" spans="1:14" ht="33"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48"/>
      <c r="H7" s="1122"/>
      <c r="I7" s="8"/>
    </row>
    <row r="8" spans="1:14" ht="23.25" customHeight="1" x14ac:dyDescent="0.25">
      <c r="B8" s="1149" t="s">
        <v>1775</v>
      </c>
      <c r="C8" s="1150"/>
      <c r="D8" s="1150"/>
      <c r="E8" s="1150"/>
      <c r="F8" s="1150"/>
      <c r="G8" s="1150"/>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73" si="0">IF(D11="","",F11*G11)</f>
        <v/>
      </c>
      <c r="I11" s="18"/>
      <c r="J11" s="61"/>
      <c r="K11" s="399"/>
      <c r="L11" s="420" t="str">
        <f t="shared" ref="L11" si="1">IF(J11="","",F11*K11)</f>
        <v/>
      </c>
      <c r="M11" s="401" t="str">
        <f>IF(J11="","",IF(SUM(H11)=0,"",L11/H11))</f>
        <v/>
      </c>
    </row>
    <row r="12" spans="1:14" ht="13" x14ac:dyDescent="0.25">
      <c r="B12" s="146" t="s">
        <v>335</v>
      </c>
      <c r="C12" s="672" t="s">
        <v>334</v>
      </c>
      <c r="D12" s="15"/>
      <c r="E12" s="15"/>
      <c r="F12" s="15"/>
      <c r="G12" s="411"/>
      <c r="H12" s="17" t="str">
        <f t="shared" si="0"/>
        <v/>
      </c>
      <c r="I12" s="18"/>
      <c r="J12" s="61"/>
      <c r="K12" s="399"/>
      <c r="L12" s="420" t="str">
        <f t="shared" ref="L12:L73" si="2">IF(J12="","",F12*K12)</f>
        <v/>
      </c>
      <c r="M12" s="401" t="str">
        <f t="shared" ref="M12:M73" si="3">IF(J12="","",IF(SUM(H12)=0,"",L12/H12))</f>
        <v/>
      </c>
    </row>
    <row r="13" spans="1:14" x14ac:dyDescent="0.25">
      <c r="B13" s="58"/>
      <c r="C13" s="65"/>
      <c r="D13" s="15"/>
      <c r="E13" s="15"/>
      <c r="F13" s="15"/>
      <c r="G13" s="411"/>
      <c r="H13" s="17" t="str">
        <f t="shared" si="0"/>
        <v/>
      </c>
      <c r="I13" s="18"/>
      <c r="J13" s="61"/>
      <c r="K13" s="399"/>
      <c r="L13" s="420" t="str">
        <f t="shared" si="2"/>
        <v/>
      </c>
      <c r="M13" s="401" t="str">
        <f t="shared" si="3"/>
        <v/>
      </c>
    </row>
    <row r="14" spans="1:14" ht="13" x14ac:dyDescent="0.25">
      <c r="B14" s="146" t="s">
        <v>339</v>
      </c>
      <c r="C14" s="672" t="s">
        <v>1837</v>
      </c>
      <c r="D14" s="15"/>
      <c r="E14" s="15"/>
      <c r="F14" s="24"/>
      <c r="G14" s="422"/>
      <c r="H14" s="17" t="str">
        <f t="shared" si="0"/>
        <v/>
      </c>
      <c r="I14" s="57"/>
      <c r="J14" s="61"/>
      <c r="K14" s="400"/>
      <c r="L14" s="420" t="str">
        <f t="shared" si="2"/>
        <v/>
      </c>
      <c r="M14" s="401" t="str">
        <f t="shared" si="3"/>
        <v/>
      </c>
    </row>
    <row r="15" spans="1:14" x14ac:dyDescent="0.25">
      <c r="B15" s="58"/>
      <c r="C15" s="65"/>
      <c r="D15" s="15"/>
      <c r="E15" s="15"/>
      <c r="F15" s="24"/>
      <c r="G15" s="411"/>
      <c r="H15" s="17" t="str">
        <f t="shared" si="0"/>
        <v/>
      </c>
      <c r="I15" s="18"/>
      <c r="J15" s="61"/>
      <c r="K15" s="399"/>
      <c r="L15" s="420" t="str">
        <f t="shared" si="2"/>
        <v/>
      </c>
      <c r="M15" s="401" t="str">
        <f t="shared" si="3"/>
        <v/>
      </c>
    </row>
    <row r="16" spans="1:14" ht="25" x14ac:dyDescent="0.25">
      <c r="B16" s="58" t="s">
        <v>39</v>
      </c>
      <c r="C16" s="65" t="s">
        <v>1699</v>
      </c>
      <c r="D16" s="15" t="s">
        <v>34</v>
      </c>
      <c r="E16" s="15" t="s">
        <v>996</v>
      </c>
      <c r="F16" s="24">
        <v>25</v>
      </c>
      <c r="G16" s="411">
        <v>3000</v>
      </c>
      <c r="H16" s="17">
        <f t="shared" si="0"/>
        <v>75000</v>
      </c>
      <c r="I16" s="18"/>
      <c r="J16" s="61" t="s">
        <v>996</v>
      </c>
      <c r="K16" s="399">
        <f>IF(D16="","",ROUND(6%*G16,1))</f>
        <v>180</v>
      </c>
      <c r="L16" s="420">
        <f t="shared" si="2"/>
        <v>4500</v>
      </c>
      <c r="M16" s="401">
        <f t="shared" si="3"/>
        <v>0.06</v>
      </c>
    </row>
    <row r="17" spans="2:13" ht="13" x14ac:dyDescent="0.25">
      <c r="B17" s="146"/>
      <c r="C17" s="65"/>
      <c r="D17" s="15"/>
      <c r="E17" s="15"/>
      <c r="F17" s="24"/>
      <c r="G17" s="703"/>
      <c r="H17" s="17" t="str">
        <f t="shared" si="0"/>
        <v/>
      </c>
      <c r="I17" s="57"/>
      <c r="J17" s="61"/>
      <c r="K17" s="399"/>
      <c r="L17" s="420" t="str">
        <f t="shared" si="2"/>
        <v/>
      </c>
      <c r="M17" s="401" t="str">
        <f t="shared" si="3"/>
        <v/>
      </c>
    </row>
    <row r="18" spans="2:13" x14ac:dyDescent="0.25">
      <c r="B18" s="58"/>
      <c r="C18" s="65"/>
      <c r="D18" s="15"/>
      <c r="E18" s="15"/>
      <c r="F18" s="24"/>
      <c r="G18" s="703"/>
      <c r="H18" s="17" t="str">
        <f t="shared" si="0"/>
        <v/>
      </c>
      <c r="I18" s="57"/>
      <c r="J18" s="61"/>
      <c r="K18" s="400"/>
      <c r="L18" s="420" t="str">
        <f t="shared" si="2"/>
        <v/>
      </c>
      <c r="M18" s="401" t="str">
        <f t="shared" si="3"/>
        <v/>
      </c>
    </row>
    <row r="19" spans="2:13" x14ac:dyDescent="0.25">
      <c r="B19" s="58"/>
      <c r="C19" s="65"/>
      <c r="D19" s="15"/>
      <c r="E19" s="15"/>
      <c r="F19" s="24"/>
      <c r="G19" s="703"/>
      <c r="H19" s="17" t="str">
        <f t="shared" si="0"/>
        <v/>
      </c>
      <c r="I19" s="57"/>
      <c r="J19" s="61"/>
      <c r="K19" s="399"/>
      <c r="L19" s="420" t="str">
        <f t="shared" si="2"/>
        <v/>
      </c>
      <c r="M19" s="401" t="str">
        <f t="shared" si="3"/>
        <v/>
      </c>
    </row>
    <row r="20" spans="2:13" x14ac:dyDescent="0.25">
      <c r="B20" s="58"/>
      <c r="C20" s="65"/>
      <c r="D20" s="15"/>
      <c r="E20" s="15"/>
      <c r="F20" s="24"/>
      <c r="G20" s="411"/>
      <c r="H20" s="17" t="str">
        <f t="shared" si="0"/>
        <v/>
      </c>
      <c r="I20" s="18"/>
      <c r="J20" s="61"/>
      <c r="K20" s="402"/>
      <c r="L20" s="420" t="str">
        <f t="shared" si="2"/>
        <v/>
      </c>
      <c r="M20" s="401" t="str">
        <f t="shared" si="3"/>
        <v/>
      </c>
    </row>
    <row r="21" spans="2:13" x14ac:dyDescent="0.25">
      <c r="B21" s="58"/>
      <c r="C21" s="65"/>
      <c r="D21" s="15"/>
      <c r="E21" s="15"/>
      <c r="F21" s="24"/>
      <c r="G21" s="423"/>
      <c r="H21" s="17" t="str">
        <f t="shared" si="0"/>
        <v/>
      </c>
      <c r="I21" s="18"/>
      <c r="J21" s="61"/>
      <c r="K21" s="402"/>
      <c r="L21" s="420" t="str">
        <f t="shared" si="2"/>
        <v/>
      </c>
      <c r="M21" s="401" t="str">
        <f t="shared" si="3"/>
        <v/>
      </c>
    </row>
    <row r="22" spans="2:13" x14ac:dyDescent="0.25">
      <c r="B22" s="58"/>
      <c r="C22" s="65"/>
      <c r="D22" s="15"/>
      <c r="E22" s="15"/>
      <c r="F22" s="24"/>
      <c r="G22" s="421"/>
      <c r="H22" s="17" t="str">
        <f t="shared" si="0"/>
        <v/>
      </c>
      <c r="I22" s="63"/>
      <c r="J22" s="61"/>
      <c r="K22" s="400"/>
      <c r="L22" s="420" t="str">
        <f t="shared" si="2"/>
        <v/>
      </c>
      <c r="M22" s="401" t="str">
        <f t="shared" si="3"/>
        <v/>
      </c>
    </row>
    <row r="23" spans="2:13" x14ac:dyDescent="0.25">
      <c r="B23" s="58"/>
      <c r="C23" s="784"/>
      <c r="D23" s="15"/>
      <c r="E23" s="15"/>
      <c r="F23" s="24"/>
      <c r="G23" s="421"/>
      <c r="H23" s="17" t="str">
        <f t="shared" si="0"/>
        <v/>
      </c>
      <c r="I23" s="63"/>
      <c r="J23" s="61"/>
      <c r="K23" s="402"/>
      <c r="L23" s="420" t="str">
        <f t="shared" si="2"/>
        <v/>
      </c>
      <c r="M23" s="401" t="str">
        <f t="shared" si="3"/>
        <v/>
      </c>
    </row>
    <row r="24" spans="2:13" x14ac:dyDescent="0.25">
      <c r="B24" s="58"/>
      <c r="C24" s="65"/>
      <c r="D24" s="15"/>
      <c r="E24" s="15"/>
      <c r="F24" s="24"/>
      <c r="G24" s="422"/>
      <c r="H24" s="17" t="str">
        <f t="shared" si="0"/>
        <v/>
      </c>
      <c r="I24" s="63"/>
      <c r="J24" s="61"/>
      <c r="K24" s="399"/>
      <c r="L24" s="420" t="str">
        <f t="shared" si="2"/>
        <v/>
      </c>
      <c r="M24" s="401" t="str">
        <f t="shared" si="3"/>
        <v/>
      </c>
    </row>
    <row r="25" spans="2:13" x14ac:dyDescent="0.25">
      <c r="B25" s="58"/>
      <c r="C25" s="65"/>
      <c r="D25" s="15"/>
      <c r="E25" s="15"/>
      <c r="F25" s="24"/>
      <c r="G25" s="421"/>
      <c r="H25" s="17" t="str">
        <f t="shared" si="0"/>
        <v/>
      </c>
      <c r="I25" s="63"/>
      <c r="J25" s="61"/>
      <c r="K25" s="399"/>
      <c r="L25" s="420" t="str">
        <f t="shared" si="2"/>
        <v/>
      </c>
      <c r="M25" s="401" t="str">
        <f t="shared" si="3"/>
        <v/>
      </c>
    </row>
    <row r="26" spans="2:13" x14ac:dyDescent="0.25">
      <c r="B26" s="58"/>
      <c r="C26" s="65"/>
      <c r="D26" s="15"/>
      <c r="E26" s="15"/>
      <c r="F26" s="24"/>
      <c r="G26" s="423"/>
      <c r="H26" s="17" t="str">
        <f t="shared" si="0"/>
        <v/>
      </c>
      <c r="I26" s="63"/>
      <c r="J26" s="61"/>
      <c r="K26" s="399"/>
      <c r="L26" s="420" t="str">
        <f t="shared" si="2"/>
        <v/>
      </c>
      <c r="M26" s="401" t="str">
        <f t="shared" si="3"/>
        <v/>
      </c>
    </row>
    <row r="27" spans="2:13" x14ac:dyDescent="0.25">
      <c r="B27" s="58"/>
      <c r="C27" s="65"/>
      <c r="D27" s="15"/>
      <c r="E27" s="15"/>
      <c r="F27" s="24"/>
      <c r="G27" s="421"/>
      <c r="H27" s="17" t="str">
        <f t="shared" si="0"/>
        <v/>
      </c>
      <c r="I27" s="63"/>
      <c r="J27" s="61"/>
      <c r="K27" s="399"/>
      <c r="L27" s="420" t="str">
        <f t="shared" si="2"/>
        <v/>
      </c>
      <c r="M27" s="401" t="str">
        <f t="shared" si="3"/>
        <v/>
      </c>
    </row>
    <row r="28" spans="2:13" x14ac:dyDescent="0.25">
      <c r="B28" s="58"/>
      <c r="C28" s="65"/>
      <c r="D28" s="15"/>
      <c r="E28" s="15"/>
      <c r="F28" s="24"/>
      <c r="G28" s="422"/>
      <c r="H28" s="17" t="str">
        <f t="shared" si="0"/>
        <v/>
      </c>
      <c r="I28" s="57"/>
      <c r="J28" s="61"/>
      <c r="K28" s="400"/>
      <c r="L28" s="420" t="str">
        <f t="shared" si="2"/>
        <v/>
      </c>
      <c r="M28" s="401" t="str">
        <f t="shared" si="3"/>
        <v/>
      </c>
    </row>
    <row r="29" spans="2:13" x14ac:dyDescent="0.25">
      <c r="B29" s="58"/>
      <c r="C29" s="65"/>
      <c r="D29" s="15"/>
      <c r="E29" s="15"/>
      <c r="F29" s="24"/>
      <c r="G29" s="411"/>
      <c r="H29" s="17" t="str">
        <f t="shared" si="0"/>
        <v/>
      </c>
      <c r="I29" s="18"/>
      <c r="J29" s="61"/>
      <c r="K29" s="399"/>
      <c r="L29" s="420" t="str">
        <f t="shared" si="2"/>
        <v/>
      </c>
      <c r="M29" s="401" t="str">
        <f t="shared" si="3"/>
        <v/>
      </c>
    </row>
    <row r="30" spans="2:13" x14ac:dyDescent="0.25">
      <c r="B30" s="395"/>
      <c r="C30" s="787"/>
      <c r="D30" s="15"/>
      <c r="E30" s="15"/>
      <c r="F30" s="24"/>
      <c r="G30" s="411"/>
      <c r="H30" s="17" t="str">
        <f t="shared" si="0"/>
        <v/>
      </c>
      <c r="I30" s="18"/>
      <c r="J30" s="61"/>
      <c r="K30" s="399"/>
      <c r="L30" s="420" t="str">
        <f t="shared" si="2"/>
        <v/>
      </c>
      <c r="M30" s="401" t="str">
        <f t="shared" si="3"/>
        <v/>
      </c>
    </row>
    <row r="31" spans="2:13" x14ac:dyDescent="0.25">
      <c r="B31" s="395"/>
      <c r="C31" s="787"/>
      <c r="D31" s="15"/>
      <c r="E31" s="15"/>
      <c r="F31" s="24"/>
      <c r="G31" s="411"/>
      <c r="H31" s="17" t="str">
        <f t="shared" si="0"/>
        <v/>
      </c>
      <c r="I31" s="18"/>
      <c r="J31" s="61"/>
      <c r="K31" s="399"/>
      <c r="L31" s="420" t="str">
        <f t="shared" si="2"/>
        <v/>
      </c>
      <c r="M31" s="401" t="str">
        <f t="shared" si="3"/>
        <v/>
      </c>
    </row>
    <row r="32" spans="2:13" x14ac:dyDescent="0.25">
      <c r="B32" s="395"/>
      <c r="C32" s="787"/>
      <c r="D32" s="15"/>
      <c r="E32" s="15"/>
      <c r="F32" s="24"/>
      <c r="G32" s="411"/>
      <c r="H32" s="17" t="str">
        <f t="shared" si="0"/>
        <v/>
      </c>
      <c r="I32" s="18"/>
      <c r="J32" s="61"/>
      <c r="K32" s="399"/>
      <c r="L32" s="420" t="str">
        <f t="shared" si="2"/>
        <v/>
      </c>
      <c r="M32" s="401" t="str">
        <f t="shared" si="3"/>
        <v/>
      </c>
    </row>
    <row r="33" spans="2:13" x14ac:dyDescent="0.25">
      <c r="B33" s="58"/>
      <c r="C33" s="65"/>
      <c r="D33" s="15"/>
      <c r="E33" s="15"/>
      <c r="F33" s="24"/>
      <c r="G33" s="411"/>
      <c r="H33" s="17" t="str">
        <f t="shared" si="0"/>
        <v/>
      </c>
      <c r="I33" s="18"/>
      <c r="J33" s="61"/>
      <c r="K33" s="399"/>
      <c r="L33" s="420" t="str">
        <f t="shared" si="2"/>
        <v/>
      </c>
      <c r="M33" s="401" t="str">
        <f t="shared" si="3"/>
        <v/>
      </c>
    </row>
    <row r="34" spans="2:13" s="36" customFormat="1" x14ac:dyDescent="0.25">
      <c r="B34" s="58"/>
      <c r="C34" s="65"/>
      <c r="D34" s="15"/>
      <c r="E34" s="15"/>
      <c r="F34" s="24"/>
      <c r="G34" s="411"/>
      <c r="H34" s="17" t="str">
        <f t="shared" si="0"/>
        <v/>
      </c>
      <c r="I34" s="18"/>
      <c r="J34" s="61"/>
      <c r="K34" s="400"/>
      <c r="L34" s="420" t="str">
        <f t="shared" si="2"/>
        <v/>
      </c>
      <c r="M34" s="401" t="str">
        <f t="shared" si="3"/>
        <v/>
      </c>
    </row>
    <row r="35" spans="2:13" x14ac:dyDescent="0.25">
      <c r="B35" s="58"/>
      <c r="C35" s="65"/>
      <c r="D35" s="15"/>
      <c r="E35" s="15"/>
      <c r="F35" s="24"/>
      <c r="G35" s="422"/>
      <c r="H35" s="17" t="str">
        <f t="shared" si="0"/>
        <v/>
      </c>
      <c r="I35" s="57"/>
      <c r="J35" s="61"/>
      <c r="K35" s="399"/>
      <c r="L35" s="420" t="str">
        <f t="shared" si="2"/>
        <v/>
      </c>
      <c r="M35" s="401" t="str">
        <f t="shared" si="3"/>
        <v/>
      </c>
    </row>
    <row r="36" spans="2:13" x14ac:dyDescent="0.25">
      <c r="B36" s="58"/>
      <c r="C36" s="65"/>
      <c r="D36" s="15"/>
      <c r="E36" s="15"/>
      <c r="F36" s="24"/>
      <c r="G36" s="422"/>
      <c r="H36" s="17" t="str">
        <f t="shared" si="0"/>
        <v/>
      </c>
      <c r="I36" s="57"/>
      <c r="J36" s="61"/>
      <c r="K36" s="399"/>
      <c r="L36" s="420" t="str">
        <f t="shared" si="2"/>
        <v/>
      </c>
      <c r="M36" s="401" t="str">
        <f t="shared" si="3"/>
        <v/>
      </c>
    </row>
    <row r="37" spans="2:13" x14ac:dyDescent="0.25">
      <c r="B37" s="58"/>
      <c r="C37" s="65"/>
      <c r="D37" s="15"/>
      <c r="E37" s="15"/>
      <c r="F37" s="24"/>
      <c r="G37" s="411"/>
      <c r="H37" s="17" t="str">
        <f t="shared" si="0"/>
        <v/>
      </c>
      <c r="I37" s="18"/>
      <c r="J37" s="61"/>
      <c r="K37" s="399"/>
      <c r="L37" s="420" t="str">
        <f t="shared" si="2"/>
        <v/>
      </c>
      <c r="M37" s="401" t="str">
        <f t="shared" si="3"/>
        <v/>
      </c>
    </row>
    <row r="38" spans="2:13" x14ac:dyDescent="0.25">
      <c r="B38" s="58"/>
      <c r="C38" s="65"/>
      <c r="D38" s="15"/>
      <c r="E38" s="15"/>
      <c r="F38" s="24"/>
      <c r="G38" s="709"/>
      <c r="H38" s="17" t="str">
        <f t="shared" si="0"/>
        <v/>
      </c>
      <c r="I38" s="18"/>
      <c r="J38" s="61"/>
      <c r="K38" s="399"/>
      <c r="L38" s="420" t="str">
        <f t="shared" si="2"/>
        <v/>
      </c>
      <c r="M38" s="401" t="str">
        <f t="shared" si="3"/>
        <v/>
      </c>
    </row>
    <row r="39" spans="2:13" x14ac:dyDescent="0.25">
      <c r="B39" s="58"/>
      <c r="C39" s="65"/>
      <c r="D39" s="15"/>
      <c r="E39" s="15"/>
      <c r="F39" s="24"/>
      <c r="G39" s="423"/>
      <c r="H39" s="17" t="str">
        <f t="shared" si="0"/>
        <v/>
      </c>
      <c r="I39" s="18"/>
      <c r="J39" s="61"/>
      <c r="K39" s="399"/>
      <c r="L39" s="420" t="str">
        <f t="shared" si="2"/>
        <v/>
      </c>
      <c r="M39" s="401" t="str">
        <f t="shared" si="3"/>
        <v/>
      </c>
    </row>
    <row r="40" spans="2:13" x14ac:dyDescent="0.25">
      <c r="B40" s="58"/>
      <c r="C40" s="65"/>
      <c r="D40" s="15"/>
      <c r="E40" s="15"/>
      <c r="F40" s="24"/>
      <c r="G40" s="423"/>
      <c r="H40" s="17" t="str">
        <f t="shared" si="0"/>
        <v/>
      </c>
      <c r="I40" s="18"/>
      <c r="J40" s="61"/>
      <c r="K40" s="399"/>
      <c r="L40" s="420" t="str">
        <f t="shared" si="2"/>
        <v/>
      </c>
      <c r="M40" s="401" t="str">
        <f t="shared" si="3"/>
        <v/>
      </c>
    </row>
    <row r="41" spans="2:13" x14ac:dyDescent="0.25">
      <c r="B41" s="58"/>
      <c r="C41" s="65"/>
      <c r="D41" s="15"/>
      <c r="E41" s="15"/>
      <c r="F41" s="15"/>
      <c r="G41" s="411"/>
      <c r="H41" s="17" t="str">
        <f t="shared" si="0"/>
        <v/>
      </c>
      <c r="I41" s="18"/>
      <c r="J41" s="61"/>
      <c r="K41" s="399"/>
      <c r="L41" s="420" t="str">
        <f t="shared" si="2"/>
        <v/>
      </c>
      <c r="M41" s="401" t="str">
        <f t="shared" si="3"/>
        <v/>
      </c>
    </row>
    <row r="42" spans="2:13" x14ac:dyDescent="0.25">
      <c r="B42" s="395"/>
      <c r="C42" s="787"/>
      <c r="D42" s="15"/>
      <c r="E42" s="15"/>
      <c r="F42" s="15"/>
      <c r="G42" s="411"/>
      <c r="H42" s="17" t="str">
        <f t="shared" si="0"/>
        <v/>
      </c>
      <c r="I42" s="18"/>
      <c r="J42" s="61"/>
      <c r="K42" s="399"/>
      <c r="L42" s="420" t="str">
        <f t="shared" si="2"/>
        <v/>
      </c>
      <c r="M42" s="401" t="str">
        <f t="shared" si="3"/>
        <v/>
      </c>
    </row>
    <row r="43" spans="2:13" x14ac:dyDescent="0.25">
      <c r="B43" s="58"/>
      <c r="C43" s="65"/>
      <c r="D43" s="15"/>
      <c r="E43" s="15"/>
      <c r="F43" s="15"/>
      <c r="G43" s="422"/>
      <c r="H43" s="17" t="str">
        <f t="shared" si="0"/>
        <v/>
      </c>
      <c r="I43" s="18"/>
      <c r="J43" s="61"/>
      <c r="K43" s="399"/>
      <c r="L43" s="420" t="str">
        <f t="shared" si="2"/>
        <v/>
      </c>
      <c r="M43" s="401" t="str">
        <f t="shared" si="3"/>
        <v/>
      </c>
    </row>
    <row r="44" spans="2:13" x14ac:dyDescent="0.25">
      <c r="B44" s="58"/>
      <c r="C44" s="787"/>
      <c r="D44" s="15"/>
      <c r="E44" s="15"/>
      <c r="F44" s="15"/>
      <c r="G44" s="422"/>
      <c r="H44" s="17" t="str">
        <f t="shared" si="0"/>
        <v/>
      </c>
      <c r="I44" s="18"/>
      <c r="J44" s="61"/>
      <c r="K44" s="399"/>
      <c r="L44" s="420" t="str">
        <f t="shared" si="2"/>
        <v/>
      </c>
      <c r="M44" s="401" t="str">
        <f t="shared" si="3"/>
        <v/>
      </c>
    </row>
    <row r="45" spans="2:13" x14ac:dyDescent="0.25">
      <c r="B45" s="58"/>
      <c r="C45" s="65"/>
      <c r="D45" s="15"/>
      <c r="E45" s="15"/>
      <c r="F45" s="15"/>
      <c r="G45" s="422"/>
      <c r="H45" s="17" t="str">
        <f t="shared" si="0"/>
        <v/>
      </c>
      <c r="I45" s="18"/>
      <c r="J45" s="61"/>
      <c r="K45" s="399"/>
      <c r="L45" s="420" t="str">
        <f t="shared" si="2"/>
        <v/>
      </c>
      <c r="M45" s="401" t="str">
        <f t="shared" si="3"/>
        <v/>
      </c>
    </row>
    <row r="46" spans="2:13" x14ac:dyDescent="0.25">
      <c r="B46" s="58"/>
      <c r="C46" s="65"/>
      <c r="D46" s="15"/>
      <c r="E46" s="15"/>
      <c r="F46" s="15"/>
      <c r="G46" s="422"/>
      <c r="H46" s="17" t="str">
        <f t="shared" si="0"/>
        <v/>
      </c>
      <c r="I46" s="18"/>
      <c r="J46" s="61"/>
      <c r="K46" s="402"/>
      <c r="L46" s="420" t="str">
        <f t="shared" si="2"/>
        <v/>
      </c>
      <c r="M46" s="401" t="str">
        <f t="shared" si="3"/>
        <v/>
      </c>
    </row>
    <row r="47" spans="2:13" x14ac:dyDescent="0.25">
      <c r="B47" s="58"/>
      <c r="C47" s="65"/>
      <c r="D47" s="15"/>
      <c r="E47" s="15"/>
      <c r="F47" s="15"/>
      <c r="G47" s="422"/>
      <c r="H47" s="17" t="str">
        <f t="shared" si="0"/>
        <v/>
      </c>
      <c r="I47" s="18"/>
      <c r="J47" s="61"/>
      <c r="K47" s="399"/>
      <c r="L47" s="420" t="str">
        <f t="shared" si="2"/>
        <v/>
      </c>
      <c r="M47" s="401" t="str">
        <f t="shared" si="3"/>
        <v/>
      </c>
    </row>
    <row r="48" spans="2:13" x14ac:dyDescent="0.25">
      <c r="B48" s="58"/>
      <c r="C48" s="65"/>
      <c r="D48" s="15"/>
      <c r="E48" s="15"/>
      <c r="F48" s="15"/>
      <c r="G48" s="422"/>
      <c r="H48" s="17" t="str">
        <f t="shared" si="0"/>
        <v/>
      </c>
      <c r="I48" s="18"/>
      <c r="J48" s="61"/>
      <c r="K48" s="402"/>
      <c r="L48" s="420" t="str">
        <f t="shared" si="2"/>
        <v/>
      </c>
      <c r="M48" s="401" t="str">
        <f t="shared" si="3"/>
        <v/>
      </c>
    </row>
    <row r="49" spans="2:13" x14ac:dyDescent="0.25">
      <c r="B49" s="58"/>
      <c r="C49" s="65"/>
      <c r="D49" s="15"/>
      <c r="E49" s="15"/>
      <c r="F49" s="15"/>
      <c r="G49" s="422"/>
      <c r="H49" s="17" t="str">
        <f t="shared" si="0"/>
        <v/>
      </c>
      <c r="I49" s="18"/>
      <c r="J49" s="61"/>
      <c r="K49" s="402"/>
      <c r="L49" s="420" t="str">
        <f t="shared" si="2"/>
        <v/>
      </c>
      <c r="M49" s="401" t="str">
        <f t="shared" si="3"/>
        <v/>
      </c>
    </row>
    <row r="50" spans="2:13" x14ac:dyDescent="0.25">
      <c r="B50" s="58"/>
      <c r="C50" s="65"/>
      <c r="D50" s="15"/>
      <c r="E50" s="15"/>
      <c r="F50" s="15"/>
      <c r="G50" s="422"/>
      <c r="H50" s="17" t="str">
        <f t="shared" si="0"/>
        <v/>
      </c>
      <c r="I50" s="18"/>
      <c r="J50" s="61"/>
      <c r="K50" s="399"/>
      <c r="L50" s="420" t="str">
        <f t="shared" si="2"/>
        <v/>
      </c>
      <c r="M50" s="401" t="str">
        <f t="shared" si="3"/>
        <v/>
      </c>
    </row>
    <row r="51" spans="2:13" x14ac:dyDescent="0.25">
      <c r="B51" s="58"/>
      <c r="C51" s="65"/>
      <c r="D51" s="15"/>
      <c r="E51" s="15"/>
      <c r="F51" s="15"/>
      <c r="G51" s="424"/>
      <c r="H51" s="17" t="str">
        <f t="shared" si="0"/>
        <v/>
      </c>
      <c r="I51" s="18"/>
      <c r="J51" s="61"/>
      <c r="K51" s="399"/>
      <c r="L51" s="420" t="str">
        <f t="shared" si="2"/>
        <v/>
      </c>
      <c r="M51" s="401" t="str">
        <f t="shared" si="3"/>
        <v/>
      </c>
    </row>
    <row r="52" spans="2:13" x14ac:dyDescent="0.25">
      <c r="B52" s="58"/>
      <c r="C52" s="65"/>
      <c r="D52" s="15"/>
      <c r="E52" s="15"/>
      <c r="F52" s="15"/>
      <c r="G52" s="424"/>
      <c r="H52" s="17" t="str">
        <f t="shared" si="0"/>
        <v/>
      </c>
      <c r="I52" s="18"/>
      <c r="J52" s="61"/>
      <c r="K52" s="399"/>
      <c r="L52" s="420" t="str">
        <f t="shared" si="2"/>
        <v/>
      </c>
      <c r="M52" s="401" t="str">
        <f t="shared" si="3"/>
        <v/>
      </c>
    </row>
    <row r="53" spans="2:13" x14ac:dyDescent="0.25">
      <c r="B53" s="58"/>
      <c r="C53" s="65"/>
      <c r="D53" s="15"/>
      <c r="E53" s="15"/>
      <c r="F53" s="15"/>
      <c r="G53" s="422"/>
      <c r="H53" s="17" t="str">
        <f t="shared" si="0"/>
        <v/>
      </c>
      <c r="I53" s="18"/>
      <c r="J53" s="61"/>
      <c r="K53" s="399"/>
      <c r="L53" s="420" t="str">
        <f t="shared" si="2"/>
        <v/>
      </c>
      <c r="M53" s="401" t="str">
        <f t="shared" si="3"/>
        <v/>
      </c>
    </row>
    <row r="54" spans="2:13" x14ac:dyDescent="0.25">
      <c r="B54" s="58"/>
      <c r="C54" s="65"/>
      <c r="D54" s="15"/>
      <c r="E54" s="15"/>
      <c r="F54" s="15"/>
      <c r="G54" s="422"/>
      <c r="H54" s="17" t="str">
        <f t="shared" si="0"/>
        <v/>
      </c>
      <c r="I54" s="18"/>
      <c r="J54" s="62"/>
      <c r="K54" s="62"/>
      <c r="L54" s="420" t="str">
        <f t="shared" si="2"/>
        <v/>
      </c>
      <c r="M54" s="401" t="str">
        <f t="shared" si="3"/>
        <v/>
      </c>
    </row>
    <row r="55" spans="2:13" x14ac:dyDescent="0.25">
      <c r="B55" s="58"/>
      <c r="C55" s="65"/>
      <c r="D55" s="15"/>
      <c r="E55" s="15"/>
      <c r="F55" s="15"/>
      <c r="G55" s="422"/>
      <c r="H55" s="17" t="str">
        <f t="shared" si="0"/>
        <v/>
      </c>
      <c r="I55" s="18"/>
      <c r="J55" s="61"/>
      <c r="K55" s="62"/>
      <c r="L55" s="420" t="str">
        <f t="shared" si="2"/>
        <v/>
      </c>
      <c r="M55" s="401" t="str">
        <f t="shared" si="3"/>
        <v/>
      </c>
    </row>
    <row r="56" spans="2:13" x14ac:dyDescent="0.25">
      <c r="B56" s="58"/>
      <c r="C56" s="65"/>
      <c r="D56" s="15"/>
      <c r="E56" s="15"/>
      <c r="F56" s="15"/>
      <c r="G56" s="422"/>
      <c r="H56" s="17" t="str">
        <f t="shared" si="0"/>
        <v/>
      </c>
      <c r="I56" s="18"/>
      <c r="J56" s="61"/>
      <c r="K56" s="62"/>
      <c r="L56" s="420" t="str">
        <f t="shared" si="2"/>
        <v/>
      </c>
      <c r="M56" s="401" t="str">
        <f t="shared" si="3"/>
        <v/>
      </c>
    </row>
    <row r="57" spans="2:13" x14ac:dyDescent="0.25">
      <c r="B57" s="58"/>
      <c r="C57" s="65"/>
      <c r="D57" s="15"/>
      <c r="E57" s="15"/>
      <c r="F57" s="15"/>
      <c r="G57" s="422"/>
      <c r="H57" s="17" t="str">
        <f t="shared" si="0"/>
        <v/>
      </c>
      <c r="I57" s="18"/>
      <c r="J57" s="61"/>
      <c r="K57" s="62"/>
      <c r="L57" s="420" t="str">
        <f t="shared" si="2"/>
        <v/>
      </c>
      <c r="M57" s="401" t="str">
        <f t="shared" si="3"/>
        <v/>
      </c>
    </row>
    <row r="58" spans="2:13" x14ac:dyDescent="0.25">
      <c r="B58" s="58"/>
      <c r="C58" s="65"/>
      <c r="D58" s="15"/>
      <c r="E58" s="15"/>
      <c r="F58" s="15"/>
      <c r="G58" s="422"/>
      <c r="H58" s="17" t="str">
        <f t="shared" si="0"/>
        <v/>
      </c>
      <c r="I58" s="18"/>
      <c r="J58" s="61"/>
      <c r="K58" s="62"/>
      <c r="L58" s="420" t="str">
        <f t="shared" si="2"/>
        <v/>
      </c>
      <c r="M58" s="401" t="str">
        <f t="shared" si="3"/>
        <v/>
      </c>
    </row>
    <row r="59" spans="2:13" x14ac:dyDescent="0.25">
      <c r="B59" s="58"/>
      <c r="C59" s="65"/>
      <c r="D59" s="15"/>
      <c r="E59" s="15"/>
      <c r="F59" s="15"/>
      <c r="G59" s="422"/>
      <c r="H59" s="17" t="str">
        <f t="shared" si="0"/>
        <v/>
      </c>
      <c r="I59" s="18"/>
      <c r="J59" s="62"/>
      <c r="K59" s="62"/>
      <c r="L59" s="420" t="str">
        <f t="shared" si="2"/>
        <v/>
      </c>
      <c r="M59" s="401" t="str">
        <f t="shared" si="3"/>
        <v/>
      </c>
    </row>
    <row r="60" spans="2:13" x14ac:dyDescent="0.25">
      <c r="B60" s="58"/>
      <c r="C60" s="65"/>
      <c r="D60" s="15"/>
      <c r="E60" s="15"/>
      <c r="F60" s="15"/>
      <c r="G60" s="422"/>
      <c r="H60" s="17" t="str">
        <f t="shared" si="0"/>
        <v/>
      </c>
      <c r="I60" s="18"/>
      <c r="J60" s="62"/>
      <c r="K60" s="62"/>
      <c r="L60" s="420" t="str">
        <f t="shared" si="2"/>
        <v/>
      </c>
      <c r="M60" s="401" t="str">
        <f t="shared" si="3"/>
        <v/>
      </c>
    </row>
    <row r="61" spans="2:13" x14ac:dyDescent="0.25">
      <c r="B61" s="58"/>
      <c r="C61" s="65"/>
      <c r="D61" s="61"/>
      <c r="E61" s="61"/>
      <c r="F61" s="61"/>
      <c r="G61" s="422"/>
      <c r="H61" s="17" t="str">
        <f t="shared" si="0"/>
        <v/>
      </c>
      <c r="I61" s="63"/>
      <c r="J61" s="62"/>
      <c r="K61" s="62"/>
      <c r="L61" s="420" t="str">
        <f t="shared" si="2"/>
        <v/>
      </c>
      <c r="M61" s="401" t="str">
        <f t="shared" si="3"/>
        <v/>
      </c>
    </row>
    <row r="62" spans="2:13" x14ac:dyDescent="0.25">
      <c r="B62" s="58"/>
      <c r="C62" s="65"/>
      <c r="D62" s="15"/>
      <c r="E62" s="15"/>
      <c r="F62" s="15"/>
      <c r="G62" s="422"/>
      <c r="H62" s="17" t="str">
        <f t="shared" si="0"/>
        <v/>
      </c>
      <c r="I62" s="18"/>
      <c r="J62" s="62"/>
      <c r="K62" s="62"/>
      <c r="L62" s="420" t="str">
        <f t="shared" si="2"/>
        <v/>
      </c>
      <c r="M62" s="401" t="str">
        <f t="shared" si="3"/>
        <v/>
      </c>
    </row>
    <row r="63" spans="2:13" x14ac:dyDescent="0.25">
      <c r="B63" s="58"/>
      <c r="C63" s="65"/>
      <c r="D63" s="61"/>
      <c r="E63" s="61"/>
      <c r="F63" s="61"/>
      <c r="G63" s="422"/>
      <c r="H63" s="17" t="str">
        <f t="shared" si="0"/>
        <v/>
      </c>
      <c r="I63" s="69"/>
      <c r="J63" s="62"/>
      <c r="K63" s="62"/>
      <c r="L63" s="420" t="str">
        <f t="shared" si="2"/>
        <v/>
      </c>
      <c r="M63" s="401" t="str">
        <f t="shared" si="3"/>
        <v/>
      </c>
    </row>
    <row r="64" spans="2:13" x14ac:dyDescent="0.25">
      <c r="B64" s="58"/>
      <c r="C64" s="65"/>
      <c r="D64" s="61"/>
      <c r="E64" s="61"/>
      <c r="F64" s="61"/>
      <c r="G64" s="422"/>
      <c r="H64" s="17" t="str">
        <f t="shared" si="0"/>
        <v/>
      </c>
      <c r="I64" s="63"/>
      <c r="J64" s="62"/>
      <c r="K64" s="62"/>
      <c r="L64" s="420" t="str">
        <f t="shared" si="2"/>
        <v/>
      </c>
      <c r="M64" s="401" t="str">
        <f t="shared" si="3"/>
        <v/>
      </c>
    </row>
    <row r="65" spans="2:13" x14ac:dyDescent="0.25">
      <c r="B65" s="58"/>
      <c r="C65" s="65"/>
      <c r="D65" s="15"/>
      <c r="E65" s="15"/>
      <c r="F65" s="15"/>
      <c r="G65" s="422"/>
      <c r="H65" s="17" t="str">
        <f t="shared" si="0"/>
        <v/>
      </c>
      <c r="I65" s="18"/>
      <c r="J65" s="62"/>
      <c r="K65" s="62"/>
      <c r="L65" s="420" t="str">
        <f t="shared" si="2"/>
        <v/>
      </c>
      <c r="M65" s="401" t="str">
        <f t="shared" si="3"/>
        <v/>
      </c>
    </row>
    <row r="66" spans="2:13" x14ac:dyDescent="0.25">
      <c r="B66" s="58"/>
      <c r="C66" s="65"/>
      <c r="D66" s="15"/>
      <c r="E66" s="15"/>
      <c r="F66" s="15"/>
      <c r="G66" s="422"/>
      <c r="H66" s="17" t="str">
        <f t="shared" si="0"/>
        <v/>
      </c>
      <c r="I66" s="18"/>
      <c r="J66" s="62"/>
      <c r="K66" s="62"/>
      <c r="L66" s="420" t="str">
        <f t="shared" si="2"/>
        <v/>
      </c>
      <c r="M66" s="401" t="str">
        <f t="shared" si="3"/>
        <v/>
      </c>
    </row>
    <row r="67" spans="2:13" x14ac:dyDescent="0.25">
      <c r="B67" s="58"/>
      <c r="C67" s="65"/>
      <c r="D67" s="15"/>
      <c r="E67" s="15"/>
      <c r="F67" s="15"/>
      <c r="G67" s="422"/>
      <c r="H67" s="17" t="str">
        <f t="shared" si="0"/>
        <v/>
      </c>
      <c r="I67" s="18"/>
      <c r="J67" s="62"/>
      <c r="K67" s="62"/>
      <c r="L67" s="420" t="str">
        <f t="shared" si="2"/>
        <v/>
      </c>
      <c r="M67" s="401" t="str">
        <f t="shared" si="3"/>
        <v/>
      </c>
    </row>
    <row r="68" spans="2:13" x14ac:dyDescent="0.25">
      <c r="B68" s="58"/>
      <c r="C68" s="65"/>
      <c r="D68" s="15"/>
      <c r="E68" s="15"/>
      <c r="F68" s="15"/>
      <c r="G68" s="422"/>
      <c r="H68" s="17" t="str">
        <f t="shared" si="0"/>
        <v/>
      </c>
      <c r="I68" s="18"/>
      <c r="J68" s="62"/>
      <c r="K68" s="62"/>
      <c r="L68" s="420" t="str">
        <f t="shared" si="2"/>
        <v/>
      </c>
      <c r="M68" s="401" t="str">
        <f t="shared" si="3"/>
        <v/>
      </c>
    </row>
    <row r="69" spans="2:13" x14ac:dyDescent="0.25">
      <c r="B69" s="58"/>
      <c r="C69" s="65"/>
      <c r="D69" s="15"/>
      <c r="E69" s="15"/>
      <c r="F69" s="15"/>
      <c r="G69" s="422"/>
      <c r="H69" s="17" t="str">
        <f t="shared" si="0"/>
        <v/>
      </c>
      <c r="I69" s="18"/>
      <c r="J69" s="62"/>
      <c r="K69" s="62"/>
      <c r="L69" s="420" t="str">
        <f t="shared" si="2"/>
        <v/>
      </c>
      <c r="M69" s="401" t="str">
        <f t="shared" si="3"/>
        <v/>
      </c>
    </row>
    <row r="70" spans="2:13" x14ac:dyDescent="0.25">
      <c r="B70" s="58"/>
      <c r="C70" s="65"/>
      <c r="D70" s="15"/>
      <c r="E70" s="15"/>
      <c r="F70" s="15"/>
      <c r="G70" s="422"/>
      <c r="H70" s="17" t="str">
        <f t="shared" si="0"/>
        <v/>
      </c>
      <c r="I70" s="18"/>
      <c r="J70" s="62"/>
      <c r="K70" s="62"/>
      <c r="L70" s="420" t="str">
        <f t="shared" si="2"/>
        <v/>
      </c>
      <c r="M70" s="401" t="str">
        <f t="shared" si="3"/>
        <v/>
      </c>
    </row>
    <row r="71" spans="2:13" x14ac:dyDescent="0.25">
      <c r="B71" s="58"/>
      <c r="C71" s="65"/>
      <c r="D71" s="15"/>
      <c r="E71" s="15"/>
      <c r="F71" s="15"/>
      <c r="G71" s="422"/>
      <c r="H71" s="17" t="str">
        <f t="shared" si="0"/>
        <v/>
      </c>
      <c r="I71" s="18"/>
      <c r="J71" s="62"/>
      <c r="K71" s="62"/>
      <c r="L71" s="420" t="str">
        <f t="shared" si="2"/>
        <v/>
      </c>
      <c r="M71" s="401" t="str">
        <f t="shared" si="3"/>
        <v/>
      </c>
    </row>
    <row r="72" spans="2:13" x14ac:dyDescent="0.25">
      <c r="B72" s="58"/>
      <c r="C72" s="65"/>
      <c r="D72" s="15"/>
      <c r="E72" s="15"/>
      <c r="F72" s="15"/>
      <c r="G72" s="422"/>
      <c r="H72" s="17" t="str">
        <f t="shared" si="0"/>
        <v/>
      </c>
      <c r="I72" s="18"/>
      <c r="J72" s="62"/>
      <c r="K72" s="62"/>
      <c r="L72" s="420" t="str">
        <f t="shared" si="2"/>
        <v/>
      </c>
      <c r="M72" s="401" t="str">
        <f t="shared" si="3"/>
        <v/>
      </c>
    </row>
    <row r="73" spans="2:13" x14ac:dyDescent="0.25">
      <c r="B73" s="58"/>
      <c r="C73" s="65"/>
      <c r="D73" s="15"/>
      <c r="E73" s="15"/>
      <c r="F73" s="15"/>
      <c r="G73" s="422"/>
      <c r="H73" s="17" t="str">
        <f t="shared" si="0"/>
        <v/>
      </c>
      <c r="I73" s="18"/>
      <c r="J73" s="62"/>
      <c r="K73" s="62"/>
      <c r="L73" s="420" t="str">
        <f t="shared" si="2"/>
        <v/>
      </c>
      <c r="M73" s="401" t="str">
        <f t="shared" si="3"/>
        <v/>
      </c>
    </row>
    <row r="74" spans="2:13" x14ac:dyDescent="0.25">
      <c r="B74" s="58"/>
      <c r="C74" s="65"/>
      <c r="D74" s="15"/>
      <c r="E74" s="15"/>
      <c r="F74" s="15"/>
      <c r="G74" s="422"/>
      <c r="H74" s="17" t="str">
        <f t="shared" ref="H74" si="4">IF(D74="","",F74*G74)</f>
        <v/>
      </c>
      <c r="I74" s="18"/>
      <c r="J74" s="61"/>
      <c r="K74" s="696"/>
      <c r="L74" s="420" t="str">
        <f t="shared" ref="L74" si="5">IF(J74="","",F74*K74)</f>
        <v/>
      </c>
      <c r="M74" s="401" t="str">
        <f t="shared" ref="M74" si="6">IF(J74="","",IF(SUM(H74)=0,"",L74/H74))</f>
        <v/>
      </c>
    </row>
    <row r="75" spans="2:13" s="28" customFormat="1" ht="24.75" customHeight="1" x14ac:dyDescent="0.25">
      <c r="B75" s="144" t="str">
        <f>$B$12</f>
        <v>C13.6</v>
      </c>
      <c r="C75" s="30" t="s">
        <v>791</v>
      </c>
      <c r="D75" s="31"/>
      <c r="E75" s="31"/>
      <c r="F75" s="32"/>
      <c r="G75" s="31"/>
      <c r="H75" s="33">
        <f>SUM(H11:H74)</f>
        <v>75000</v>
      </c>
      <c r="I75" s="34"/>
      <c r="J75" s="408"/>
      <c r="K75" s="406"/>
      <c r="L75" s="418">
        <f>SUM(L11:L74)</f>
        <v>4500</v>
      </c>
      <c r="M75" s="407" t="str">
        <f t="shared" ref="M75" si="7">IF(J75="","",IF(SUM(H75)=0,"",L75/H75))</f>
        <v/>
      </c>
    </row>
  </sheetData>
  <mergeCells count="5">
    <mergeCell ref="F3:H3"/>
    <mergeCell ref="B6:G6"/>
    <mergeCell ref="H6:H9"/>
    <mergeCell ref="B7:G7"/>
    <mergeCell ref="B8:G8"/>
  </mergeCells>
  <conditionalFormatting sqref="G11:H75">
    <cfRule type="expression" dxfId="8"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70C0"/>
  </sheetPr>
  <dimension ref="A1:N201"/>
  <sheetViews>
    <sheetView view="pageBreakPreview" zoomScale="90" zoomScaleNormal="85" zoomScaleSheetLayoutView="90" workbookViewId="0">
      <pane ySplit="2" topLeftCell="A3" activePane="bottomLeft" state="frozen"/>
      <selection activeCell="B26" sqref="B26:G26"/>
      <selection pane="bottomLeft" activeCell="S27" sqref="S27"/>
    </sheetView>
  </sheetViews>
  <sheetFormatPr defaultColWidth="6.81640625" defaultRowHeight="12.5" x14ac:dyDescent="0.25"/>
  <cols>
    <col min="1" max="1" width="0.81640625" style="1" customWidth="1"/>
    <col min="2" max="2" width="10.81640625" style="76"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1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2</v>
      </c>
      <c r="H1" s="247">
        <f>MAX(H2:H201)</f>
        <v>3325915</v>
      </c>
      <c r="I1" s="247">
        <f>MAX(I2:I198)</f>
        <v>0</v>
      </c>
      <c r="J1" s="248"/>
      <c r="K1" s="249"/>
      <c r="L1" s="417">
        <f>MAX(L2:L201)</f>
        <v>302522.07500000001</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1108" t="str">
        <f>Client1</f>
        <v>Province of KwaZulu-Natal</v>
      </c>
      <c r="C3" s="1108"/>
      <c r="D3" s="1108"/>
      <c r="E3" s="87"/>
      <c r="F3" s="1109" t="str">
        <f>"Contract No. "&amp;ContractNo</f>
        <v>Contract No. ZNB 00399/00000/HOD/INF/21/T</v>
      </c>
      <c r="G3" s="1109"/>
      <c r="H3" s="1109"/>
    </row>
    <row r="4" spans="1:14" ht="13" x14ac:dyDescent="0.25">
      <c r="B4" s="1108" t="str">
        <f>Client2</f>
        <v>Department of Transport</v>
      </c>
      <c r="C4" s="1108"/>
      <c r="D4" s="1108"/>
      <c r="E4" s="87"/>
      <c r="F4" s="1109"/>
      <c r="G4" s="1109"/>
      <c r="H4" s="1109"/>
    </row>
    <row r="5" spans="1:14" x14ac:dyDescent="0.25">
      <c r="B5" s="1111"/>
      <c r="C5" s="1111"/>
      <c r="D5" s="1111"/>
      <c r="E5" s="78"/>
      <c r="F5" s="1110"/>
      <c r="G5" s="1110"/>
      <c r="H5" s="1110"/>
    </row>
    <row r="6" spans="1:14" ht="13" x14ac:dyDescent="0.25">
      <c r="B6" s="1112" t="s">
        <v>8</v>
      </c>
      <c r="C6" s="1113"/>
      <c r="D6" s="1113"/>
      <c r="E6" s="1113"/>
      <c r="F6" s="1113"/>
      <c r="G6" s="1113"/>
      <c r="H6" s="1121" t="str">
        <f>"CHAPTER "&amp;B12</f>
        <v>CHAPTER C1.2</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74"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14"/>
      <c r="D11" s="15"/>
      <c r="E11" s="15"/>
      <c r="F11" s="580"/>
      <c r="G11" s="411"/>
      <c r="H11" s="17" t="str">
        <f t="shared" ref="H11:H57" si="0">IF(D11="","",F11*G11)</f>
        <v/>
      </c>
      <c r="I11" s="18"/>
      <c r="J11" s="61"/>
      <c r="K11" s="399"/>
      <c r="L11" s="420" t="str">
        <f t="shared" ref="L11:L74" si="1">IF(J11="","",F11*K11)</f>
        <v/>
      </c>
      <c r="M11" s="401" t="str">
        <f>IF(J11="","",IF(SUM(H11)=0,"",L11/H11))</f>
        <v/>
      </c>
    </row>
    <row r="12" spans="1:14" ht="13" x14ac:dyDescent="0.25">
      <c r="B12" s="146" t="s">
        <v>14</v>
      </c>
      <c r="C12" s="19" t="s">
        <v>13</v>
      </c>
      <c r="D12" s="15"/>
      <c r="E12" s="15"/>
      <c r="F12" s="580"/>
      <c r="G12" s="411"/>
      <c r="H12" s="17" t="str">
        <f t="shared" si="0"/>
        <v/>
      </c>
      <c r="I12" s="18"/>
      <c r="J12" s="61"/>
      <c r="K12" s="399"/>
      <c r="L12" s="420" t="str">
        <f t="shared" si="1"/>
        <v/>
      </c>
      <c r="M12" s="401" t="str">
        <f t="shared" ref="M12:M76" si="2">IF(J12="","",IF(SUM(H12)=0,"",L12/H12))</f>
        <v/>
      </c>
    </row>
    <row r="13" spans="1:14" x14ac:dyDescent="0.25">
      <c r="B13" s="58"/>
      <c r="C13" s="14"/>
      <c r="D13" s="15"/>
      <c r="E13" s="15"/>
      <c r="F13" s="580"/>
      <c r="G13" s="411"/>
      <c r="H13" s="17" t="str">
        <f t="shared" si="0"/>
        <v/>
      </c>
      <c r="I13" s="18"/>
      <c r="J13" s="61"/>
      <c r="K13" s="399"/>
      <c r="L13" s="420" t="str">
        <f t="shared" si="1"/>
        <v/>
      </c>
      <c r="M13" s="401" t="str">
        <f t="shared" si="2"/>
        <v/>
      </c>
    </row>
    <row r="14" spans="1:14" ht="13" x14ac:dyDescent="0.25">
      <c r="B14" s="146" t="s">
        <v>1860</v>
      </c>
      <c r="C14" s="19" t="s">
        <v>15</v>
      </c>
      <c r="D14" s="15"/>
      <c r="E14" s="15"/>
      <c r="F14" s="580"/>
      <c r="G14" s="411"/>
      <c r="H14" s="17" t="str">
        <f t="shared" si="0"/>
        <v/>
      </c>
      <c r="I14" s="18"/>
      <c r="J14" s="61"/>
      <c r="K14" s="399"/>
      <c r="L14" s="420" t="str">
        <f t="shared" si="1"/>
        <v/>
      </c>
      <c r="M14" s="401" t="str">
        <f t="shared" si="2"/>
        <v/>
      </c>
    </row>
    <row r="15" spans="1:14" x14ac:dyDescent="0.25">
      <c r="B15" s="58"/>
      <c r="C15" s="14"/>
      <c r="D15" s="15"/>
      <c r="E15" s="15"/>
      <c r="F15" s="580"/>
      <c r="G15" s="411"/>
      <c r="H15" s="17" t="str">
        <f t="shared" si="0"/>
        <v/>
      </c>
      <c r="I15" s="18"/>
      <c r="J15" s="61"/>
      <c r="K15" s="399"/>
      <c r="L15" s="420" t="str">
        <f t="shared" si="1"/>
        <v/>
      </c>
      <c r="M15" s="401" t="str">
        <f t="shared" si="2"/>
        <v/>
      </c>
    </row>
    <row r="16" spans="1:14" x14ac:dyDescent="0.25">
      <c r="B16" s="58" t="s">
        <v>16</v>
      </c>
      <c r="C16" s="65" t="s">
        <v>2096</v>
      </c>
      <c r="D16" s="15" t="s">
        <v>18</v>
      </c>
      <c r="E16" s="15"/>
      <c r="F16" s="24">
        <f>'C1.3'!F18</f>
        <v>22</v>
      </c>
      <c r="G16" s="422"/>
      <c r="H16" s="17">
        <f t="shared" si="0"/>
        <v>0</v>
      </c>
      <c r="I16" s="57"/>
      <c r="J16" s="61"/>
      <c r="K16" s="400"/>
      <c r="L16" s="420" t="str">
        <f t="shared" si="1"/>
        <v/>
      </c>
      <c r="M16" s="401" t="str">
        <f t="shared" si="2"/>
        <v/>
      </c>
    </row>
    <row r="17" spans="2:13" x14ac:dyDescent="0.25">
      <c r="B17" s="58"/>
      <c r="C17" s="14"/>
      <c r="D17" s="15"/>
      <c r="E17" s="15"/>
      <c r="F17" s="24"/>
      <c r="G17" s="422"/>
      <c r="H17" s="17" t="str">
        <f t="shared" si="0"/>
        <v/>
      </c>
      <c r="I17" s="57"/>
      <c r="J17" s="61"/>
      <c r="K17" s="399"/>
      <c r="L17" s="420" t="str">
        <f t="shared" si="1"/>
        <v/>
      </c>
      <c r="M17" s="401" t="str">
        <f t="shared" si="2"/>
        <v/>
      </c>
    </row>
    <row r="18" spans="2:13" x14ac:dyDescent="0.25">
      <c r="B18" s="58" t="s">
        <v>19</v>
      </c>
      <c r="C18" s="14" t="s">
        <v>1842</v>
      </c>
      <c r="D18" s="15" t="s">
        <v>18</v>
      </c>
      <c r="E18" s="15"/>
      <c r="F18" s="24">
        <f>'C1.3'!F18</f>
        <v>22</v>
      </c>
      <c r="G18" s="422"/>
      <c r="H18" s="17">
        <f t="shared" si="0"/>
        <v>0</v>
      </c>
      <c r="I18" s="57"/>
      <c r="J18" s="61"/>
      <c r="K18" s="399"/>
      <c r="L18" s="420" t="str">
        <f t="shared" si="1"/>
        <v/>
      </c>
      <c r="M18" s="401" t="str">
        <f t="shared" si="2"/>
        <v/>
      </c>
    </row>
    <row r="19" spans="2:13" x14ac:dyDescent="0.25">
      <c r="B19" s="58"/>
      <c r="C19" s="14"/>
      <c r="D19" s="15"/>
      <c r="E19" s="15"/>
      <c r="F19" s="24"/>
      <c r="G19" s="411"/>
      <c r="H19" s="17" t="str">
        <f t="shared" si="0"/>
        <v/>
      </c>
      <c r="I19" s="57"/>
      <c r="J19" s="61"/>
      <c r="K19" s="399"/>
      <c r="L19" s="420" t="str">
        <f t="shared" ref="L19:L29" si="3">IF(J19="","",F19*K19)</f>
        <v/>
      </c>
      <c r="M19" s="401" t="str">
        <f t="shared" ref="M19:M29" si="4">IF(J19="","",IF(SUM(H19)=0,"",L19/H19))</f>
        <v/>
      </c>
    </row>
    <row r="20" spans="2:13" ht="13" x14ac:dyDescent="0.25">
      <c r="B20" s="146" t="s">
        <v>2013</v>
      </c>
      <c r="C20" s="19" t="s">
        <v>2014</v>
      </c>
      <c r="D20" s="15"/>
      <c r="E20" s="15"/>
      <c r="F20" s="647"/>
      <c r="G20" s="411"/>
      <c r="H20" s="743" t="str">
        <f t="shared" si="0"/>
        <v/>
      </c>
      <c r="I20" s="57"/>
      <c r="J20" s="61"/>
      <c r="K20" s="399"/>
      <c r="L20" s="420" t="str">
        <f t="shared" si="3"/>
        <v/>
      </c>
      <c r="M20" s="401" t="str">
        <f t="shared" si="4"/>
        <v/>
      </c>
    </row>
    <row r="21" spans="2:13" x14ac:dyDescent="0.25">
      <c r="B21" s="58"/>
      <c r="C21" s="14"/>
      <c r="D21" s="15"/>
      <c r="E21" s="15"/>
      <c r="F21" s="647"/>
      <c r="G21" s="411"/>
      <c r="H21" s="743" t="str">
        <f t="shared" si="0"/>
        <v/>
      </c>
      <c r="I21" s="57"/>
      <c r="J21" s="61"/>
      <c r="K21" s="399"/>
      <c r="L21" s="420" t="str">
        <f t="shared" si="3"/>
        <v/>
      </c>
      <c r="M21" s="401" t="str">
        <f t="shared" si="4"/>
        <v/>
      </c>
    </row>
    <row r="22" spans="2:13" x14ac:dyDescent="0.25">
      <c r="B22" s="58" t="s">
        <v>2015</v>
      </c>
      <c r="C22" s="134" t="s">
        <v>2016</v>
      </c>
      <c r="D22" s="15" t="s">
        <v>11</v>
      </c>
      <c r="E22" s="15"/>
      <c r="F22" s="647">
        <v>1</v>
      </c>
      <c r="G22" s="411"/>
      <c r="H22" s="743">
        <f t="shared" si="0"/>
        <v>0</v>
      </c>
      <c r="I22" s="57"/>
      <c r="J22" s="61"/>
      <c r="K22" s="399"/>
      <c r="L22" s="420" t="str">
        <f t="shared" si="3"/>
        <v/>
      </c>
      <c r="M22" s="401" t="str">
        <f t="shared" si="4"/>
        <v/>
      </c>
    </row>
    <row r="23" spans="2:13" x14ac:dyDescent="0.25">
      <c r="B23" s="58"/>
      <c r="C23" s="133"/>
      <c r="D23" s="61"/>
      <c r="E23" s="61"/>
      <c r="F23" s="647"/>
      <c r="G23" s="411"/>
      <c r="H23" s="743" t="str">
        <f t="shared" si="0"/>
        <v/>
      </c>
      <c r="I23" s="57"/>
      <c r="J23" s="61"/>
      <c r="K23" s="399"/>
      <c r="L23" s="420" t="str">
        <f t="shared" si="3"/>
        <v/>
      </c>
      <c r="M23" s="401" t="str">
        <f t="shared" si="4"/>
        <v/>
      </c>
    </row>
    <row r="24" spans="2:13" x14ac:dyDescent="0.25">
      <c r="B24" s="58" t="s">
        <v>2017</v>
      </c>
      <c r="C24" s="14" t="s">
        <v>2018</v>
      </c>
      <c r="D24" s="15" t="s">
        <v>11</v>
      </c>
      <c r="E24" s="15"/>
      <c r="F24" s="647">
        <v>1</v>
      </c>
      <c r="G24" s="411"/>
      <c r="H24" s="743">
        <f t="shared" si="0"/>
        <v>0</v>
      </c>
      <c r="I24" s="57"/>
      <c r="J24" s="61"/>
      <c r="K24" s="399"/>
      <c r="L24" s="420" t="str">
        <f t="shared" si="3"/>
        <v/>
      </c>
      <c r="M24" s="401" t="str">
        <f t="shared" si="4"/>
        <v/>
      </c>
    </row>
    <row r="25" spans="2:13" x14ac:dyDescent="0.25">
      <c r="B25" s="58"/>
      <c r="C25" s="14"/>
      <c r="D25" s="15"/>
      <c r="E25" s="15"/>
      <c r="F25" s="647"/>
      <c r="G25" s="411"/>
      <c r="H25" s="743" t="str">
        <f t="shared" si="0"/>
        <v/>
      </c>
      <c r="I25" s="57"/>
      <c r="J25" s="61"/>
      <c r="K25" s="399"/>
      <c r="L25" s="420" t="str">
        <f t="shared" si="3"/>
        <v/>
      </c>
      <c r="M25" s="401" t="str">
        <f t="shared" si="4"/>
        <v/>
      </c>
    </row>
    <row r="26" spans="2:13" ht="25" x14ac:dyDescent="0.25">
      <c r="B26" s="58" t="s">
        <v>2019</v>
      </c>
      <c r="C26" s="14" t="s">
        <v>2020</v>
      </c>
      <c r="D26" s="15" t="s">
        <v>18</v>
      </c>
      <c r="E26" s="15"/>
      <c r="F26" s="647">
        <f>'C1.3'!F18</f>
        <v>22</v>
      </c>
      <c r="G26" s="411"/>
      <c r="H26" s="743">
        <f t="shared" si="0"/>
        <v>0</v>
      </c>
      <c r="I26" s="57"/>
      <c r="J26" s="61"/>
      <c r="K26" s="399"/>
      <c r="L26" s="420" t="str">
        <f t="shared" si="3"/>
        <v/>
      </c>
      <c r="M26" s="401" t="str">
        <f t="shared" si="4"/>
        <v/>
      </c>
    </row>
    <row r="27" spans="2:13" x14ac:dyDescent="0.25">
      <c r="B27" s="58"/>
      <c r="C27" s="14"/>
      <c r="D27" s="15"/>
      <c r="E27" s="15"/>
      <c r="F27" s="647"/>
      <c r="G27" s="411"/>
      <c r="H27" s="743" t="str">
        <f t="shared" si="0"/>
        <v/>
      </c>
      <c r="I27" s="57"/>
      <c r="J27" s="61"/>
      <c r="K27" s="399"/>
      <c r="L27" s="420" t="str">
        <f t="shared" si="3"/>
        <v/>
      </c>
      <c r="M27" s="401" t="str">
        <f t="shared" si="4"/>
        <v/>
      </c>
    </row>
    <row r="28" spans="2:13" ht="25" x14ac:dyDescent="0.25">
      <c r="B28" s="58" t="s">
        <v>2204</v>
      </c>
      <c r="C28" s="14" t="s">
        <v>2021</v>
      </c>
      <c r="D28" s="15" t="s">
        <v>18</v>
      </c>
      <c r="E28" s="15"/>
      <c r="F28" s="647">
        <f>'C1.3'!F18</f>
        <v>22</v>
      </c>
      <c r="G28" s="411"/>
      <c r="H28" s="743">
        <f t="shared" si="0"/>
        <v>0</v>
      </c>
      <c r="I28" s="57"/>
      <c r="J28" s="61"/>
      <c r="K28" s="399"/>
      <c r="L28" s="420" t="str">
        <f t="shared" si="3"/>
        <v/>
      </c>
      <c r="M28" s="401" t="str">
        <f t="shared" si="4"/>
        <v/>
      </c>
    </row>
    <row r="29" spans="2:13" x14ac:dyDescent="0.25">
      <c r="B29" s="58"/>
      <c r="C29" s="134"/>
      <c r="D29" s="15"/>
      <c r="E29" s="15"/>
      <c r="F29" s="24"/>
      <c r="G29" s="411"/>
      <c r="H29" s="17" t="str">
        <f t="shared" si="0"/>
        <v/>
      </c>
      <c r="I29" s="57"/>
      <c r="J29" s="61"/>
      <c r="K29" s="399"/>
      <c r="L29" s="420" t="str">
        <f t="shared" si="3"/>
        <v/>
      </c>
      <c r="M29" s="401" t="str">
        <f t="shared" si="4"/>
        <v/>
      </c>
    </row>
    <row r="30" spans="2:13" ht="13" x14ac:dyDescent="0.25">
      <c r="B30" s="146" t="s">
        <v>1861</v>
      </c>
      <c r="C30" s="7" t="s">
        <v>28</v>
      </c>
      <c r="D30" s="61" t="s">
        <v>18</v>
      </c>
      <c r="E30" s="61"/>
      <c r="F30" s="697">
        <f>F28</f>
        <v>22</v>
      </c>
      <c r="G30" s="422"/>
      <c r="H30" s="17">
        <f t="shared" si="0"/>
        <v>0</v>
      </c>
      <c r="I30" s="18"/>
      <c r="J30" s="61"/>
      <c r="K30" s="402"/>
      <c r="L30" s="420" t="str">
        <f t="shared" si="1"/>
        <v/>
      </c>
      <c r="M30" s="401" t="str">
        <f t="shared" si="2"/>
        <v/>
      </c>
    </row>
    <row r="31" spans="2:13" x14ac:dyDescent="0.25">
      <c r="B31" s="58"/>
      <c r="C31" s="14"/>
      <c r="D31" s="15"/>
      <c r="E31" s="15"/>
      <c r="F31" s="24"/>
      <c r="G31" s="411"/>
      <c r="H31" s="17" t="str">
        <f t="shared" si="0"/>
        <v/>
      </c>
      <c r="I31" s="60"/>
      <c r="J31" s="61"/>
      <c r="K31" s="402"/>
      <c r="L31" s="420" t="str">
        <f t="shared" si="1"/>
        <v/>
      </c>
      <c r="M31" s="401" t="str">
        <f t="shared" si="2"/>
        <v/>
      </c>
    </row>
    <row r="32" spans="2:13" x14ac:dyDescent="0.25">
      <c r="B32" s="775" t="s">
        <v>1776</v>
      </c>
      <c r="C32" s="234" t="s">
        <v>989</v>
      </c>
      <c r="D32" s="15"/>
      <c r="E32" s="15"/>
      <c r="F32" s="580"/>
      <c r="G32" s="422"/>
      <c r="H32" s="17" t="str">
        <f t="shared" si="0"/>
        <v/>
      </c>
      <c r="I32" s="63"/>
      <c r="J32" s="61"/>
      <c r="K32" s="402"/>
      <c r="L32" s="420" t="str">
        <f t="shared" si="1"/>
        <v/>
      </c>
      <c r="M32" s="401" t="str">
        <f t="shared" si="2"/>
        <v/>
      </c>
    </row>
    <row r="33" spans="2:13" x14ac:dyDescent="0.25">
      <c r="B33" s="58"/>
      <c r="C33" s="14"/>
      <c r="D33" s="15"/>
      <c r="E33" s="15"/>
      <c r="F33" s="580"/>
      <c r="G33" s="422"/>
      <c r="H33" s="17" t="str">
        <f t="shared" si="0"/>
        <v/>
      </c>
      <c r="I33" s="63"/>
      <c r="J33" s="61"/>
      <c r="K33" s="402"/>
      <c r="L33" s="420" t="str">
        <f t="shared" si="1"/>
        <v/>
      </c>
      <c r="M33" s="401" t="str">
        <f t="shared" si="2"/>
        <v/>
      </c>
    </row>
    <row r="34" spans="2:13" x14ac:dyDescent="0.25">
      <c r="B34" s="775" t="s">
        <v>39</v>
      </c>
      <c r="C34" s="234" t="s">
        <v>988</v>
      </c>
      <c r="D34" s="15" t="s">
        <v>2075</v>
      </c>
      <c r="E34" s="15" t="s">
        <v>996</v>
      </c>
      <c r="F34" s="24">
        <f>Quantities!$S$29</f>
        <v>270000</v>
      </c>
      <c r="G34" s="422">
        <v>1</v>
      </c>
      <c r="H34" s="17">
        <f t="shared" si="0"/>
        <v>270000</v>
      </c>
      <c r="I34" s="63"/>
      <c r="J34" s="61" t="s">
        <v>996</v>
      </c>
      <c r="K34" s="698">
        <v>0.97</v>
      </c>
      <c r="L34" s="420">
        <f t="shared" si="1"/>
        <v>261900</v>
      </c>
      <c r="M34" s="401">
        <f t="shared" si="2"/>
        <v>0.97</v>
      </c>
    </row>
    <row r="35" spans="2:13" x14ac:dyDescent="0.25">
      <c r="B35" s="58"/>
      <c r="C35" s="14"/>
      <c r="D35" s="15"/>
      <c r="E35" s="15"/>
      <c r="F35" s="580"/>
      <c r="G35" s="422"/>
      <c r="H35" s="17" t="str">
        <f t="shared" si="0"/>
        <v/>
      </c>
      <c r="I35" s="63"/>
      <c r="J35" s="61"/>
      <c r="K35" s="402"/>
      <c r="L35" s="420" t="str">
        <f t="shared" si="1"/>
        <v/>
      </c>
      <c r="M35" s="401" t="str">
        <f t="shared" si="2"/>
        <v/>
      </c>
    </row>
    <row r="36" spans="2:13" ht="25" x14ac:dyDescent="0.25">
      <c r="B36" s="775" t="s">
        <v>41</v>
      </c>
      <c r="C36" s="235" t="s">
        <v>1850</v>
      </c>
      <c r="D36" s="15" t="s">
        <v>26</v>
      </c>
      <c r="E36" s="15"/>
      <c r="F36" s="580">
        <f>F34</f>
        <v>270000</v>
      </c>
      <c r="G36" s="425"/>
      <c r="H36" s="17">
        <f t="shared" si="0"/>
        <v>0</v>
      </c>
      <c r="I36" s="63"/>
      <c r="J36" s="61"/>
      <c r="K36" s="399"/>
      <c r="L36" s="420" t="str">
        <f t="shared" si="1"/>
        <v/>
      </c>
      <c r="M36" s="401" t="str">
        <f t="shared" si="2"/>
        <v/>
      </c>
    </row>
    <row r="37" spans="2:13" x14ac:dyDescent="0.25">
      <c r="B37" s="58"/>
      <c r="C37" s="14"/>
      <c r="D37" s="15"/>
      <c r="E37" s="15"/>
      <c r="F37" s="580"/>
      <c r="G37" s="422"/>
      <c r="H37" s="17" t="str">
        <f t="shared" si="0"/>
        <v/>
      </c>
      <c r="I37" s="63"/>
      <c r="J37" s="61"/>
      <c r="K37" s="399"/>
      <c r="L37" s="420" t="str">
        <f t="shared" si="1"/>
        <v/>
      </c>
      <c r="M37" s="401" t="str">
        <f t="shared" si="2"/>
        <v/>
      </c>
    </row>
    <row r="38" spans="2:13" x14ac:dyDescent="0.25">
      <c r="B38" s="775" t="s">
        <v>1777</v>
      </c>
      <c r="C38" s="234" t="s">
        <v>2097</v>
      </c>
      <c r="D38" s="15"/>
      <c r="E38" s="15"/>
      <c r="F38" s="580"/>
      <c r="G38" s="422"/>
      <c r="H38" s="17" t="str">
        <f t="shared" si="0"/>
        <v/>
      </c>
      <c r="I38" s="18"/>
      <c r="J38" s="61"/>
      <c r="K38" s="400"/>
      <c r="L38" s="420" t="str">
        <f t="shared" si="1"/>
        <v/>
      </c>
      <c r="M38" s="401" t="str">
        <f t="shared" si="2"/>
        <v/>
      </c>
    </row>
    <row r="39" spans="2:13" x14ac:dyDescent="0.25">
      <c r="B39" s="58"/>
      <c r="C39" s="14"/>
      <c r="D39" s="15"/>
      <c r="E39" s="15"/>
      <c r="F39" s="580"/>
      <c r="G39" s="422"/>
      <c r="H39" s="17" t="str">
        <f t="shared" si="0"/>
        <v/>
      </c>
      <c r="I39" s="18"/>
      <c r="J39" s="61"/>
      <c r="K39" s="399"/>
      <c r="L39" s="420" t="str">
        <f t="shared" si="1"/>
        <v/>
      </c>
      <c r="M39" s="401" t="str">
        <f t="shared" si="2"/>
        <v/>
      </c>
    </row>
    <row r="40" spans="2:13" x14ac:dyDescent="0.25">
      <c r="B40" s="775" t="s">
        <v>39</v>
      </c>
      <c r="C40" s="234" t="s">
        <v>988</v>
      </c>
      <c r="D40" s="15" t="s">
        <v>2075</v>
      </c>
      <c r="E40" s="15"/>
      <c r="F40" s="580">
        <f>Quantities!$S$37</f>
        <v>240000</v>
      </c>
      <c r="G40" s="422">
        <v>1</v>
      </c>
      <c r="H40" s="17">
        <f t="shared" si="0"/>
        <v>240000</v>
      </c>
      <c r="I40" s="57"/>
      <c r="J40" s="61"/>
      <c r="K40" s="399"/>
      <c r="L40" s="420" t="str">
        <f t="shared" si="1"/>
        <v/>
      </c>
      <c r="M40" s="401" t="str">
        <f t="shared" si="2"/>
        <v/>
      </c>
    </row>
    <row r="41" spans="2:13" x14ac:dyDescent="0.25">
      <c r="B41" s="58"/>
      <c r="C41" s="14"/>
      <c r="D41" s="15"/>
      <c r="E41" s="15"/>
      <c r="F41" s="580"/>
      <c r="G41" s="422"/>
      <c r="H41" s="17" t="str">
        <f t="shared" si="0"/>
        <v/>
      </c>
      <c r="I41" s="18"/>
      <c r="J41" s="61"/>
      <c r="K41" s="399"/>
      <c r="L41" s="420" t="str">
        <f t="shared" si="1"/>
        <v/>
      </c>
      <c r="M41" s="401" t="str">
        <f t="shared" si="2"/>
        <v/>
      </c>
    </row>
    <row r="42" spans="2:13" ht="25" x14ac:dyDescent="0.25">
      <c r="B42" s="775" t="s">
        <v>41</v>
      </c>
      <c r="C42" s="235" t="s">
        <v>1850</v>
      </c>
      <c r="D42" s="15" t="s">
        <v>26</v>
      </c>
      <c r="E42" s="15"/>
      <c r="F42" s="580">
        <f>F40</f>
        <v>240000</v>
      </c>
      <c r="G42" s="425"/>
      <c r="H42" s="17">
        <f t="shared" si="0"/>
        <v>0</v>
      </c>
      <c r="I42" s="18"/>
      <c r="J42" s="61"/>
      <c r="K42" s="399"/>
      <c r="L42" s="420" t="str">
        <f t="shared" si="1"/>
        <v/>
      </c>
      <c r="M42" s="401" t="str">
        <f t="shared" si="2"/>
        <v/>
      </c>
    </row>
    <row r="43" spans="2:13" x14ac:dyDescent="0.25">
      <c r="B43" s="58"/>
      <c r="C43" s="14"/>
      <c r="D43" s="15"/>
      <c r="E43" s="15"/>
      <c r="F43" s="580"/>
      <c r="G43" s="422"/>
      <c r="H43" s="17" t="str">
        <f t="shared" si="0"/>
        <v/>
      </c>
      <c r="I43" s="18"/>
      <c r="J43" s="61"/>
      <c r="K43" s="399"/>
      <c r="L43" s="420" t="str">
        <f t="shared" si="1"/>
        <v/>
      </c>
      <c r="M43" s="401" t="str">
        <f t="shared" si="2"/>
        <v/>
      </c>
    </row>
    <row r="44" spans="2:13" ht="13" x14ac:dyDescent="0.25">
      <c r="B44" s="146" t="s">
        <v>1862</v>
      </c>
      <c r="C44" s="19" t="s">
        <v>29</v>
      </c>
      <c r="D44" s="15"/>
      <c r="E44" s="15"/>
      <c r="F44" s="580"/>
      <c r="G44" s="422"/>
      <c r="H44" s="17" t="str">
        <f t="shared" si="0"/>
        <v/>
      </c>
      <c r="I44" s="18"/>
      <c r="J44" s="61"/>
      <c r="K44" s="400"/>
      <c r="L44" s="420" t="str">
        <f t="shared" si="1"/>
        <v/>
      </c>
      <c r="M44" s="401" t="str">
        <f t="shared" si="2"/>
        <v/>
      </c>
    </row>
    <row r="45" spans="2:13" s="36" customFormat="1" x14ac:dyDescent="0.25">
      <c r="B45" s="58"/>
      <c r="C45" s="14"/>
      <c r="D45" s="15"/>
      <c r="E45" s="15"/>
      <c r="F45" s="580"/>
      <c r="G45" s="422"/>
      <c r="H45" s="17" t="str">
        <f t="shared" si="0"/>
        <v/>
      </c>
      <c r="I45" s="18"/>
      <c r="J45" s="61"/>
      <c r="K45" s="399"/>
      <c r="L45" s="420" t="str">
        <f t="shared" si="1"/>
        <v/>
      </c>
      <c r="M45" s="401" t="str">
        <f t="shared" si="2"/>
        <v/>
      </c>
    </row>
    <row r="46" spans="2:13" x14ac:dyDescent="0.25">
      <c r="B46" s="58" t="s">
        <v>30</v>
      </c>
      <c r="C46" s="14" t="s">
        <v>31</v>
      </c>
      <c r="D46" s="15" t="s">
        <v>11</v>
      </c>
      <c r="E46" s="15"/>
      <c r="F46" s="580">
        <v>1</v>
      </c>
      <c r="G46" s="422"/>
      <c r="H46" s="17">
        <f t="shared" si="0"/>
        <v>0</v>
      </c>
      <c r="I46" s="57"/>
      <c r="J46" s="61"/>
      <c r="K46" s="399"/>
      <c r="L46" s="420" t="str">
        <f t="shared" si="1"/>
        <v/>
      </c>
      <c r="M46" s="401" t="str">
        <f t="shared" si="2"/>
        <v/>
      </c>
    </row>
    <row r="47" spans="2:13" x14ac:dyDescent="0.25">
      <c r="B47" s="58"/>
      <c r="C47" s="14"/>
      <c r="D47" s="15"/>
      <c r="E47" s="15"/>
      <c r="F47" s="580"/>
      <c r="G47" s="422"/>
      <c r="H47" s="17" t="str">
        <f t="shared" si="0"/>
        <v/>
      </c>
      <c r="I47" s="57"/>
      <c r="J47" s="61"/>
      <c r="K47" s="399"/>
      <c r="L47" s="420" t="str">
        <f t="shared" si="1"/>
        <v/>
      </c>
      <c r="M47" s="401" t="str">
        <f t="shared" si="2"/>
        <v/>
      </c>
    </row>
    <row r="48" spans="2:13" x14ac:dyDescent="0.25">
      <c r="B48" s="58" t="s">
        <v>32</v>
      </c>
      <c r="C48" s="14" t="s">
        <v>33</v>
      </c>
      <c r="D48" s="15" t="s">
        <v>18</v>
      </c>
      <c r="E48" s="15"/>
      <c r="F48" s="580">
        <f>'C1.3'!F18</f>
        <v>22</v>
      </c>
      <c r="G48" s="422"/>
      <c r="H48" s="17">
        <f t="shared" si="0"/>
        <v>0</v>
      </c>
      <c r="I48" s="18"/>
      <c r="J48" s="61"/>
      <c r="K48" s="399"/>
      <c r="L48" s="420" t="str">
        <f t="shared" si="1"/>
        <v/>
      </c>
      <c r="M48" s="401" t="str">
        <f t="shared" si="2"/>
        <v/>
      </c>
    </row>
    <row r="49" spans="2:13" x14ac:dyDescent="0.25">
      <c r="B49" s="58"/>
      <c r="C49" s="14"/>
      <c r="D49" s="15"/>
      <c r="E49" s="15"/>
      <c r="F49" s="24"/>
      <c r="G49" s="411"/>
      <c r="H49" s="17" t="str">
        <f t="shared" si="0"/>
        <v/>
      </c>
      <c r="I49" s="18"/>
      <c r="J49" s="61"/>
      <c r="K49" s="399"/>
      <c r="L49" s="420" t="str">
        <f t="shared" si="1"/>
        <v/>
      </c>
      <c r="M49" s="401" t="str">
        <f t="shared" si="2"/>
        <v/>
      </c>
    </row>
    <row r="50" spans="2:13" ht="37.5" x14ac:dyDescent="0.25">
      <c r="B50" s="58" t="s">
        <v>1866</v>
      </c>
      <c r="C50" s="14" t="s">
        <v>1867</v>
      </c>
      <c r="D50" s="15" t="s">
        <v>11</v>
      </c>
      <c r="E50" s="15"/>
      <c r="F50" s="24">
        <v>1</v>
      </c>
      <c r="G50" s="411"/>
      <c r="H50" s="17">
        <f t="shared" si="0"/>
        <v>0</v>
      </c>
      <c r="I50" s="18"/>
      <c r="J50" s="61"/>
      <c r="K50" s="399"/>
      <c r="L50" s="420"/>
      <c r="M50" s="401"/>
    </row>
    <row r="51" spans="2:13" x14ac:dyDescent="0.25">
      <c r="B51" s="58"/>
      <c r="C51" s="14"/>
      <c r="D51" s="15"/>
      <c r="E51" s="15"/>
      <c r="F51" s="24"/>
      <c r="G51" s="411"/>
      <c r="H51" s="17" t="str">
        <f t="shared" si="0"/>
        <v/>
      </c>
      <c r="I51" s="18"/>
      <c r="J51" s="61"/>
      <c r="K51" s="399"/>
      <c r="L51" s="420"/>
      <c r="M51" s="401"/>
    </row>
    <row r="52" spans="2:13" ht="13" x14ac:dyDescent="0.25">
      <c r="B52" s="146" t="s">
        <v>2090</v>
      </c>
      <c r="C52" s="19" t="s">
        <v>2091</v>
      </c>
      <c r="D52" s="15"/>
      <c r="E52" s="15"/>
      <c r="F52" s="580"/>
      <c r="G52" s="422"/>
      <c r="H52" s="17" t="str">
        <f t="shared" si="0"/>
        <v/>
      </c>
      <c r="I52" s="18"/>
      <c r="J52" s="61"/>
      <c r="K52" s="399"/>
      <c r="L52" s="420" t="str">
        <f t="shared" si="1"/>
        <v/>
      </c>
      <c r="M52" s="401" t="str">
        <f t="shared" si="2"/>
        <v/>
      </c>
    </row>
    <row r="53" spans="2:13" x14ac:dyDescent="0.25">
      <c r="B53" s="58"/>
      <c r="C53" s="14"/>
      <c r="D53" s="15"/>
      <c r="E53" s="15"/>
      <c r="F53" s="580"/>
      <c r="G53" s="422"/>
      <c r="H53" s="17" t="str">
        <f t="shared" si="0"/>
        <v/>
      </c>
      <c r="I53" s="18"/>
      <c r="J53" s="61"/>
      <c r="K53" s="399"/>
      <c r="L53" s="420" t="str">
        <f t="shared" si="1"/>
        <v/>
      </c>
      <c r="M53" s="401" t="str">
        <f t="shared" si="2"/>
        <v/>
      </c>
    </row>
    <row r="54" spans="2:13" x14ac:dyDescent="0.25">
      <c r="B54" s="58" t="s">
        <v>2094</v>
      </c>
      <c r="C54" s="14" t="s">
        <v>2092</v>
      </c>
      <c r="D54" s="15" t="s">
        <v>556</v>
      </c>
      <c r="E54" s="15"/>
      <c r="F54" s="580">
        <v>30000</v>
      </c>
      <c r="G54" s="422">
        <v>1</v>
      </c>
      <c r="H54" s="17">
        <f t="shared" si="0"/>
        <v>30000</v>
      </c>
      <c r="I54" s="18"/>
      <c r="J54" s="61"/>
      <c r="K54" s="399"/>
      <c r="L54" s="420" t="str">
        <f t="shared" si="1"/>
        <v/>
      </c>
      <c r="M54" s="401" t="str">
        <f t="shared" si="2"/>
        <v/>
      </c>
    </row>
    <row r="55" spans="2:13" x14ac:dyDescent="0.25">
      <c r="B55" s="58"/>
      <c r="C55" s="14"/>
      <c r="D55" s="15"/>
      <c r="E55" s="15"/>
      <c r="F55" s="580"/>
      <c r="G55" s="422"/>
      <c r="H55" s="17" t="str">
        <f t="shared" si="0"/>
        <v/>
      </c>
      <c r="I55" s="18"/>
      <c r="J55" s="61"/>
      <c r="K55" s="399"/>
      <c r="L55" s="420" t="str">
        <f t="shared" ref="L55:L56" si="5">IF(J55="","",F55*K55)</f>
        <v/>
      </c>
      <c r="M55" s="401" t="str">
        <f t="shared" ref="M55:M56" si="6">IF(J55="","",IF(SUM(H55)=0,"",L55/H55))</f>
        <v/>
      </c>
    </row>
    <row r="56" spans="2:13" x14ac:dyDescent="0.25">
      <c r="B56" s="775" t="s">
        <v>2093</v>
      </c>
      <c r="C56" s="235" t="s">
        <v>2095</v>
      </c>
      <c r="D56" s="15" t="s">
        <v>26</v>
      </c>
      <c r="E56" s="15"/>
      <c r="F56" s="580">
        <f>F54</f>
        <v>30000</v>
      </c>
      <c r="G56" s="425"/>
      <c r="H56" s="17">
        <f t="shared" si="0"/>
        <v>0</v>
      </c>
      <c r="I56" s="18"/>
      <c r="J56" s="61"/>
      <c r="K56" s="399"/>
      <c r="L56" s="420" t="str">
        <f t="shared" si="5"/>
        <v/>
      </c>
      <c r="M56" s="401" t="str">
        <f t="shared" si="6"/>
        <v/>
      </c>
    </row>
    <row r="57" spans="2:13" x14ac:dyDescent="0.25">
      <c r="B57" s="58"/>
      <c r="C57" s="14"/>
      <c r="D57" s="15"/>
      <c r="E57" s="15"/>
      <c r="F57" s="580"/>
      <c r="G57" s="422"/>
      <c r="H57" s="17" t="str">
        <f t="shared" si="0"/>
        <v/>
      </c>
      <c r="I57" s="18"/>
      <c r="J57" s="61"/>
      <c r="K57" s="399"/>
      <c r="L57" s="420" t="str">
        <f t="shared" ref="L57:L69" si="7">IF(J57="","",F57*K57)</f>
        <v/>
      </c>
      <c r="M57" s="401" t="str">
        <f t="shared" si="2"/>
        <v/>
      </c>
    </row>
    <row r="58" spans="2:13" ht="13" x14ac:dyDescent="0.25">
      <c r="B58" s="146" t="s">
        <v>35</v>
      </c>
      <c r="C58" s="19" t="s">
        <v>36</v>
      </c>
      <c r="D58" s="15"/>
      <c r="E58" s="15"/>
      <c r="F58" s="580"/>
      <c r="G58" s="680"/>
      <c r="H58" s="17" t="s">
        <v>636</v>
      </c>
      <c r="I58" s="18"/>
      <c r="J58" s="61"/>
      <c r="K58" s="399"/>
      <c r="L58" s="420" t="str">
        <f t="shared" si="7"/>
        <v/>
      </c>
      <c r="M58" s="401" t="str">
        <f t="shared" si="2"/>
        <v/>
      </c>
    </row>
    <row r="59" spans="2:13" x14ac:dyDescent="0.25">
      <c r="B59" s="58"/>
      <c r="C59" s="14"/>
      <c r="D59" s="15"/>
      <c r="E59" s="15"/>
      <c r="F59" s="580"/>
      <c r="G59" s="422"/>
      <c r="H59" s="17" t="s">
        <v>636</v>
      </c>
      <c r="I59" s="18"/>
      <c r="J59" s="61"/>
      <c r="K59" s="399"/>
      <c r="L59" s="420" t="str">
        <f t="shared" si="7"/>
        <v/>
      </c>
      <c r="M59" s="401" t="str">
        <f t="shared" si="2"/>
        <v/>
      </c>
    </row>
    <row r="60" spans="2:13" x14ac:dyDescent="0.25">
      <c r="B60" s="58" t="s">
        <v>37</v>
      </c>
      <c r="C60" s="14" t="s">
        <v>38</v>
      </c>
      <c r="D60" s="15"/>
      <c r="E60" s="15"/>
      <c r="F60" s="580"/>
      <c r="G60" s="680"/>
      <c r="H60" s="17" t="s">
        <v>636</v>
      </c>
      <c r="I60" s="18"/>
      <c r="J60" s="61"/>
      <c r="K60" s="402"/>
      <c r="L60" s="420" t="str">
        <f t="shared" si="7"/>
        <v/>
      </c>
      <c r="M60" s="401" t="str">
        <f t="shared" si="2"/>
        <v/>
      </c>
    </row>
    <row r="61" spans="2:13" x14ac:dyDescent="0.25">
      <c r="B61" s="58"/>
      <c r="C61" s="14"/>
      <c r="D61" s="15"/>
      <c r="E61" s="15"/>
      <c r="F61" s="580"/>
      <c r="G61" s="422"/>
      <c r="H61" s="17" t="s">
        <v>636</v>
      </c>
      <c r="I61" s="18"/>
      <c r="J61" s="61"/>
      <c r="K61" s="399"/>
      <c r="L61" s="420" t="str">
        <f t="shared" si="7"/>
        <v/>
      </c>
      <c r="M61" s="401" t="str">
        <f t="shared" si="2"/>
        <v/>
      </c>
    </row>
    <row r="62" spans="2:13" x14ac:dyDescent="0.25">
      <c r="B62" s="58" t="s">
        <v>39</v>
      </c>
      <c r="C62" s="14" t="s">
        <v>40</v>
      </c>
      <c r="D62" s="15" t="s">
        <v>191</v>
      </c>
      <c r="E62" s="15" t="s">
        <v>996</v>
      </c>
      <c r="F62" s="580">
        <v>180</v>
      </c>
      <c r="G62" s="422"/>
      <c r="H62" s="17">
        <v>7200</v>
      </c>
      <c r="I62" s="18"/>
      <c r="J62" s="61" t="s">
        <v>1721</v>
      </c>
      <c r="K62" s="402">
        <f>_LabourRate</f>
        <v>44.79</v>
      </c>
      <c r="L62" s="420">
        <f t="shared" si="7"/>
        <v>8062.2</v>
      </c>
      <c r="M62" s="401">
        <f t="shared" si="2"/>
        <v>1.11975</v>
      </c>
    </row>
    <row r="63" spans="2:13" ht="8.15" customHeight="1" x14ac:dyDescent="0.25">
      <c r="B63" s="58"/>
      <c r="C63" s="14"/>
      <c r="D63" s="15"/>
      <c r="E63" s="15"/>
      <c r="F63" s="580"/>
      <c r="G63" s="422"/>
      <c r="H63" s="17" t="s">
        <v>636</v>
      </c>
      <c r="I63" s="18"/>
      <c r="J63" s="61"/>
      <c r="K63" s="402"/>
      <c r="L63" s="420" t="str">
        <f t="shared" si="7"/>
        <v/>
      </c>
      <c r="M63" s="401" t="str">
        <f t="shared" si="2"/>
        <v/>
      </c>
    </row>
    <row r="64" spans="2:13" x14ac:dyDescent="0.25">
      <c r="B64" s="58" t="s">
        <v>41</v>
      </c>
      <c r="C64" s="14" t="s">
        <v>46</v>
      </c>
      <c r="D64" s="15" t="s">
        <v>191</v>
      </c>
      <c r="E64" s="15"/>
      <c r="F64" s="580">
        <v>25</v>
      </c>
      <c r="G64" s="422"/>
      <c r="H64" s="17">
        <v>1875</v>
      </c>
      <c r="I64" s="18"/>
      <c r="J64" s="61" t="s">
        <v>1721</v>
      </c>
      <c r="K64" s="399">
        <f>K62*0.5</f>
        <v>22.395</v>
      </c>
      <c r="L64" s="420">
        <f t="shared" si="7"/>
        <v>559.875</v>
      </c>
      <c r="M64" s="401">
        <f t="shared" si="2"/>
        <v>0.29859999999999998</v>
      </c>
    </row>
    <row r="65" spans="2:13" ht="8.15" customHeight="1" x14ac:dyDescent="0.25">
      <c r="B65" s="58"/>
      <c r="C65" s="14"/>
      <c r="D65" s="15"/>
      <c r="E65" s="15"/>
      <c r="F65" s="580"/>
      <c r="G65" s="422"/>
      <c r="H65" s="17" t="s">
        <v>636</v>
      </c>
      <c r="I65" s="18"/>
      <c r="J65" s="61"/>
      <c r="K65" s="399"/>
      <c r="L65" s="420" t="str">
        <f t="shared" si="7"/>
        <v/>
      </c>
      <c r="M65" s="401" t="str">
        <f t="shared" si="2"/>
        <v/>
      </c>
    </row>
    <row r="66" spans="2:13" x14ac:dyDescent="0.25">
      <c r="B66" s="58" t="s">
        <v>45</v>
      </c>
      <c r="C66" s="14" t="s">
        <v>47</v>
      </c>
      <c r="D66" s="15" t="s">
        <v>191</v>
      </c>
      <c r="E66" s="15"/>
      <c r="F66" s="580">
        <v>16</v>
      </c>
      <c r="G66" s="422"/>
      <c r="H66" s="17">
        <v>1840</v>
      </c>
      <c r="I66" s="18"/>
      <c r="J66" s="61"/>
      <c r="K66" s="399"/>
      <c r="L66" s="420" t="str">
        <f t="shared" si="7"/>
        <v/>
      </c>
      <c r="M66" s="401" t="str">
        <f t="shared" si="2"/>
        <v/>
      </c>
    </row>
    <row r="67" spans="2:13" x14ac:dyDescent="0.25">
      <c r="B67" s="58"/>
      <c r="C67" s="14"/>
      <c r="D67" s="15"/>
      <c r="E67" s="15"/>
      <c r="F67" s="580"/>
      <c r="G67" s="422"/>
      <c r="H67" s="17" t="str">
        <f>IF(D67="","",F67*G67)</f>
        <v/>
      </c>
      <c r="I67" s="18"/>
      <c r="J67" s="61"/>
      <c r="K67" s="399"/>
      <c r="L67" s="420" t="str">
        <f t="shared" si="7"/>
        <v/>
      </c>
      <c r="M67" s="401" t="str">
        <f t="shared" si="2"/>
        <v/>
      </c>
    </row>
    <row r="68" spans="2:13" x14ac:dyDescent="0.25">
      <c r="B68" s="58" t="s">
        <v>48</v>
      </c>
      <c r="C68" s="14" t="s">
        <v>1824</v>
      </c>
      <c r="D68" s="15"/>
      <c r="E68" s="15"/>
      <c r="F68" s="580"/>
      <c r="G68" s="422"/>
      <c r="H68" s="17" t="str">
        <f>IF(D68="","",F68*G68)</f>
        <v/>
      </c>
      <c r="I68" s="18"/>
      <c r="J68" s="61"/>
      <c r="K68" s="399"/>
      <c r="L68" s="420" t="str">
        <f t="shared" si="7"/>
        <v/>
      </c>
      <c r="M68" s="401" t="str">
        <f t="shared" si="2"/>
        <v/>
      </c>
    </row>
    <row r="69" spans="2:13" ht="8.15" customHeight="1" x14ac:dyDescent="0.25">
      <c r="B69" s="58"/>
      <c r="C69" s="14"/>
      <c r="D69" s="15"/>
      <c r="E69" s="15"/>
      <c r="F69" s="580"/>
      <c r="G69" s="422"/>
      <c r="H69" s="17" t="str">
        <f>IF(D69="","",F69*G69)</f>
        <v/>
      </c>
      <c r="I69" s="18"/>
      <c r="J69" s="61"/>
      <c r="K69" s="695"/>
      <c r="L69" s="420" t="str">
        <f t="shared" si="7"/>
        <v/>
      </c>
      <c r="M69" s="401" t="str">
        <f t="shared" si="2"/>
        <v/>
      </c>
    </row>
    <row r="70" spans="2:13" x14ac:dyDescent="0.25">
      <c r="B70" s="58" t="s">
        <v>41</v>
      </c>
      <c r="C70" s="14" t="s">
        <v>49</v>
      </c>
      <c r="D70" s="15"/>
      <c r="E70" s="15"/>
      <c r="F70" s="580"/>
      <c r="G70" s="422"/>
      <c r="H70" s="17"/>
      <c r="I70" s="18"/>
      <c r="J70" s="61"/>
      <c r="K70" s="699"/>
      <c r="L70" s="420" t="str">
        <f t="shared" si="1"/>
        <v/>
      </c>
      <c r="M70" s="401" t="str">
        <f t="shared" si="2"/>
        <v/>
      </c>
    </row>
    <row r="71" spans="2:13" ht="8.15" customHeight="1" x14ac:dyDescent="0.25">
      <c r="B71" s="58"/>
      <c r="C71" s="14"/>
      <c r="D71" s="15"/>
      <c r="E71" s="15"/>
      <c r="F71" s="580"/>
      <c r="G71" s="422"/>
      <c r="H71" s="17" t="str">
        <f>IF(D71="","",F71*G71)</f>
        <v/>
      </c>
      <c r="I71" s="18"/>
      <c r="J71" s="61"/>
      <c r="K71" s="695"/>
      <c r="L71" s="420" t="str">
        <f t="shared" ref="L71:L72" si="8">IF(J71="","",F71*K71)</f>
        <v/>
      </c>
      <c r="M71" s="401" t="str">
        <f t="shared" ref="M71:M72" si="9">IF(J71="","",IF(SUM(H71)=0,"",L71/H71))</f>
        <v/>
      </c>
    </row>
    <row r="72" spans="2:13" x14ac:dyDescent="0.25">
      <c r="B72" s="58" t="s">
        <v>990</v>
      </c>
      <c r="C72" s="14" t="s">
        <v>1675</v>
      </c>
      <c r="D72" s="15" t="s">
        <v>191</v>
      </c>
      <c r="E72" s="15"/>
      <c r="F72" s="580">
        <v>16</v>
      </c>
      <c r="G72" s="422"/>
      <c r="H72" s="17">
        <f>IF(D72="","",F72*G72)</f>
        <v>0</v>
      </c>
      <c r="I72" s="18"/>
      <c r="J72" s="61"/>
      <c r="K72" s="695"/>
      <c r="L72" s="420" t="str">
        <f t="shared" si="8"/>
        <v/>
      </c>
      <c r="M72" s="401" t="str">
        <f t="shared" si="9"/>
        <v/>
      </c>
    </row>
    <row r="73" spans="2:13" ht="8.15" customHeight="1" x14ac:dyDescent="0.25">
      <c r="B73" s="58"/>
      <c r="C73" s="14"/>
      <c r="D73" s="15"/>
      <c r="E73" s="15"/>
      <c r="F73" s="580"/>
      <c r="G73" s="422"/>
      <c r="H73" s="17" t="str">
        <f>IF(D73="","",F73*G73)</f>
        <v/>
      </c>
      <c r="I73" s="18"/>
      <c r="J73" s="61"/>
      <c r="K73" s="695"/>
      <c r="L73" s="420" t="str">
        <f t="shared" si="1"/>
        <v/>
      </c>
      <c r="M73" s="401" t="str">
        <f t="shared" si="2"/>
        <v/>
      </c>
    </row>
    <row r="74" spans="2:13" x14ac:dyDescent="0.25">
      <c r="B74" s="58" t="s">
        <v>991</v>
      </c>
      <c r="C74" s="14" t="s">
        <v>1676</v>
      </c>
      <c r="D74" s="15" t="s">
        <v>191</v>
      </c>
      <c r="E74" s="15"/>
      <c r="F74" s="580">
        <v>16</v>
      </c>
      <c r="G74" s="422"/>
      <c r="H74" s="17">
        <f>IF(D74="","",F74*G74)</f>
        <v>0</v>
      </c>
      <c r="I74" s="18"/>
      <c r="J74" s="61"/>
      <c r="K74" s="695"/>
      <c r="L74" s="420" t="str">
        <f t="shared" si="1"/>
        <v/>
      </c>
      <c r="M74" s="401" t="str">
        <f t="shared" si="2"/>
        <v/>
      </c>
    </row>
    <row r="75" spans="2:13" ht="6" customHeight="1" x14ac:dyDescent="0.25">
      <c r="B75" s="58"/>
      <c r="C75" s="14"/>
      <c r="D75" s="15"/>
      <c r="E75" s="15"/>
      <c r="F75" s="580"/>
      <c r="G75" s="422"/>
      <c r="H75" s="17" t="str">
        <f>IF(D75="","",F75*G75)</f>
        <v/>
      </c>
      <c r="I75" s="18"/>
      <c r="J75" s="61"/>
      <c r="K75" s="696"/>
      <c r="L75" s="420" t="str">
        <f t="shared" ref="L75" si="10">IF(J75="","",F75*K75)</f>
        <v/>
      </c>
      <c r="M75" s="401" t="str">
        <f t="shared" ref="M75" si="11">IF(J75="","",IF(SUM(H75)=0,"",L75/H75))</f>
        <v/>
      </c>
    </row>
    <row r="76" spans="2:13" s="28" customFormat="1" ht="20.149999999999999" customHeight="1" x14ac:dyDescent="0.25">
      <c r="B76" s="80" t="str">
        <f>B12</f>
        <v>C1.2</v>
      </c>
      <c r="C76" s="498" t="str">
        <f>"TOTAL CARRIED FORWARD"&amp;IF(H76=H$1," TO SUMMARY (Page C"&amp;Page_A&amp;")","")</f>
        <v>TOTAL CARRIED FORWARD</v>
      </c>
      <c r="D76" s="31"/>
      <c r="E76" s="31"/>
      <c r="F76" s="32"/>
      <c r="G76" s="31"/>
      <c r="H76" s="33">
        <f>SUM(H11:H75)</f>
        <v>550915</v>
      </c>
      <c r="I76" s="34"/>
      <c r="J76" s="408"/>
      <c r="K76" s="406"/>
      <c r="L76" s="418">
        <f>SUM(L11:L75)</f>
        <v>270522.07500000001</v>
      </c>
      <c r="M76" s="407" t="str">
        <f t="shared" si="2"/>
        <v/>
      </c>
    </row>
    <row r="77" spans="2:13" ht="13" x14ac:dyDescent="0.25">
      <c r="B77" s="1108" t="str">
        <f>Client1</f>
        <v>Province of KwaZulu-Natal</v>
      </c>
      <c r="C77" s="1108"/>
      <c r="D77" s="1108"/>
      <c r="E77" s="87"/>
      <c r="F77" s="1109" t="str">
        <f>"Contract No. "&amp;ContractNo</f>
        <v>Contract No. ZNB 00399/00000/HOD/INF/21/T</v>
      </c>
      <c r="G77" s="1109"/>
      <c r="H77" s="1109"/>
    </row>
    <row r="78" spans="2:13" ht="13" x14ac:dyDescent="0.25">
      <c r="B78" s="1108" t="str">
        <f>Client2</f>
        <v>Department of Transport</v>
      </c>
      <c r="C78" s="1108"/>
      <c r="D78" s="1108"/>
      <c r="E78" s="87"/>
      <c r="F78" s="1109"/>
      <c r="G78" s="1109"/>
      <c r="H78" s="1109"/>
    </row>
    <row r="79" spans="2:13" x14ac:dyDescent="0.25">
      <c r="B79" s="1111"/>
      <c r="C79" s="1111"/>
      <c r="D79" s="1111"/>
      <c r="E79" s="78"/>
      <c r="F79" s="1110"/>
      <c r="G79" s="1110"/>
      <c r="H79" s="1110"/>
    </row>
    <row r="80" spans="2:13" ht="13" x14ac:dyDescent="0.25">
      <c r="B80" s="1112" t="s">
        <v>8</v>
      </c>
      <c r="C80" s="1113"/>
      <c r="D80" s="1113"/>
      <c r="E80" s="1113"/>
      <c r="F80" s="1113"/>
      <c r="G80" s="1113"/>
      <c r="H80" s="1114" t="str">
        <f>$H$6</f>
        <v>CHAPTER C1.2</v>
      </c>
      <c r="I80" s="6"/>
    </row>
    <row r="81" spans="2:13" ht="13" x14ac:dyDescent="0.25">
      <c r="B81" s="1117" t="str">
        <f>ContractDescription</f>
        <v>THE CONSTRUCTION OF EARTHWORKS, LAYERWORKS, SURFACING, CULVERTS AND CWAKA RIVER BRIDGE FROM KM 11.600 TO KM 14.000 ON MAIN ROAD P494 IN THE KING CETSHWAYO DISTRICT UNDER EMPANGENI REGION</v>
      </c>
      <c r="C81" s="1118"/>
      <c r="D81" s="1118"/>
      <c r="E81" s="1118"/>
      <c r="F81" s="1118"/>
      <c r="G81" s="1118"/>
      <c r="H81" s="1115"/>
      <c r="I81" s="8"/>
    </row>
    <row r="82" spans="2:13" ht="13" x14ac:dyDescent="0.25">
      <c r="B82" s="1117"/>
      <c r="C82" s="1118"/>
      <c r="D82" s="1118"/>
      <c r="E82" s="1118"/>
      <c r="F82" s="1118"/>
      <c r="G82" s="1118"/>
      <c r="H82" s="1115"/>
      <c r="I82" s="8"/>
    </row>
    <row r="83" spans="2:13" ht="13" x14ac:dyDescent="0.25">
      <c r="B83" s="1119"/>
      <c r="C83" s="1120"/>
      <c r="D83" s="1120"/>
      <c r="E83" s="1120"/>
      <c r="F83" s="1120"/>
      <c r="G83" s="1120"/>
      <c r="H83" s="1116"/>
      <c r="I83" s="8"/>
    </row>
    <row r="84" spans="2:13" s="9" customFormat="1" ht="25" customHeight="1" x14ac:dyDescent="0.25">
      <c r="B84" s="74" t="s">
        <v>0</v>
      </c>
      <c r="C84" s="11" t="s">
        <v>1</v>
      </c>
      <c r="D84" s="11" t="s">
        <v>2</v>
      </c>
      <c r="E84" s="11" t="s">
        <v>996</v>
      </c>
      <c r="F84" s="11" t="s">
        <v>3</v>
      </c>
      <c r="G84" s="11" t="s">
        <v>4</v>
      </c>
      <c r="H84" s="11" t="s">
        <v>5</v>
      </c>
      <c r="I84" s="12"/>
      <c r="J84" s="408" t="s">
        <v>996</v>
      </c>
      <c r="K84" s="253" t="s">
        <v>997</v>
      </c>
      <c r="L84" s="253" t="s">
        <v>998</v>
      </c>
      <c r="M84" s="253" t="s">
        <v>999</v>
      </c>
    </row>
    <row r="85" spans="2:13" s="28" customFormat="1" ht="20.149999999999999" customHeight="1" x14ac:dyDescent="0.25">
      <c r="B85" s="80"/>
      <c r="C85" s="30" t="s">
        <v>27</v>
      </c>
      <c r="D85" s="31"/>
      <c r="E85" s="31"/>
      <c r="F85" s="32"/>
      <c r="G85" s="31"/>
      <c r="H85" s="33">
        <f>H76</f>
        <v>550915</v>
      </c>
      <c r="I85" s="34"/>
      <c r="J85" s="416"/>
      <c r="K85" s="409"/>
      <c r="L85" s="418">
        <f>L76</f>
        <v>270522.07500000001</v>
      </c>
      <c r="M85" s="410" t="str">
        <f>IF(F85="","",IF(SUM(I85)=0,"",L85/I85))</f>
        <v/>
      </c>
    </row>
    <row r="86" spans="2:13" x14ac:dyDescent="0.25">
      <c r="B86" s="58"/>
      <c r="C86" s="14"/>
      <c r="D86" s="15"/>
      <c r="E86" s="15"/>
      <c r="F86" s="580"/>
      <c r="G86" s="422"/>
      <c r="H86" s="17" t="str">
        <f t="shared" ref="H86:H117" si="12">IF(D86="","",F86*G86)</f>
        <v/>
      </c>
      <c r="I86" s="18"/>
      <c r="J86" s="61"/>
      <c r="K86" s="399"/>
      <c r="L86" s="420" t="str">
        <f t="shared" ref="L86:L88" si="13">IF(J86="","",F86*K86)</f>
        <v/>
      </c>
      <c r="M86" s="401" t="str">
        <f t="shared" ref="M86:M88" si="14">IF(J86="","",IF(SUM(H86)=0,"",L86/H86))</f>
        <v/>
      </c>
    </row>
    <row r="87" spans="2:13" x14ac:dyDescent="0.25">
      <c r="B87" s="58" t="s">
        <v>44</v>
      </c>
      <c r="C87" s="14" t="s">
        <v>2203</v>
      </c>
      <c r="D87" s="15" t="s">
        <v>191</v>
      </c>
      <c r="E87" s="15"/>
      <c r="F87" s="580">
        <v>8</v>
      </c>
      <c r="G87" s="422"/>
      <c r="H87" s="17">
        <f t="shared" si="12"/>
        <v>0</v>
      </c>
      <c r="I87" s="18"/>
      <c r="J87" s="61"/>
      <c r="K87" s="399"/>
      <c r="L87" s="420" t="str">
        <f t="shared" si="13"/>
        <v/>
      </c>
      <c r="M87" s="401" t="str">
        <f t="shared" si="14"/>
        <v/>
      </c>
    </row>
    <row r="88" spans="2:13" ht="8.15" customHeight="1" x14ac:dyDescent="0.25">
      <c r="B88" s="58"/>
      <c r="C88" s="14"/>
      <c r="D88" s="15"/>
      <c r="E88" s="15"/>
      <c r="F88" s="580"/>
      <c r="G88" s="422"/>
      <c r="H88" s="17" t="str">
        <f t="shared" si="12"/>
        <v/>
      </c>
      <c r="I88" s="18"/>
      <c r="J88" s="61"/>
      <c r="K88" s="399"/>
      <c r="L88" s="420" t="str">
        <f t="shared" si="13"/>
        <v/>
      </c>
      <c r="M88" s="401" t="str">
        <f t="shared" si="14"/>
        <v/>
      </c>
    </row>
    <row r="89" spans="2:13" x14ac:dyDescent="0.25">
      <c r="B89" s="58" t="s">
        <v>45</v>
      </c>
      <c r="C89" s="14" t="s">
        <v>2071</v>
      </c>
      <c r="D89" s="15" t="s">
        <v>191</v>
      </c>
      <c r="E89" s="15"/>
      <c r="F89" s="580">
        <v>8</v>
      </c>
      <c r="G89" s="422"/>
      <c r="H89" s="17">
        <f t="shared" si="12"/>
        <v>0</v>
      </c>
      <c r="I89" s="18"/>
      <c r="J89" s="61"/>
      <c r="K89" s="399"/>
      <c r="L89" s="420" t="str">
        <f t="shared" ref="L89:L122" si="15">IF(J89="","",F89*K89)</f>
        <v/>
      </c>
      <c r="M89" s="401" t="str">
        <f t="shared" ref="M89:M122" si="16">IF(J89="","",IF(SUM(H89)=0,"",L89/H89))</f>
        <v/>
      </c>
    </row>
    <row r="90" spans="2:13" ht="8.15" customHeight="1" x14ac:dyDescent="0.25">
      <c r="B90" s="58"/>
      <c r="C90" s="14"/>
      <c r="D90" s="15"/>
      <c r="E90" s="15"/>
      <c r="F90" s="580"/>
      <c r="G90" s="422"/>
      <c r="H90" s="17" t="str">
        <f t="shared" si="12"/>
        <v/>
      </c>
      <c r="I90" s="18"/>
      <c r="J90" s="61"/>
      <c r="K90" s="399"/>
      <c r="L90" s="420" t="str">
        <f t="shared" si="15"/>
        <v/>
      </c>
      <c r="M90" s="401" t="str">
        <f t="shared" si="16"/>
        <v/>
      </c>
    </row>
    <row r="91" spans="2:13" ht="25" x14ac:dyDescent="0.25">
      <c r="B91" s="58" t="s">
        <v>239</v>
      </c>
      <c r="C91" s="14" t="s">
        <v>2070</v>
      </c>
      <c r="D91" s="15" t="s">
        <v>191</v>
      </c>
      <c r="E91" s="15"/>
      <c r="F91" s="580">
        <v>16</v>
      </c>
      <c r="G91" s="424"/>
      <c r="H91" s="17">
        <f t="shared" si="12"/>
        <v>0</v>
      </c>
      <c r="I91" s="18"/>
      <c r="J91" s="61"/>
      <c r="K91" s="399"/>
      <c r="L91" s="420" t="str">
        <f t="shared" si="15"/>
        <v/>
      </c>
      <c r="M91" s="401" t="str">
        <f t="shared" si="16"/>
        <v/>
      </c>
    </row>
    <row r="92" spans="2:13" ht="8.15" customHeight="1" x14ac:dyDescent="0.25">
      <c r="B92" s="58"/>
      <c r="C92" s="14"/>
      <c r="D92" s="15"/>
      <c r="E92" s="15"/>
      <c r="F92" s="580"/>
      <c r="G92" s="424"/>
      <c r="H92" s="17" t="str">
        <f t="shared" si="12"/>
        <v/>
      </c>
      <c r="I92" s="18"/>
      <c r="J92" s="61"/>
      <c r="K92" s="400"/>
      <c r="L92" s="420" t="str">
        <f t="shared" si="15"/>
        <v/>
      </c>
      <c r="M92" s="401" t="str">
        <f t="shared" si="16"/>
        <v/>
      </c>
    </row>
    <row r="93" spans="2:13" x14ac:dyDescent="0.25">
      <c r="B93" s="58" t="s">
        <v>50</v>
      </c>
      <c r="C93" s="14" t="s">
        <v>1825</v>
      </c>
      <c r="D93" s="15"/>
      <c r="E93" s="15"/>
      <c r="F93" s="580"/>
      <c r="G93" s="411"/>
      <c r="H93" s="17" t="str">
        <f t="shared" si="12"/>
        <v/>
      </c>
      <c r="I93" s="18"/>
      <c r="J93" s="61"/>
      <c r="K93" s="399"/>
      <c r="L93" s="420" t="str">
        <f t="shared" si="15"/>
        <v/>
      </c>
      <c r="M93" s="401" t="str">
        <f t="shared" si="16"/>
        <v/>
      </c>
    </row>
    <row r="94" spans="2:13" ht="8.15" customHeight="1" x14ac:dyDescent="0.25">
      <c r="B94" s="58"/>
      <c r="C94" s="14"/>
      <c r="D94" s="15"/>
      <c r="E94" s="15"/>
      <c r="F94" s="580"/>
      <c r="G94" s="411"/>
      <c r="H94" s="17" t="str">
        <f t="shared" si="12"/>
        <v/>
      </c>
      <c r="I94" s="18"/>
      <c r="J94" s="61"/>
      <c r="K94" s="399"/>
      <c r="L94" s="420" t="str">
        <f t="shared" si="15"/>
        <v/>
      </c>
      <c r="M94" s="401" t="str">
        <f t="shared" si="16"/>
        <v/>
      </c>
    </row>
    <row r="95" spans="2:13" x14ac:dyDescent="0.25">
      <c r="B95" s="58" t="s">
        <v>990</v>
      </c>
      <c r="C95" s="14" t="s">
        <v>1677</v>
      </c>
      <c r="D95" s="15" t="s">
        <v>191</v>
      </c>
      <c r="E95" s="15"/>
      <c r="F95" s="580">
        <v>16</v>
      </c>
      <c r="G95" s="411"/>
      <c r="H95" s="17">
        <f t="shared" si="12"/>
        <v>0</v>
      </c>
      <c r="I95" s="18"/>
      <c r="J95" s="61"/>
      <c r="K95" s="399"/>
      <c r="L95" s="420" t="str">
        <f t="shared" si="15"/>
        <v/>
      </c>
      <c r="M95" s="401" t="str">
        <f t="shared" si="16"/>
        <v/>
      </c>
    </row>
    <row r="96" spans="2:13" ht="8.15" customHeight="1" x14ac:dyDescent="0.25">
      <c r="B96" s="58"/>
      <c r="C96" s="668"/>
      <c r="D96" s="684"/>
      <c r="E96" s="684"/>
      <c r="F96" s="580"/>
      <c r="G96" s="422"/>
      <c r="H96" s="17" t="str">
        <f t="shared" si="12"/>
        <v/>
      </c>
      <c r="I96" s="18"/>
      <c r="J96" s="61"/>
      <c r="K96" s="399"/>
      <c r="L96" s="420" t="str">
        <f>IF(J96="","",F96*K96)</f>
        <v/>
      </c>
      <c r="M96" s="401" t="str">
        <f>IF(J96="","",IF(SUM(H96)=0,"",L96/H96))</f>
        <v/>
      </c>
    </row>
    <row r="97" spans="2:13" x14ac:dyDescent="0.25">
      <c r="B97" s="58" t="s">
        <v>991</v>
      </c>
      <c r="C97" s="14" t="s">
        <v>1678</v>
      </c>
      <c r="D97" s="15" t="s">
        <v>191</v>
      </c>
      <c r="E97" s="15"/>
      <c r="F97" s="580">
        <v>16</v>
      </c>
      <c r="G97" s="422"/>
      <c r="H97" s="17">
        <f t="shared" si="12"/>
        <v>0</v>
      </c>
      <c r="I97" s="18"/>
      <c r="J97" s="61"/>
      <c r="K97" s="402"/>
      <c r="L97" s="420" t="str">
        <f t="shared" si="15"/>
        <v/>
      </c>
      <c r="M97" s="401" t="str">
        <f t="shared" si="16"/>
        <v/>
      </c>
    </row>
    <row r="98" spans="2:13" x14ac:dyDescent="0.25">
      <c r="B98" s="58"/>
      <c r="C98" s="14"/>
      <c r="D98" s="15"/>
      <c r="E98" s="15"/>
      <c r="F98" s="580"/>
      <c r="G98" s="422"/>
      <c r="H98" s="17" t="str">
        <f t="shared" si="12"/>
        <v/>
      </c>
      <c r="I98" s="18"/>
      <c r="J98" s="61"/>
      <c r="K98" s="402"/>
      <c r="L98" s="420" t="str">
        <f t="shared" si="15"/>
        <v/>
      </c>
      <c r="M98" s="401" t="str">
        <f t="shared" si="16"/>
        <v/>
      </c>
    </row>
    <row r="99" spans="2:13" x14ac:dyDescent="0.25">
      <c r="B99" s="58" t="s">
        <v>1679</v>
      </c>
      <c r="C99" s="14" t="s">
        <v>1680</v>
      </c>
      <c r="D99" s="15" t="s">
        <v>191</v>
      </c>
      <c r="E99" s="15"/>
      <c r="F99" s="580">
        <v>16</v>
      </c>
      <c r="G99" s="422"/>
      <c r="H99" s="17">
        <f t="shared" si="12"/>
        <v>0</v>
      </c>
      <c r="I99" s="18"/>
      <c r="J99" s="61"/>
      <c r="K99" s="402"/>
      <c r="L99" s="420" t="str">
        <f t="shared" si="15"/>
        <v/>
      </c>
      <c r="M99" s="401" t="str">
        <f t="shared" si="16"/>
        <v/>
      </c>
    </row>
    <row r="100" spans="2:13" x14ac:dyDescent="0.25">
      <c r="B100" s="58"/>
      <c r="C100" s="14"/>
      <c r="D100" s="15"/>
      <c r="E100" s="15"/>
      <c r="F100" s="580"/>
      <c r="G100" s="424"/>
      <c r="H100" s="17" t="str">
        <f t="shared" si="12"/>
        <v/>
      </c>
      <c r="I100" s="18"/>
      <c r="J100" s="61"/>
      <c r="K100" s="402"/>
      <c r="L100" s="420" t="str">
        <f t="shared" si="15"/>
        <v/>
      </c>
      <c r="M100" s="401" t="str">
        <f t="shared" si="16"/>
        <v/>
      </c>
    </row>
    <row r="101" spans="2:13" x14ac:dyDescent="0.25">
      <c r="B101" s="58" t="s">
        <v>51</v>
      </c>
      <c r="C101" s="14" t="s">
        <v>1826</v>
      </c>
      <c r="D101" s="15"/>
      <c r="E101" s="15"/>
      <c r="F101" s="580"/>
      <c r="G101" s="424"/>
      <c r="H101" s="17" t="str">
        <f t="shared" si="12"/>
        <v/>
      </c>
      <c r="I101" s="18"/>
      <c r="J101" s="61"/>
      <c r="K101" s="402"/>
      <c r="L101" s="420" t="str">
        <f t="shared" si="15"/>
        <v/>
      </c>
      <c r="M101" s="401" t="str">
        <f t="shared" si="16"/>
        <v/>
      </c>
    </row>
    <row r="102" spans="2:13" x14ac:dyDescent="0.25">
      <c r="B102" s="58"/>
      <c r="C102" s="14"/>
      <c r="D102" s="15"/>
      <c r="E102" s="15"/>
      <c r="F102" s="580"/>
      <c r="G102" s="424"/>
      <c r="H102" s="17" t="str">
        <f t="shared" si="12"/>
        <v/>
      </c>
      <c r="I102" s="18"/>
      <c r="J102" s="61"/>
      <c r="K102" s="402"/>
      <c r="L102" s="420" t="str">
        <f t="shared" si="15"/>
        <v/>
      </c>
      <c r="M102" s="401" t="str">
        <f t="shared" si="16"/>
        <v/>
      </c>
    </row>
    <row r="103" spans="2:13" x14ac:dyDescent="0.25">
      <c r="B103" s="58" t="s">
        <v>39</v>
      </c>
      <c r="C103" s="14" t="s">
        <v>2069</v>
      </c>
      <c r="D103" s="15" t="s">
        <v>22</v>
      </c>
      <c r="E103" s="15"/>
      <c r="F103" s="580">
        <v>1000</v>
      </c>
      <c r="G103" s="424"/>
      <c r="H103" s="17">
        <f t="shared" si="12"/>
        <v>0</v>
      </c>
      <c r="I103" s="18"/>
      <c r="J103" s="61"/>
      <c r="K103" s="399"/>
      <c r="L103" s="420" t="str">
        <f t="shared" si="15"/>
        <v/>
      </c>
      <c r="M103" s="401" t="str">
        <f t="shared" si="16"/>
        <v/>
      </c>
    </row>
    <row r="104" spans="2:13" x14ac:dyDescent="0.25">
      <c r="B104" s="58"/>
      <c r="C104" s="14"/>
      <c r="D104" s="15"/>
      <c r="E104" s="15"/>
      <c r="F104" s="580"/>
      <c r="G104" s="424"/>
      <c r="H104" s="17" t="str">
        <f t="shared" si="12"/>
        <v/>
      </c>
      <c r="I104" s="18"/>
      <c r="J104" s="61"/>
      <c r="K104" s="399"/>
      <c r="L104" s="420" t="str">
        <f t="shared" si="15"/>
        <v/>
      </c>
      <c r="M104" s="401" t="str">
        <f t="shared" si="16"/>
        <v/>
      </c>
    </row>
    <row r="105" spans="2:13" x14ac:dyDescent="0.25">
      <c r="B105" s="58" t="s">
        <v>41</v>
      </c>
      <c r="C105" s="14" t="s">
        <v>2068</v>
      </c>
      <c r="D105" s="15" t="s">
        <v>22</v>
      </c>
      <c r="E105" s="15"/>
      <c r="F105" s="580">
        <v>600</v>
      </c>
      <c r="G105" s="424"/>
      <c r="H105" s="17">
        <f t="shared" si="12"/>
        <v>0</v>
      </c>
      <c r="I105" s="18"/>
      <c r="J105" s="61"/>
      <c r="K105" s="400"/>
      <c r="L105" s="420" t="str">
        <f t="shared" si="15"/>
        <v/>
      </c>
      <c r="M105" s="401" t="str">
        <f t="shared" si="16"/>
        <v/>
      </c>
    </row>
    <row r="106" spans="2:13" x14ac:dyDescent="0.25">
      <c r="B106" s="58"/>
      <c r="C106" s="14"/>
      <c r="D106" s="15"/>
      <c r="E106" s="15"/>
      <c r="F106" s="580"/>
      <c r="G106" s="424"/>
      <c r="H106" s="17" t="str">
        <f t="shared" si="12"/>
        <v/>
      </c>
      <c r="I106" s="18"/>
      <c r="J106" s="61"/>
      <c r="K106" s="399"/>
      <c r="L106" s="420" t="str">
        <f t="shared" si="15"/>
        <v/>
      </c>
      <c r="M106" s="401" t="str">
        <f t="shared" si="16"/>
        <v/>
      </c>
    </row>
    <row r="107" spans="2:13" x14ac:dyDescent="0.25">
      <c r="B107" s="58" t="s">
        <v>52</v>
      </c>
      <c r="C107" s="14" t="s">
        <v>2067</v>
      </c>
      <c r="D107" s="15" t="s">
        <v>22</v>
      </c>
      <c r="E107" s="15"/>
      <c r="F107" s="580">
        <v>250</v>
      </c>
      <c r="G107" s="422"/>
      <c r="H107" s="17">
        <f t="shared" si="12"/>
        <v>0</v>
      </c>
      <c r="I107" s="18"/>
      <c r="J107" s="61"/>
      <c r="K107" s="399"/>
      <c r="L107" s="420" t="str">
        <f t="shared" si="15"/>
        <v/>
      </c>
      <c r="M107" s="401" t="str">
        <f t="shared" si="16"/>
        <v/>
      </c>
    </row>
    <row r="108" spans="2:13" x14ac:dyDescent="0.25">
      <c r="B108" s="58"/>
      <c r="C108" s="668"/>
      <c r="D108" s="684"/>
      <c r="E108" s="684"/>
      <c r="F108" s="580"/>
      <c r="G108" s="422"/>
      <c r="H108" s="17" t="str">
        <f t="shared" si="12"/>
        <v/>
      </c>
      <c r="I108" s="18"/>
      <c r="J108" s="61"/>
      <c r="K108" s="399"/>
      <c r="L108" s="420" t="str">
        <f t="shared" si="15"/>
        <v/>
      </c>
      <c r="M108" s="401" t="str">
        <f t="shared" si="16"/>
        <v/>
      </c>
    </row>
    <row r="109" spans="2:13" x14ac:dyDescent="0.25">
      <c r="B109" s="58" t="s">
        <v>43</v>
      </c>
      <c r="C109" s="668" t="s">
        <v>2066</v>
      </c>
      <c r="D109" s="684" t="s">
        <v>22</v>
      </c>
      <c r="E109" s="684"/>
      <c r="F109" s="580">
        <v>250</v>
      </c>
      <c r="G109" s="422"/>
      <c r="H109" s="17">
        <f t="shared" si="12"/>
        <v>0</v>
      </c>
      <c r="I109" s="18"/>
      <c r="J109" s="61"/>
      <c r="K109" s="399"/>
      <c r="L109" s="420" t="str">
        <f t="shared" si="15"/>
        <v/>
      </c>
      <c r="M109" s="401" t="str">
        <f t="shared" si="16"/>
        <v/>
      </c>
    </row>
    <row r="110" spans="2:13" x14ac:dyDescent="0.25">
      <c r="B110" s="58"/>
      <c r="C110" s="668"/>
      <c r="D110" s="684"/>
      <c r="E110" s="684"/>
      <c r="F110" s="580"/>
      <c r="G110" s="422"/>
      <c r="H110" s="17" t="str">
        <f t="shared" si="12"/>
        <v/>
      </c>
      <c r="I110" s="18"/>
      <c r="J110" s="61"/>
      <c r="K110" s="399"/>
      <c r="L110" s="420" t="str">
        <f t="shared" si="15"/>
        <v/>
      </c>
      <c r="M110" s="401" t="str">
        <f t="shared" si="16"/>
        <v/>
      </c>
    </row>
    <row r="111" spans="2:13" x14ac:dyDescent="0.25">
      <c r="B111" s="58" t="s">
        <v>2072</v>
      </c>
      <c r="C111" s="668" t="s">
        <v>2073</v>
      </c>
      <c r="D111" s="684"/>
      <c r="E111" s="684"/>
      <c r="F111" s="580"/>
      <c r="G111" s="422"/>
      <c r="H111" s="17" t="str">
        <f t="shared" si="12"/>
        <v/>
      </c>
      <c r="I111" s="18"/>
      <c r="J111" s="61"/>
      <c r="K111" s="400"/>
      <c r="L111" s="420" t="str">
        <f t="shared" si="15"/>
        <v/>
      </c>
      <c r="M111" s="401" t="str">
        <f t="shared" si="16"/>
        <v/>
      </c>
    </row>
    <row r="112" spans="2:13" x14ac:dyDescent="0.25">
      <c r="B112" s="58"/>
      <c r="C112" s="668"/>
      <c r="D112" s="684"/>
      <c r="E112" s="684"/>
      <c r="F112" s="580"/>
      <c r="G112" s="425"/>
      <c r="H112" s="17" t="str">
        <f t="shared" si="12"/>
        <v/>
      </c>
      <c r="I112" s="18"/>
      <c r="J112" s="61"/>
      <c r="K112" s="399"/>
      <c r="L112" s="420" t="str">
        <f t="shared" si="15"/>
        <v/>
      </c>
      <c r="M112" s="401" t="str">
        <f t="shared" si="16"/>
        <v/>
      </c>
    </row>
    <row r="113" spans="2:13" x14ac:dyDescent="0.25">
      <c r="B113" s="58" t="s">
        <v>39</v>
      </c>
      <c r="C113" s="668" t="s">
        <v>2074</v>
      </c>
      <c r="D113" s="684" t="s">
        <v>2075</v>
      </c>
      <c r="E113" s="684"/>
      <c r="F113" s="580">
        <v>25000</v>
      </c>
      <c r="G113" s="422">
        <v>1</v>
      </c>
      <c r="H113" s="17">
        <f t="shared" si="12"/>
        <v>25000</v>
      </c>
      <c r="I113" s="18"/>
      <c r="J113" s="61"/>
      <c r="K113" s="399"/>
      <c r="L113" s="420" t="str">
        <f t="shared" si="15"/>
        <v/>
      </c>
      <c r="M113" s="401" t="str">
        <f t="shared" si="16"/>
        <v/>
      </c>
    </row>
    <row r="114" spans="2:13" x14ac:dyDescent="0.25">
      <c r="B114" s="58"/>
      <c r="C114" s="668"/>
      <c r="D114" s="684"/>
      <c r="E114" s="684"/>
      <c r="F114" s="580"/>
      <c r="G114" s="422"/>
      <c r="H114" s="17" t="str">
        <f t="shared" si="12"/>
        <v/>
      </c>
      <c r="I114" s="18"/>
      <c r="J114" s="61"/>
      <c r="K114" s="399"/>
      <c r="L114" s="420" t="str">
        <f t="shared" si="15"/>
        <v/>
      </c>
      <c r="M114" s="401" t="str">
        <f t="shared" si="16"/>
        <v/>
      </c>
    </row>
    <row r="115" spans="2:13" ht="25" x14ac:dyDescent="0.25">
      <c r="B115" s="58" t="s">
        <v>41</v>
      </c>
      <c r="C115" s="668" t="s">
        <v>2076</v>
      </c>
      <c r="D115" s="684" t="s">
        <v>26</v>
      </c>
      <c r="E115" s="684"/>
      <c r="F115" s="580">
        <f>F113</f>
        <v>25000</v>
      </c>
      <c r="G115" s="425"/>
      <c r="H115" s="17">
        <f t="shared" si="12"/>
        <v>0</v>
      </c>
      <c r="I115" s="18"/>
      <c r="J115" s="61"/>
      <c r="K115" s="399"/>
      <c r="L115" s="420" t="str">
        <f t="shared" si="15"/>
        <v/>
      </c>
      <c r="M115" s="401" t="str">
        <f t="shared" si="16"/>
        <v/>
      </c>
    </row>
    <row r="116" spans="2:13" x14ac:dyDescent="0.25">
      <c r="B116" s="58"/>
      <c r="C116" s="668"/>
      <c r="D116" s="684"/>
      <c r="E116" s="684"/>
      <c r="F116" s="580"/>
      <c r="G116" s="422"/>
      <c r="H116" s="17" t="str">
        <f t="shared" si="12"/>
        <v/>
      </c>
      <c r="I116" s="18"/>
      <c r="J116" s="61"/>
      <c r="K116" s="399"/>
      <c r="L116" s="420" t="str">
        <f t="shared" si="15"/>
        <v/>
      </c>
      <c r="M116" s="401" t="str">
        <f t="shared" si="16"/>
        <v/>
      </c>
    </row>
    <row r="117" spans="2:13" ht="26" x14ac:dyDescent="0.25">
      <c r="B117" s="146" t="s">
        <v>1081</v>
      </c>
      <c r="C117" s="19" t="s">
        <v>1681</v>
      </c>
      <c r="D117" s="15"/>
      <c r="E117" s="15"/>
      <c r="F117" s="580"/>
      <c r="G117" s="422"/>
      <c r="H117" s="17" t="str">
        <f t="shared" si="12"/>
        <v/>
      </c>
      <c r="I117" s="18"/>
      <c r="J117" s="61"/>
      <c r="K117" s="399"/>
      <c r="L117" s="420" t="str">
        <f t="shared" si="15"/>
        <v/>
      </c>
      <c r="M117" s="401" t="str">
        <f t="shared" si="16"/>
        <v/>
      </c>
    </row>
    <row r="118" spans="2:13" x14ac:dyDescent="0.25">
      <c r="B118" s="58"/>
      <c r="C118" s="14"/>
      <c r="D118" s="15"/>
      <c r="E118" s="15"/>
      <c r="F118" s="580"/>
      <c r="G118" s="411"/>
      <c r="H118" s="17" t="str">
        <f t="shared" ref="H118:H141" si="17">IF(D118="","",F118*G118)</f>
        <v/>
      </c>
      <c r="I118" s="18"/>
      <c r="J118" s="61"/>
      <c r="K118" s="402"/>
      <c r="L118" s="420" t="str">
        <f t="shared" si="15"/>
        <v/>
      </c>
      <c r="M118" s="401" t="str">
        <f t="shared" si="16"/>
        <v/>
      </c>
    </row>
    <row r="119" spans="2:13" ht="25" x14ac:dyDescent="0.25">
      <c r="B119" s="58" t="s">
        <v>39</v>
      </c>
      <c r="C119" s="14" t="s">
        <v>1828</v>
      </c>
      <c r="D119" s="15" t="s">
        <v>557</v>
      </c>
      <c r="E119" s="15"/>
      <c r="F119" s="580">
        <f>Quantities!$S$45</f>
        <v>100000</v>
      </c>
      <c r="G119" s="411">
        <v>1</v>
      </c>
      <c r="H119" s="17">
        <f t="shared" si="17"/>
        <v>100000</v>
      </c>
      <c r="I119" s="18"/>
      <c r="J119" s="61"/>
      <c r="K119" s="399"/>
      <c r="L119" s="420" t="str">
        <f t="shared" si="15"/>
        <v/>
      </c>
      <c r="M119" s="401" t="str">
        <f t="shared" si="16"/>
        <v/>
      </c>
    </row>
    <row r="120" spans="2:13" x14ac:dyDescent="0.25">
      <c r="B120" s="58"/>
      <c r="C120" s="14"/>
      <c r="D120" s="15"/>
      <c r="E120" s="15"/>
      <c r="F120" s="24"/>
      <c r="G120" s="422"/>
      <c r="H120" s="17" t="str">
        <f t="shared" si="17"/>
        <v/>
      </c>
      <c r="I120" s="18"/>
      <c r="J120" s="61"/>
      <c r="K120" s="402"/>
      <c r="L120" s="420" t="str">
        <f t="shared" si="15"/>
        <v/>
      </c>
      <c r="M120" s="401" t="str">
        <f t="shared" si="16"/>
        <v/>
      </c>
    </row>
    <row r="121" spans="2:13" ht="25" x14ac:dyDescent="0.25">
      <c r="B121" s="58" t="s">
        <v>41</v>
      </c>
      <c r="C121" s="14" t="s">
        <v>1829</v>
      </c>
      <c r="D121" s="15" t="s">
        <v>26</v>
      </c>
      <c r="E121" s="15"/>
      <c r="F121" s="24">
        <f>F119</f>
        <v>100000</v>
      </c>
      <c r="G121" s="425"/>
      <c r="H121" s="17">
        <f t="shared" si="17"/>
        <v>0</v>
      </c>
      <c r="I121" s="18"/>
      <c r="J121" s="61"/>
      <c r="K121" s="402"/>
      <c r="L121" s="420" t="str">
        <f t="shared" si="15"/>
        <v/>
      </c>
      <c r="M121" s="401" t="str">
        <f t="shared" si="16"/>
        <v/>
      </c>
    </row>
    <row r="122" spans="2:13" x14ac:dyDescent="0.25">
      <c r="B122" s="58"/>
      <c r="C122" s="26"/>
      <c r="D122" s="15"/>
      <c r="E122" s="15"/>
      <c r="F122" s="24"/>
      <c r="G122" s="613"/>
      <c r="H122" s="17" t="str">
        <f t="shared" si="17"/>
        <v/>
      </c>
      <c r="I122" s="18"/>
      <c r="J122" s="61"/>
      <c r="K122" s="399"/>
      <c r="L122" s="420" t="str">
        <f t="shared" si="15"/>
        <v/>
      </c>
      <c r="M122" s="401" t="str">
        <f t="shared" si="16"/>
        <v/>
      </c>
    </row>
    <row r="123" spans="2:13" ht="13" x14ac:dyDescent="0.25">
      <c r="B123" s="146" t="s">
        <v>1082</v>
      </c>
      <c r="C123" s="19" t="s">
        <v>1188</v>
      </c>
      <c r="D123" s="15"/>
      <c r="E123" s="15"/>
      <c r="F123" s="24"/>
      <c r="G123" s="422"/>
      <c r="H123" s="17" t="str">
        <f t="shared" si="17"/>
        <v/>
      </c>
      <c r="I123" s="18"/>
      <c r="J123" s="61"/>
      <c r="K123" s="399"/>
      <c r="L123" s="420" t="str">
        <f t="shared" ref="L123:L141" si="18">IF(J123="","",F123*K123)</f>
        <v/>
      </c>
      <c r="M123" s="401" t="str">
        <f t="shared" ref="M123:M141" si="19">IF(J123="","",IF(SUM(H123)=0,"",L123/H123))</f>
        <v/>
      </c>
    </row>
    <row r="124" spans="2:13" x14ac:dyDescent="0.25">
      <c r="B124" s="58"/>
      <c r="C124" s="14"/>
      <c r="D124" s="15"/>
      <c r="E124" s="15"/>
      <c r="F124" s="24"/>
      <c r="G124" s="422"/>
      <c r="H124" s="17" t="str">
        <f t="shared" si="17"/>
        <v/>
      </c>
      <c r="I124" s="18"/>
      <c r="J124" s="61"/>
      <c r="K124" s="399"/>
      <c r="L124" s="420" t="str">
        <f t="shared" si="18"/>
        <v/>
      </c>
      <c r="M124" s="401" t="str">
        <f t="shared" si="19"/>
        <v/>
      </c>
    </row>
    <row r="125" spans="2:13" x14ac:dyDescent="0.25">
      <c r="B125" s="58" t="s">
        <v>39</v>
      </c>
      <c r="C125" s="14" t="s">
        <v>1827</v>
      </c>
      <c r="D125" s="15"/>
      <c r="E125" s="15"/>
      <c r="F125" s="580"/>
      <c r="G125" s="422"/>
      <c r="H125" s="17" t="str">
        <f t="shared" si="17"/>
        <v/>
      </c>
      <c r="I125" s="18"/>
      <c r="J125" s="61"/>
      <c r="K125" s="399"/>
      <c r="L125" s="420" t="str">
        <f t="shared" si="18"/>
        <v/>
      </c>
      <c r="M125" s="401" t="str">
        <f t="shared" si="19"/>
        <v/>
      </c>
    </row>
    <row r="126" spans="2:13" x14ac:dyDescent="0.25">
      <c r="B126" s="58"/>
      <c r="C126" s="14" t="s">
        <v>1682</v>
      </c>
      <c r="D126" s="15" t="s">
        <v>557</v>
      </c>
      <c r="E126" s="15"/>
      <c r="F126" s="580">
        <f>Quantities!$S$50</f>
        <v>10000</v>
      </c>
      <c r="G126" s="422">
        <v>1</v>
      </c>
      <c r="H126" s="17">
        <f t="shared" si="17"/>
        <v>10000</v>
      </c>
      <c r="I126" s="18"/>
      <c r="J126" s="61"/>
      <c r="K126" s="399"/>
      <c r="L126" s="420" t="str">
        <f t="shared" si="18"/>
        <v/>
      </c>
      <c r="M126" s="401" t="str">
        <f t="shared" si="19"/>
        <v/>
      </c>
    </row>
    <row r="127" spans="2:13" ht="8.15" customHeight="1" x14ac:dyDescent="0.25">
      <c r="B127" s="58"/>
      <c r="C127" s="14"/>
      <c r="D127" s="15"/>
      <c r="E127" s="15"/>
      <c r="F127" s="580"/>
      <c r="G127" s="422"/>
      <c r="H127" s="17" t="str">
        <f t="shared" si="17"/>
        <v/>
      </c>
      <c r="I127" s="18"/>
      <c r="J127" s="61"/>
      <c r="K127" s="399"/>
      <c r="L127" s="420" t="str">
        <f t="shared" si="18"/>
        <v/>
      </c>
      <c r="M127" s="401" t="str">
        <f t="shared" si="19"/>
        <v/>
      </c>
    </row>
    <row r="128" spans="2:13" ht="25" x14ac:dyDescent="0.25">
      <c r="B128" s="58" t="s">
        <v>41</v>
      </c>
      <c r="C128" s="14" t="s">
        <v>1830</v>
      </c>
      <c r="D128" s="15" t="s">
        <v>26</v>
      </c>
      <c r="E128" s="15"/>
      <c r="F128" s="580">
        <f>F126</f>
        <v>10000</v>
      </c>
      <c r="G128" s="425"/>
      <c r="H128" s="17">
        <f t="shared" si="17"/>
        <v>0</v>
      </c>
      <c r="I128" s="18"/>
      <c r="J128" s="61"/>
      <c r="K128" s="399"/>
      <c r="L128" s="420" t="str">
        <f t="shared" si="18"/>
        <v/>
      </c>
      <c r="M128" s="401" t="str">
        <f t="shared" si="19"/>
        <v/>
      </c>
    </row>
    <row r="129" spans="2:13" ht="8.15" customHeight="1" x14ac:dyDescent="0.25">
      <c r="B129" s="58"/>
      <c r="C129" s="14"/>
      <c r="D129" s="15"/>
      <c r="E129" s="15"/>
      <c r="F129" s="580"/>
      <c r="G129" s="422"/>
      <c r="H129" s="17" t="str">
        <f t="shared" si="17"/>
        <v/>
      </c>
      <c r="I129" s="18"/>
      <c r="J129" s="61"/>
      <c r="K129" s="695"/>
      <c r="L129" s="420" t="str">
        <f t="shared" si="18"/>
        <v/>
      </c>
      <c r="M129" s="401" t="str">
        <f t="shared" si="19"/>
        <v/>
      </c>
    </row>
    <row r="130" spans="2:13" ht="26" x14ac:dyDescent="0.25">
      <c r="B130" s="146" t="s">
        <v>1863</v>
      </c>
      <c r="C130" s="19" t="s">
        <v>603</v>
      </c>
      <c r="D130" s="15"/>
      <c r="E130" s="15"/>
      <c r="F130" s="580"/>
      <c r="G130" s="422"/>
      <c r="H130" s="17" t="str">
        <f t="shared" si="17"/>
        <v/>
      </c>
      <c r="I130" s="18"/>
      <c r="J130" s="61"/>
      <c r="K130" s="695"/>
      <c r="L130" s="420" t="str">
        <f t="shared" si="18"/>
        <v/>
      </c>
      <c r="M130" s="401" t="str">
        <f t="shared" si="19"/>
        <v/>
      </c>
    </row>
    <row r="131" spans="2:13" ht="8.15" customHeight="1" x14ac:dyDescent="0.25">
      <c r="B131" s="58"/>
      <c r="C131" s="14"/>
      <c r="D131" s="15"/>
      <c r="E131" s="15"/>
      <c r="F131" s="580"/>
      <c r="G131" s="422"/>
      <c r="H131" s="17" t="str">
        <f t="shared" si="17"/>
        <v/>
      </c>
      <c r="I131" s="18"/>
      <c r="J131" s="61"/>
      <c r="K131" s="695"/>
      <c r="L131" s="420" t="str">
        <f t="shared" si="18"/>
        <v/>
      </c>
      <c r="M131" s="401" t="str">
        <f t="shared" si="19"/>
        <v/>
      </c>
    </row>
    <row r="132" spans="2:13" ht="25" x14ac:dyDescent="0.25">
      <c r="B132" s="58" t="s">
        <v>602</v>
      </c>
      <c r="C132" s="14" t="s">
        <v>601</v>
      </c>
      <c r="D132" s="15" t="s">
        <v>557</v>
      </c>
      <c r="E132" s="15"/>
      <c r="F132" s="580">
        <f>Quantities!$S$13+Quantities!$S$23+50000</f>
        <v>2240000</v>
      </c>
      <c r="G132" s="422">
        <v>1</v>
      </c>
      <c r="H132" s="17">
        <f t="shared" si="17"/>
        <v>2240000</v>
      </c>
      <c r="I132" s="18"/>
      <c r="J132" s="61"/>
      <c r="K132" s="695"/>
      <c r="L132" s="420" t="str">
        <f t="shared" si="18"/>
        <v/>
      </c>
      <c r="M132" s="401" t="str">
        <f t="shared" si="19"/>
        <v/>
      </c>
    </row>
    <row r="133" spans="2:13" ht="8.15" customHeight="1" x14ac:dyDescent="0.25">
      <c r="B133" s="58"/>
      <c r="C133" s="14"/>
      <c r="D133" s="15"/>
      <c r="E133" s="15"/>
      <c r="F133" s="580"/>
      <c r="G133" s="422"/>
      <c r="H133" s="17" t="str">
        <f t="shared" si="17"/>
        <v/>
      </c>
      <c r="I133" s="18"/>
      <c r="J133" s="61"/>
      <c r="K133" s="695"/>
      <c r="L133" s="420" t="str">
        <f t="shared" si="18"/>
        <v/>
      </c>
      <c r="M133" s="401" t="str">
        <f t="shared" si="19"/>
        <v/>
      </c>
    </row>
    <row r="134" spans="2:13" ht="25" x14ac:dyDescent="0.25">
      <c r="B134" s="58" t="s">
        <v>600</v>
      </c>
      <c r="C134" s="14" t="s">
        <v>599</v>
      </c>
      <c r="D134" s="15" t="s">
        <v>26</v>
      </c>
      <c r="E134" s="15"/>
      <c r="F134" s="580">
        <f>F132</f>
        <v>2240000</v>
      </c>
      <c r="G134" s="425"/>
      <c r="H134" s="17">
        <f t="shared" si="17"/>
        <v>0</v>
      </c>
      <c r="I134" s="18"/>
      <c r="J134" s="61"/>
      <c r="K134" s="695"/>
      <c r="L134" s="420" t="str">
        <f t="shared" si="18"/>
        <v/>
      </c>
      <c r="M134" s="401" t="str">
        <f t="shared" si="19"/>
        <v/>
      </c>
    </row>
    <row r="135" spans="2:13" ht="8.15" customHeight="1" x14ac:dyDescent="0.25">
      <c r="B135" s="58"/>
      <c r="C135" s="14"/>
      <c r="D135" s="15"/>
      <c r="E135" s="15"/>
      <c r="F135" s="580"/>
      <c r="G135" s="422"/>
      <c r="H135" s="17" t="str">
        <f t="shared" si="17"/>
        <v/>
      </c>
      <c r="I135" s="18"/>
      <c r="J135" s="61"/>
      <c r="K135" s="695"/>
      <c r="L135" s="420" t="str">
        <f t="shared" ref="L135:L140" si="20">IF(J135="","",F135*K135)</f>
        <v/>
      </c>
      <c r="M135" s="401" t="str">
        <f t="shared" ref="M135:M140" si="21">IF(J135="","",IF(SUM(H135)=0,"",L135/H135))</f>
        <v/>
      </c>
    </row>
    <row r="136" spans="2:13" ht="39" x14ac:dyDescent="0.25">
      <c r="B136" s="146" t="s">
        <v>2191</v>
      </c>
      <c r="C136" s="672" t="s">
        <v>2194</v>
      </c>
      <c r="D136" s="15" t="s">
        <v>11</v>
      </c>
      <c r="E136" s="15"/>
      <c r="F136" s="580">
        <v>1</v>
      </c>
      <c r="G136" s="422"/>
      <c r="H136" s="17">
        <f t="shared" si="17"/>
        <v>0</v>
      </c>
      <c r="I136" s="18"/>
      <c r="J136" s="61"/>
      <c r="K136" s="695"/>
      <c r="L136" s="420" t="str">
        <f t="shared" si="20"/>
        <v/>
      </c>
      <c r="M136" s="401" t="str">
        <f t="shared" si="21"/>
        <v/>
      </c>
    </row>
    <row r="137" spans="2:13" ht="8.15" customHeight="1" x14ac:dyDescent="0.25">
      <c r="B137" s="58"/>
      <c r="C137" s="65"/>
      <c r="D137" s="15"/>
      <c r="E137" s="15"/>
      <c r="F137" s="580"/>
      <c r="G137" s="422"/>
      <c r="H137" s="17" t="str">
        <f t="shared" si="17"/>
        <v/>
      </c>
      <c r="I137" s="18"/>
      <c r="J137" s="61"/>
      <c r="K137" s="695"/>
      <c r="L137" s="420" t="str">
        <f t="shared" si="20"/>
        <v/>
      </c>
      <c r="M137" s="401" t="str">
        <f t="shared" si="21"/>
        <v/>
      </c>
    </row>
    <row r="138" spans="2:13" ht="26" x14ac:dyDescent="0.25">
      <c r="B138" s="146" t="s">
        <v>2192</v>
      </c>
      <c r="C138" s="672" t="s">
        <v>2189</v>
      </c>
      <c r="D138" s="15" t="s">
        <v>11</v>
      </c>
      <c r="E138" s="15"/>
      <c r="F138" s="580">
        <v>1</v>
      </c>
      <c r="G138" s="422"/>
      <c r="H138" s="17">
        <f t="shared" si="17"/>
        <v>0</v>
      </c>
      <c r="I138" s="18"/>
      <c r="J138" s="61"/>
      <c r="K138" s="695"/>
      <c r="L138" s="420" t="str">
        <f t="shared" si="20"/>
        <v/>
      </c>
      <c r="M138" s="401" t="str">
        <f t="shared" si="21"/>
        <v/>
      </c>
    </row>
    <row r="139" spans="2:13" ht="8.15" customHeight="1" x14ac:dyDescent="0.25">
      <c r="B139" s="58"/>
      <c r="C139" s="65"/>
      <c r="D139" s="15"/>
      <c r="E139" s="15"/>
      <c r="F139" s="580"/>
      <c r="G139" s="422"/>
      <c r="H139" s="17" t="str">
        <f t="shared" si="17"/>
        <v/>
      </c>
      <c r="I139" s="18"/>
      <c r="J139" s="61"/>
      <c r="K139" s="695"/>
      <c r="L139" s="420" t="str">
        <f t="shared" si="20"/>
        <v/>
      </c>
      <c r="M139" s="401" t="str">
        <f t="shared" si="21"/>
        <v/>
      </c>
    </row>
    <row r="140" spans="2:13" ht="26" x14ac:dyDescent="0.25">
      <c r="B140" s="146" t="s">
        <v>2193</v>
      </c>
      <c r="C140" s="672" t="s">
        <v>2190</v>
      </c>
      <c r="D140" s="15" t="s">
        <v>11</v>
      </c>
      <c r="E140" s="15"/>
      <c r="F140" s="580">
        <v>1</v>
      </c>
      <c r="G140" s="422"/>
      <c r="H140" s="17">
        <f t="shared" si="17"/>
        <v>0</v>
      </c>
      <c r="I140" s="18"/>
      <c r="J140" s="61"/>
      <c r="K140" s="62"/>
      <c r="L140" s="420" t="str">
        <f t="shared" si="20"/>
        <v/>
      </c>
      <c r="M140" s="401" t="str">
        <f t="shared" si="21"/>
        <v/>
      </c>
    </row>
    <row r="141" spans="2:13" x14ac:dyDescent="0.25">
      <c r="B141" s="58"/>
      <c r="C141" s="65"/>
      <c r="D141" s="15"/>
      <c r="E141" s="15"/>
      <c r="F141" s="580"/>
      <c r="G141" s="422"/>
      <c r="H141" s="17" t="str">
        <f t="shared" si="17"/>
        <v/>
      </c>
      <c r="I141" s="18"/>
      <c r="J141" s="61"/>
      <c r="K141" s="696"/>
      <c r="L141" s="420" t="str">
        <f t="shared" si="18"/>
        <v/>
      </c>
      <c r="M141" s="401" t="str">
        <f t="shared" si="19"/>
        <v/>
      </c>
    </row>
    <row r="142" spans="2:13" s="28" customFormat="1" ht="20.149999999999999" customHeight="1" x14ac:dyDescent="0.25">
      <c r="B142" s="859" t="str">
        <f>B76</f>
        <v>C1.2</v>
      </c>
      <c r="C142" s="498" t="str">
        <f>"TOTAL CARRIED FORWARD"&amp;IF(H142=H$1," TO SUMMARY (Page C"&amp;Page_A&amp;")","")</f>
        <v>TOTAL CARRIED FORWARD</v>
      </c>
      <c r="D142" s="31"/>
      <c r="E142" s="31"/>
      <c r="F142" s="32"/>
      <c r="G142" s="31"/>
      <c r="H142" s="33">
        <f>SUM(H85:H141)</f>
        <v>2925915</v>
      </c>
      <c r="I142" s="34"/>
      <c r="J142" s="408"/>
      <c r="K142" s="406"/>
      <c r="L142" s="418">
        <f>SUM(L85:L141)</f>
        <v>270522.07500000001</v>
      </c>
      <c r="M142" s="407" t="str">
        <f t="shared" ref="M142" si="22">IF(J142="","",IF(SUM(H142)=0,"",L142/H142))</f>
        <v/>
      </c>
    </row>
    <row r="143" spans="2:13" ht="13" x14ac:dyDescent="0.25">
      <c r="B143" s="1108" t="str">
        <f>Client1</f>
        <v>Province of KwaZulu-Natal</v>
      </c>
      <c r="C143" s="1108"/>
      <c r="D143" s="1108"/>
      <c r="E143" s="87"/>
      <c r="F143" s="1109" t="str">
        <f>"Contract No. "&amp;ContractNo</f>
        <v>Contract No. ZNB 00399/00000/HOD/INF/21/T</v>
      </c>
      <c r="G143" s="1109"/>
      <c r="H143" s="1109"/>
    </row>
    <row r="144" spans="2:13" ht="13" x14ac:dyDescent="0.25">
      <c r="B144" s="1108" t="str">
        <f>Client2</f>
        <v>Department of Transport</v>
      </c>
      <c r="C144" s="1108"/>
      <c r="D144" s="1108"/>
      <c r="E144" s="87"/>
      <c r="F144" s="1109"/>
      <c r="G144" s="1109"/>
      <c r="H144" s="1109"/>
    </row>
    <row r="145" spans="2:13" x14ac:dyDescent="0.25">
      <c r="B145" s="1111"/>
      <c r="C145" s="1111"/>
      <c r="D145" s="1111"/>
      <c r="E145" s="78"/>
      <c r="F145" s="1110"/>
      <c r="G145" s="1110"/>
      <c r="H145" s="1110"/>
    </row>
    <row r="146" spans="2:13" ht="13" x14ac:dyDescent="0.25">
      <c r="B146" s="1112" t="s">
        <v>8</v>
      </c>
      <c r="C146" s="1113"/>
      <c r="D146" s="1113"/>
      <c r="E146" s="1113"/>
      <c r="F146" s="1113"/>
      <c r="G146" s="1113"/>
      <c r="H146" s="1114" t="str">
        <f>$H$6</f>
        <v>CHAPTER C1.2</v>
      </c>
      <c r="I146" s="6"/>
    </row>
    <row r="147" spans="2:13" ht="13" x14ac:dyDescent="0.25">
      <c r="B147" s="1117" t="str">
        <f>ContractDescription</f>
        <v>THE CONSTRUCTION OF EARTHWORKS, LAYERWORKS, SURFACING, CULVERTS AND CWAKA RIVER BRIDGE FROM KM 11.600 TO KM 14.000 ON MAIN ROAD P494 IN THE KING CETSHWAYO DISTRICT UNDER EMPANGENI REGION</v>
      </c>
      <c r="C147" s="1118"/>
      <c r="D147" s="1118"/>
      <c r="E147" s="1118"/>
      <c r="F147" s="1118"/>
      <c r="G147" s="1118"/>
      <c r="H147" s="1115"/>
      <c r="I147" s="8"/>
    </row>
    <row r="148" spans="2:13" ht="13" x14ac:dyDescent="0.25">
      <c r="B148" s="1117"/>
      <c r="C148" s="1118"/>
      <c r="D148" s="1118"/>
      <c r="E148" s="1118"/>
      <c r="F148" s="1118"/>
      <c r="G148" s="1118"/>
      <c r="H148" s="1115"/>
      <c r="I148" s="8"/>
    </row>
    <row r="149" spans="2:13" ht="13" x14ac:dyDescent="0.25">
      <c r="B149" s="1119"/>
      <c r="C149" s="1120"/>
      <c r="D149" s="1120"/>
      <c r="E149" s="1120"/>
      <c r="F149" s="1120"/>
      <c r="G149" s="1120"/>
      <c r="H149" s="1116"/>
      <c r="I149" s="8"/>
    </row>
    <row r="150" spans="2:13" s="9" customFormat="1" ht="25" customHeight="1" x14ac:dyDescent="0.25">
      <c r="B150" s="74" t="s">
        <v>0</v>
      </c>
      <c r="C150" s="11" t="s">
        <v>1</v>
      </c>
      <c r="D150" s="11" t="s">
        <v>2</v>
      </c>
      <c r="E150" s="11" t="s">
        <v>996</v>
      </c>
      <c r="F150" s="11" t="s">
        <v>3</v>
      </c>
      <c r="G150" s="11" t="s">
        <v>4</v>
      </c>
      <c r="H150" s="11" t="s">
        <v>5</v>
      </c>
      <c r="I150" s="12"/>
      <c r="J150" s="408" t="s">
        <v>996</v>
      </c>
      <c r="K150" s="253" t="s">
        <v>997</v>
      </c>
      <c r="L150" s="253" t="s">
        <v>998</v>
      </c>
      <c r="M150" s="253" t="s">
        <v>999</v>
      </c>
    </row>
    <row r="151" spans="2:13" s="28" customFormat="1" ht="20.149999999999999" customHeight="1" x14ac:dyDescent="0.25">
      <c r="B151" s="80"/>
      <c r="C151" s="30" t="s">
        <v>27</v>
      </c>
      <c r="D151" s="31"/>
      <c r="E151" s="31"/>
      <c r="F151" s="32"/>
      <c r="G151" s="31"/>
      <c r="H151" s="33">
        <f>H142</f>
        <v>2925915</v>
      </c>
      <c r="I151" s="34"/>
      <c r="J151" s="416"/>
      <c r="K151" s="409"/>
      <c r="L151" s="419">
        <f>L142</f>
        <v>270522.07500000001</v>
      </c>
      <c r="M151" s="410" t="str">
        <f>IF(F151="","",IF(SUM(I151)=0,"",L151/I151))</f>
        <v/>
      </c>
    </row>
    <row r="152" spans="2:13" x14ac:dyDescent="0.25">
      <c r="B152" s="56"/>
      <c r="C152" s="39"/>
      <c r="D152" s="15"/>
      <c r="E152" s="15"/>
      <c r="F152" s="15"/>
      <c r="G152" s="422"/>
      <c r="H152" s="17"/>
      <c r="I152" s="18"/>
      <c r="J152" s="61"/>
      <c r="K152" s="399"/>
      <c r="L152" s="420" t="str">
        <f t="shared" ref="L152:L155" si="23">IF(J152="","",F152*K152)</f>
        <v/>
      </c>
      <c r="M152" s="401" t="str">
        <f t="shared" ref="M152:M201" si="24">IF(J152="","",IF(SUM(H152)=0,"",L152/H152))</f>
        <v/>
      </c>
    </row>
    <row r="153" spans="2:13" ht="25" x14ac:dyDescent="0.25">
      <c r="B153" s="56" t="s">
        <v>2266</v>
      </c>
      <c r="C153" s="39" t="s">
        <v>2267</v>
      </c>
      <c r="D153" s="15"/>
      <c r="E153" s="15"/>
      <c r="F153" s="580"/>
      <c r="G153" s="422"/>
      <c r="H153" s="17" t="str">
        <f t="shared" ref="H153:H177" si="25">IF(D153="","",F153*G153)</f>
        <v/>
      </c>
      <c r="I153" s="18"/>
      <c r="J153" s="61"/>
      <c r="K153" s="399"/>
      <c r="L153" s="420" t="str">
        <f t="shared" si="23"/>
        <v/>
      </c>
      <c r="M153" s="401" t="str">
        <f t="shared" si="24"/>
        <v/>
      </c>
    </row>
    <row r="154" spans="2:13" x14ac:dyDescent="0.25">
      <c r="B154" s="56"/>
      <c r="C154" s="39"/>
      <c r="D154" s="15"/>
      <c r="E154" s="15"/>
      <c r="F154" s="580"/>
      <c r="G154" s="422"/>
      <c r="H154" s="17" t="str">
        <f t="shared" si="25"/>
        <v/>
      </c>
      <c r="I154" s="18"/>
      <c r="J154" s="61"/>
      <c r="K154" s="399"/>
      <c r="L154" s="420" t="str">
        <f t="shared" si="23"/>
        <v/>
      </c>
      <c r="M154" s="401" t="str">
        <f t="shared" si="24"/>
        <v/>
      </c>
    </row>
    <row r="155" spans="2:13" ht="25" x14ac:dyDescent="0.25">
      <c r="B155" s="56" t="s">
        <v>2270</v>
      </c>
      <c r="C155" s="39" t="s">
        <v>2268</v>
      </c>
      <c r="D155" s="15" t="s">
        <v>557</v>
      </c>
      <c r="E155" s="15" t="s">
        <v>996</v>
      </c>
      <c r="F155" s="580">
        <v>100000</v>
      </c>
      <c r="G155" s="424">
        <v>1</v>
      </c>
      <c r="H155" s="17">
        <f t="shared" si="25"/>
        <v>100000</v>
      </c>
      <c r="I155" s="18"/>
      <c r="J155" s="61" t="s">
        <v>1721</v>
      </c>
      <c r="K155" s="399">
        <f>IF(D155="","",ROUND(8%*G155,2))</f>
        <v>0.08</v>
      </c>
      <c r="L155" s="420">
        <f t="shared" si="23"/>
        <v>8000</v>
      </c>
      <c r="M155" s="401">
        <f t="shared" si="24"/>
        <v>0.08</v>
      </c>
    </row>
    <row r="156" spans="2:13" x14ac:dyDescent="0.25">
      <c r="B156" s="56"/>
      <c r="C156" s="39"/>
      <c r="D156" s="15"/>
      <c r="E156" s="15"/>
      <c r="F156" s="580"/>
      <c r="G156" s="424"/>
      <c r="H156" s="17" t="str">
        <f t="shared" si="25"/>
        <v/>
      </c>
      <c r="I156" s="18"/>
      <c r="J156" s="61"/>
      <c r="K156" s="400"/>
      <c r="L156" s="420" t="str">
        <f t="shared" ref="L156:L200" si="26">IF(J156="","",F156*K156)</f>
        <v/>
      </c>
      <c r="M156" s="401" t="str">
        <f t="shared" si="24"/>
        <v/>
      </c>
    </row>
    <row r="157" spans="2:13" ht="25" x14ac:dyDescent="0.25">
      <c r="B157" s="56"/>
      <c r="C157" s="39" t="s">
        <v>2269</v>
      </c>
      <c r="D157" s="15" t="s">
        <v>26</v>
      </c>
      <c r="E157" s="15"/>
      <c r="F157" s="580">
        <f>F155</f>
        <v>100000</v>
      </c>
      <c r="G157" s="758"/>
      <c r="H157" s="17">
        <f t="shared" si="25"/>
        <v>0</v>
      </c>
      <c r="I157" s="18"/>
      <c r="J157" s="61"/>
      <c r="K157" s="399"/>
      <c r="L157" s="420" t="str">
        <f t="shared" si="26"/>
        <v/>
      </c>
      <c r="M157" s="401" t="str">
        <f t="shared" si="24"/>
        <v/>
      </c>
    </row>
    <row r="158" spans="2:13" x14ac:dyDescent="0.25">
      <c r="B158" s="56"/>
      <c r="C158" s="39"/>
      <c r="D158" s="15"/>
      <c r="E158" s="15"/>
      <c r="F158" s="580"/>
      <c r="G158" s="424"/>
      <c r="H158" s="17" t="str">
        <f t="shared" si="25"/>
        <v/>
      </c>
      <c r="I158" s="18"/>
      <c r="J158" s="61"/>
      <c r="K158" s="399"/>
      <c r="L158" s="420" t="str">
        <f t="shared" si="26"/>
        <v/>
      </c>
      <c r="M158" s="401" t="str">
        <f t="shared" si="24"/>
        <v/>
      </c>
    </row>
    <row r="159" spans="2:13" ht="25" x14ac:dyDescent="0.25">
      <c r="B159" s="56" t="s">
        <v>2271</v>
      </c>
      <c r="C159" s="39" t="s">
        <v>2277</v>
      </c>
      <c r="D159" s="15" t="s">
        <v>557</v>
      </c>
      <c r="E159" s="15" t="s">
        <v>996</v>
      </c>
      <c r="F159" s="580">
        <v>100000</v>
      </c>
      <c r="G159" s="424">
        <v>1</v>
      </c>
      <c r="H159" s="17">
        <f t="shared" si="25"/>
        <v>100000</v>
      </c>
      <c r="I159" s="18"/>
      <c r="J159" s="61" t="s">
        <v>1721</v>
      </c>
      <c r="K159" s="399">
        <f>IF(D159="","",ROUND(8%*G159,2))</f>
        <v>0.08</v>
      </c>
      <c r="L159" s="420">
        <f t="shared" si="26"/>
        <v>8000</v>
      </c>
      <c r="M159" s="401">
        <f t="shared" si="24"/>
        <v>0.08</v>
      </c>
    </row>
    <row r="160" spans="2:13" x14ac:dyDescent="0.25">
      <c r="B160" s="56"/>
      <c r="C160" s="39"/>
      <c r="D160" s="15"/>
      <c r="E160" s="15"/>
      <c r="F160" s="580"/>
      <c r="G160" s="424"/>
      <c r="H160" s="17" t="str">
        <f t="shared" si="25"/>
        <v/>
      </c>
      <c r="I160" s="18"/>
      <c r="J160" s="61"/>
      <c r="K160" s="402"/>
      <c r="L160" s="420" t="str">
        <f t="shared" si="26"/>
        <v/>
      </c>
      <c r="M160" s="401" t="str">
        <f t="shared" si="24"/>
        <v/>
      </c>
    </row>
    <row r="161" spans="2:13" ht="25" x14ac:dyDescent="0.25">
      <c r="B161" s="56"/>
      <c r="C161" s="39" t="s">
        <v>2283</v>
      </c>
      <c r="D161" s="15" t="s">
        <v>26</v>
      </c>
      <c r="E161" s="15"/>
      <c r="F161" s="580">
        <f>F159</f>
        <v>100000</v>
      </c>
      <c r="G161" s="758"/>
      <c r="H161" s="17">
        <f t="shared" si="25"/>
        <v>0</v>
      </c>
      <c r="I161" s="18"/>
      <c r="J161" s="61"/>
      <c r="K161" s="402"/>
      <c r="L161" s="420" t="str">
        <f t="shared" si="26"/>
        <v/>
      </c>
      <c r="M161" s="401" t="str">
        <f t="shared" si="24"/>
        <v/>
      </c>
    </row>
    <row r="162" spans="2:13" x14ac:dyDescent="0.25">
      <c r="B162" s="56"/>
      <c r="C162" s="39"/>
      <c r="D162" s="15"/>
      <c r="E162" s="15"/>
      <c r="F162" s="580"/>
      <c r="G162" s="422"/>
      <c r="H162" s="17" t="str">
        <f t="shared" si="25"/>
        <v/>
      </c>
      <c r="I162" s="18"/>
      <c r="J162" s="61"/>
      <c r="K162" s="402"/>
      <c r="L162" s="420" t="str">
        <f t="shared" si="26"/>
        <v/>
      </c>
      <c r="M162" s="401" t="str">
        <f t="shared" si="24"/>
        <v/>
      </c>
    </row>
    <row r="163" spans="2:13" ht="25" x14ac:dyDescent="0.25">
      <c r="B163" s="56" t="s">
        <v>2272</v>
      </c>
      <c r="C163" s="39" t="s">
        <v>2278</v>
      </c>
      <c r="D163" s="15" t="s">
        <v>557</v>
      </c>
      <c r="E163" s="15" t="s">
        <v>996</v>
      </c>
      <c r="F163" s="580">
        <v>30000</v>
      </c>
      <c r="G163" s="422">
        <v>1</v>
      </c>
      <c r="H163" s="17">
        <f t="shared" si="25"/>
        <v>30000</v>
      </c>
      <c r="I163" s="18"/>
      <c r="J163" s="61" t="s">
        <v>1721</v>
      </c>
      <c r="K163" s="402">
        <f>IF(D163="","",ROUND(8%*G163,2))</f>
        <v>0.08</v>
      </c>
      <c r="L163" s="420">
        <f t="shared" si="26"/>
        <v>2400</v>
      </c>
      <c r="M163" s="401">
        <f t="shared" si="24"/>
        <v>0.08</v>
      </c>
    </row>
    <row r="164" spans="2:13" x14ac:dyDescent="0.25">
      <c r="B164" s="56"/>
      <c r="C164" s="39"/>
      <c r="D164" s="15"/>
      <c r="E164" s="15"/>
      <c r="F164" s="580"/>
      <c r="G164" s="422"/>
      <c r="H164" s="17" t="str">
        <f t="shared" si="25"/>
        <v/>
      </c>
      <c r="I164" s="18"/>
      <c r="J164" s="61"/>
      <c r="K164" s="402"/>
      <c r="L164" s="420" t="str">
        <f t="shared" si="26"/>
        <v/>
      </c>
      <c r="M164" s="401" t="str">
        <f t="shared" si="24"/>
        <v/>
      </c>
    </row>
    <row r="165" spans="2:13" ht="25" x14ac:dyDescent="0.25">
      <c r="B165" s="56"/>
      <c r="C165" s="39" t="s">
        <v>2284</v>
      </c>
      <c r="D165" s="15" t="s">
        <v>26</v>
      </c>
      <c r="E165" s="15"/>
      <c r="F165" s="580">
        <f>F163</f>
        <v>30000</v>
      </c>
      <c r="G165" s="425"/>
      <c r="H165" s="17">
        <f t="shared" si="25"/>
        <v>0</v>
      </c>
      <c r="I165" s="18"/>
      <c r="J165" s="61"/>
      <c r="K165" s="402"/>
      <c r="L165" s="420" t="str">
        <f t="shared" si="26"/>
        <v/>
      </c>
      <c r="M165" s="401" t="str">
        <f t="shared" si="24"/>
        <v/>
      </c>
    </row>
    <row r="166" spans="2:13" x14ac:dyDescent="0.25">
      <c r="B166" s="56"/>
      <c r="C166" s="39"/>
      <c r="D166" s="15"/>
      <c r="E166" s="15"/>
      <c r="F166" s="580"/>
      <c r="G166" s="422"/>
      <c r="H166" s="17" t="str">
        <f t="shared" si="25"/>
        <v/>
      </c>
      <c r="I166" s="18"/>
      <c r="J166" s="61"/>
      <c r="K166" s="399"/>
      <c r="L166" s="420" t="str">
        <f t="shared" si="26"/>
        <v/>
      </c>
      <c r="M166" s="401" t="str">
        <f t="shared" si="24"/>
        <v/>
      </c>
    </row>
    <row r="167" spans="2:13" ht="25" x14ac:dyDescent="0.25">
      <c r="B167" s="56" t="s">
        <v>2273</v>
      </c>
      <c r="C167" s="39" t="s">
        <v>2279</v>
      </c>
      <c r="D167" s="15" t="s">
        <v>557</v>
      </c>
      <c r="E167" s="15" t="s">
        <v>996</v>
      </c>
      <c r="F167" s="580">
        <v>30000</v>
      </c>
      <c r="G167" s="422">
        <v>1</v>
      </c>
      <c r="H167" s="17">
        <f t="shared" si="25"/>
        <v>30000</v>
      </c>
      <c r="I167" s="18"/>
      <c r="J167" s="61" t="s">
        <v>1721</v>
      </c>
      <c r="K167" s="399">
        <f>IF(D167="","",ROUND(8%*G167,2))</f>
        <v>0.08</v>
      </c>
      <c r="L167" s="420">
        <f t="shared" si="26"/>
        <v>2400</v>
      </c>
      <c r="M167" s="401">
        <f t="shared" si="24"/>
        <v>0.08</v>
      </c>
    </row>
    <row r="168" spans="2:13" x14ac:dyDescent="0.25">
      <c r="B168" s="56"/>
      <c r="C168" s="39"/>
      <c r="D168" s="15"/>
      <c r="E168" s="15"/>
      <c r="F168" s="580"/>
      <c r="G168" s="422"/>
      <c r="H168" s="17" t="str">
        <f t="shared" si="25"/>
        <v/>
      </c>
      <c r="I168" s="18"/>
      <c r="J168" s="61"/>
      <c r="K168" s="400"/>
      <c r="L168" s="420" t="str">
        <f t="shared" si="26"/>
        <v/>
      </c>
      <c r="M168" s="401" t="str">
        <f t="shared" si="24"/>
        <v/>
      </c>
    </row>
    <row r="169" spans="2:13" ht="25" x14ac:dyDescent="0.25">
      <c r="B169" s="56"/>
      <c r="C169" s="39" t="s">
        <v>2285</v>
      </c>
      <c r="D169" s="15" t="s">
        <v>26</v>
      </c>
      <c r="E169" s="15"/>
      <c r="F169" s="580">
        <f>F167</f>
        <v>30000</v>
      </c>
      <c r="G169" s="425"/>
      <c r="H169" s="17">
        <f t="shared" si="25"/>
        <v>0</v>
      </c>
      <c r="I169" s="18"/>
      <c r="J169" s="61"/>
      <c r="K169" s="399"/>
      <c r="L169" s="420" t="str">
        <f t="shared" si="26"/>
        <v/>
      </c>
      <c r="M169" s="401" t="str">
        <f t="shared" si="24"/>
        <v/>
      </c>
    </row>
    <row r="170" spans="2:13" x14ac:dyDescent="0.25">
      <c r="B170" s="56"/>
      <c r="C170" s="39"/>
      <c r="D170" s="15"/>
      <c r="E170" s="15"/>
      <c r="F170" s="580"/>
      <c r="G170" s="422"/>
      <c r="H170" s="17" t="str">
        <f t="shared" si="25"/>
        <v/>
      </c>
      <c r="I170" s="18"/>
      <c r="J170" s="61"/>
      <c r="K170" s="399"/>
      <c r="L170" s="420" t="str">
        <f t="shared" si="26"/>
        <v/>
      </c>
      <c r="M170" s="401" t="str">
        <f t="shared" si="24"/>
        <v/>
      </c>
    </row>
    <row r="171" spans="2:13" ht="25" x14ac:dyDescent="0.25">
      <c r="B171" s="56" t="s">
        <v>2274</v>
      </c>
      <c r="C171" s="39" t="s">
        <v>2280</v>
      </c>
      <c r="D171" s="15" t="s">
        <v>557</v>
      </c>
      <c r="E171" s="15" t="s">
        <v>996</v>
      </c>
      <c r="F171" s="580">
        <v>20000</v>
      </c>
      <c r="G171" s="422">
        <v>1</v>
      </c>
      <c r="H171" s="17">
        <f t="shared" si="25"/>
        <v>20000</v>
      </c>
      <c r="I171" s="18"/>
      <c r="J171" s="61" t="s">
        <v>1721</v>
      </c>
      <c r="K171" s="399">
        <f>IF(D171="","",ROUND(8%*G171,2))</f>
        <v>0.08</v>
      </c>
      <c r="L171" s="420">
        <f t="shared" si="26"/>
        <v>1600</v>
      </c>
      <c r="M171" s="401">
        <f t="shared" si="24"/>
        <v>0.08</v>
      </c>
    </row>
    <row r="172" spans="2:13" x14ac:dyDescent="0.25">
      <c r="B172" s="56"/>
      <c r="C172" s="39"/>
      <c r="D172" s="15"/>
      <c r="E172" s="15"/>
      <c r="F172" s="580"/>
      <c r="G172" s="422"/>
      <c r="H172" s="17" t="str">
        <f t="shared" si="25"/>
        <v/>
      </c>
      <c r="I172" s="18"/>
      <c r="J172" s="61"/>
      <c r="K172" s="399"/>
      <c r="L172" s="420" t="str">
        <f t="shared" si="26"/>
        <v/>
      </c>
      <c r="M172" s="401" t="str">
        <f t="shared" si="24"/>
        <v/>
      </c>
    </row>
    <row r="173" spans="2:13" ht="25" x14ac:dyDescent="0.25">
      <c r="B173" s="56"/>
      <c r="C173" s="39" t="s">
        <v>2286</v>
      </c>
      <c r="D173" s="15" t="s">
        <v>26</v>
      </c>
      <c r="E173" s="15"/>
      <c r="F173" s="580">
        <f>F171</f>
        <v>20000</v>
      </c>
      <c r="G173" s="425"/>
      <c r="H173" s="17">
        <f t="shared" si="25"/>
        <v>0</v>
      </c>
      <c r="I173" s="18"/>
      <c r="J173" s="61"/>
      <c r="K173" s="399"/>
      <c r="L173" s="420" t="str">
        <f t="shared" si="26"/>
        <v/>
      </c>
      <c r="M173" s="401" t="str">
        <f t="shared" si="24"/>
        <v/>
      </c>
    </row>
    <row r="174" spans="2:13" x14ac:dyDescent="0.25">
      <c r="B174" s="56"/>
      <c r="C174" s="39"/>
      <c r="D174" s="15"/>
      <c r="E174" s="15"/>
      <c r="F174" s="580"/>
      <c r="G174" s="422"/>
      <c r="H174" s="17" t="str">
        <f t="shared" si="25"/>
        <v/>
      </c>
      <c r="I174" s="18"/>
      <c r="J174" s="61"/>
      <c r="K174" s="400"/>
      <c r="L174" s="420" t="str">
        <f t="shared" si="26"/>
        <v/>
      </c>
      <c r="M174" s="401" t="str">
        <f t="shared" si="24"/>
        <v/>
      </c>
    </row>
    <row r="175" spans="2:13" ht="25" x14ac:dyDescent="0.25">
      <c r="B175" s="56" t="s">
        <v>2275</v>
      </c>
      <c r="C175" s="39" t="s">
        <v>2281</v>
      </c>
      <c r="D175" s="15" t="s">
        <v>557</v>
      </c>
      <c r="E175" s="15" t="s">
        <v>996</v>
      </c>
      <c r="F175" s="580">
        <v>100000</v>
      </c>
      <c r="G175" s="422">
        <v>1</v>
      </c>
      <c r="H175" s="17">
        <f t="shared" si="25"/>
        <v>100000</v>
      </c>
      <c r="I175" s="18"/>
      <c r="J175" s="61" t="s">
        <v>1721</v>
      </c>
      <c r="K175" s="399">
        <f>IF(D175="","",ROUND(8%*G175,2))</f>
        <v>0.08</v>
      </c>
      <c r="L175" s="420">
        <f t="shared" si="26"/>
        <v>8000</v>
      </c>
      <c r="M175" s="401">
        <f t="shared" si="24"/>
        <v>0.08</v>
      </c>
    </row>
    <row r="176" spans="2:13" x14ac:dyDescent="0.25">
      <c r="B176" s="56"/>
      <c r="C176" s="39"/>
      <c r="D176" s="15"/>
      <c r="E176" s="15"/>
      <c r="F176" s="580"/>
      <c r="G176" s="422"/>
      <c r="H176" s="17"/>
      <c r="I176" s="18"/>
      <c r="J176" s="61"/>
      <c r="K176" s="399"/>
      <c r="L176" s="420" t="str">
        <f t="shared" si="26"/>
        <v/>
      </c>
      <c r="M176" s="401" t="str">
        <f t="shared" si="24"/>
        <v/>
      </c>
    </row>
    <row r="177" spans="2:13" ht="25" x14ac:dyDescent="0.25">
      <c r="B177" s="668"/>
      <c r="C177" s="235" t="s">
        <v>2269</v>
      </c>
      <c r="D177" s="15" t="s">
        <v>26</v>
      </c>
      <c r="E177" s="15"/>
      <c r="F177" s="580">
        <f>F175</f>
        <v>100000</v>
      </c>
      <c r="G177" s="425"/>
      <c r="H177" s="17">
        <f t="shared" si="25"/>
        <v>0</v>
      </c>
      <c r="I177" s="18"/>
      <c r="J177" s="61"/>
      <c r="K177" s="399"/>
      <c r="L177" s="420" t="str">
        <f t="shared" si="26"/>
        <v/>
      </c>
      <c r="M177" s="401" t="str">
        <f t="shared" si="24"/>
        <v/>
      </c>
    </row>
    <row r="178" spans="2:13" x14ac:dyDescent="0.25">
      <c r="B178" s="56"/>
      <c r="C178" s="39"/>
      <c r="D178" s="15"/>
      <c r="E178" s="15"/>
      <c r="F178" s="580"/>
      <c r="G178" s="422"/>
      <c r="H178" s="17"/>
      <c r="I178" s="18"/>
      <c r="J178" s="61"/>
      <c r="K178" s="399"/>
      <c r="L178" s="420" t="str">
        <f t="shared" si="26"/>
        <v/>
      </c>
      <c r="M178" s="401" t="str">
        <f t="shared" si="24"/>
        <v/>
      </c>
    </row>
    <row r="179" spans="2:13" ht="25" x14ac:dyDescent="0.25">
      <c r="B179" s="668" t="s">
        <v>2276</v>
      </c>
      <c r="C179" s="235" t="s">
        <v>2282</v>
      </c>
      <c r="D179" s="15" t="s">
        <v>557</v>
      </c>
      <c r="E179" s="15" t="s">
        <v>996</v>
      </c>
      <c r="F179" s="24">
        <v>20000</v>
      </c>
      <c r="G179" s="422">
        <v>1</v>
      </c>
      <c r="H179" s="17">
        <f>IF(D179="","",F179*G179)</f>
        <v>20000</v>
      </c>
      <c r="I179" s="18"/>
      <c r="J179" s="61" t="s">
        <v>1721</v>
      </c>
      <c r="K179" s="399">
        <f>IF(D179="","",ROUND(8%*G179,2))</f>
        <v>0.08</v>
      </c>
      <c r="L179" s="420">
        <f t="shared" si="26"/>
        <v>1600</v>
      </c>
      <c r="M179" s="401">
        <f t="shared" si="24"/>
        <v>0.08</v>
      </c>
    </row>
    <row r="180" spans="2:13" x14ac:dyDescent="0.25">
      <c r="B180" s="56"/>
      <c r="C180" s="39"/>
      <c r="D180" s="15"/>
      <c r="E180" s="15"/>
      <c r="F180" s="580"/>
      <c r="G180" s="422"/>
      <c r="H180" s="17"/>
      <c r="I180" s="18"/>
      <c r="J180" s="61"/>
      <c r="K180" s="399"/>
      <c r="L180" s="420" t="str">
        <f t="shared" si="26"/>
        <v/>
      </c>
      <c r="M180" s="401" t="str">
        <f t="shared" si="24"/>
        <v/>
      </c>
    </row>
    <row r="181" spans="2:13" ht="25" x14ac:dyDescent="0.25">
      <c r="B181" s="668"/>
      <c r="C181" s="235" t="s">
        <v>2269</v>
      </c>
      <c r="D181" s="15" t="s">
        <v>26</v>
      </c>
      <c r="E181" s="15"/>
      <c r="F181" s="580">
        <f>F179</f>
        <v>20000</v>
      </c>
      <c r="G181" s="425"/>
      <c r="H181" s="17">
        <f>IF(D181="","",F181*G181)</f>
        <v>0</v>
      </c>
      <c r="I181" s="18"/>
      <c r="J181" s="61"/>
      <c r="K181" s="399"/>
      <c r="L181" s="420" t="str">
        <f t="shared" si="26"/>
        <v/>
      </c>
      <c r="M181" s="401" t="str">
        <f t="shared" si="24"/>
        <v/>
      </c>
    </row>
    <row r="182" spans="2:13" x14ac:dyDescent="0.25">
      <c r="B182" s="56"/>
      <c r="C182" s="39"/>
      <c r="D182" s="15"/>
      <c r="E182" s="15"/>
      <c r="F182" s="580"/>
      <c r="G182" s="422"/>
      <c r="H182" s="17"/>
      <c r="I182" s="18"/>
      <c r="J182" s="61"/>
      <c r="K182" s="399"/>
      <c r="L182" s="420" t="str">
        <f t="shared" si="26"/>
        <v/>
      </c>
      <c r="M182" s="401" t="str">
        <f t="shared" si="24"/>
        <v/>
      </c>
    </row>
    <row r="183" spans="2:13" x14ac:dyDescent="0.25">
      <c r="B183" s="983"/>
      <c r="C183" s="235"/>
      <c r="D183" s="15"/>
      <c r="E183" s="15"/>
      <c r="F183" s="580"/>
      <c r="G183" s="422"/>
      <c r="H183" s="17"/>
      <c r="I183" s="18"/>
      <c r="J183" s="61"/>
      <c r="K183" s="399"/>
      <c r="L183" s="420" t="str">
        <f t="shared" si="26"/>
        <v/>
      </c>
      <c r="M183" s="401" t="str">
        <f t="shared" si="24"/>
        <v/>
      </c>
    </row>
    <row r="184" spans="2:13" x14ac:dyDescent="0.25">
      <c r="B184" s="984"/>
      <c r="C184" s="39"/>
      <c r="D184" s="15"/>
      <c r="E184" s="15"/>
      <c r="F184" s="580"/>
      <c r="G184" s="422"/>
      <c r="H184" s="17"/>
      <c r="I184" s="18"/>
      <c r="J184" s="61"/>
      <c r="K184" s="399"/>
      <c r="L184" s="420" t="str">
        <f t="shared" si="26"/>
        <v/>
      </c>
      <c r="M184" s="401" t="str">
        <f t="shared" si="24"/>
        <v/>
      </c>
    </row>
    <row r="185" spans="2:13" x14ac:dyDescent="0.25">
      <c r="B185" s="983"/>
      <c r="C185" s="235"/>
      <c r="D185" s="15"/>
      <c r="E185" s="15"/>
      <c r="F185" s="580"/>
      <c r="G185" s="422"/>
      <c r="H185" s="17" t="str">
        <f>IF(D185="","",F185*G185)</f>
        <v/>
      </c>
      <c r="I185" s="18"/>
      <c r="J185" s="61"/>
      <c r="K185" s="399"/>
      <c r="L185" s="420" t="str">
        <f t="shared" si="26"/>
        <v/>
      </c>
      <c r="M185" s="401" t="str">
        <f t="shared" si="24"/>
        <v/>
      </c>
    </row>
    <row r="186" spans="2:13" x14ac:dyDescent="0.25">
      <c r="B186" s="984"/>
      <c r="C186" s="39"/>
      <c r="D186" s="15"/>
      <c r="E186" s="15"/>
      <c r="F186" s="580"/>
      <c r="G186" s="422"/>
      <c r="H186" s="17"/>
      <c r="I186" s="18"/>
      <c r="J186" s="61"/>
      <c r="K186" s="402"/>
      <c r="L186" s="420" t="str">
        <f t="shared" si="26"/>
        <v/>
      </c>
      <c r="M186" s="401" t="str">
        <f t="shared" si="24"/>
        <v/>
      </c>
    </row>
    <row r="187" spans="2:13" x14ac:dyDescent="0.25">
      <c r="B187" s="983"/>
      <c r="C187" s="235"/>
      <c r="D187" s="15"/>
      <c r="E187" s="15"/>
      <c r="F187" s="580"/>
      <c r="G187" s="425"/>
      <c r="H187" s="17" t="str">
        <f>IF(D187="","",F187*G187)</f>
        <v/>
      </c>
      <c r="I187" s="18"/>
      <c r="J187" s="61"/>
      <c r="K187" s="399"/>
      <c r="L187" s="420" t="str">
        <f t="shared" si="26"/>
        <v/>
      </c>
      <c r="M187" s="401" t="str">
        <f t="shared" si="24"/>
        <v/>
      </c>
    </row>
    <row r="188" spans="2:13" x14ac:dyDescent="0.25">
      <c r="B188" s="56"/>
      <c r="C188" s="39"/>
      <c r="D188" s="15"/>
      <c r="E188" s="15"/>
      <c r="F188" s="580"/>
      <c r="G188" s="422"/>
      <c r="H188" s="17"/>
      <c r="I188" s="18"/>
      <c r="J188" s="61"/>
      <c r="K188" s="402"/>
      <c r="L188" s="420" t="str">
        <f t="shared" si="26"/>
        <v/>
      </c>
      <c r="M188" s="401" t="str">
        <f t="shared" si="24"/>
        <v/>
      </c>
    </row>
    <row r="189" spans="2:13" x14ac:dyDescent="0.25">
      <c r="B189" s="984"/>
      <c r="C189" s="585"/>
      <c r="D189" s="390"/>
      <c r="E189" s="390"/>
      <c r="F189" s="580"/>
      <c r="G189" s="422"/>
      <c r="H189" s="17" t="str">
        <f>IF(D189="","",F189*G189)</f>
        <v/>
      </c>
      <c r="I189" s="18"/>
      <c r="J189" s="61"/>
      <c r="K189" s="402"/>
      <c r="L189" s="420" t="str">
        <f t="shared" si="26"/>
        <v/>
      </c>
      <c r="M189" s="401" t="str">
        <f t="shared" si="24"/>
        <v/>
      </c>
    </row>
    <row r="190" spans="2:13" x14ac:dyDescent="0.25">
      <c r="B190" s="984"/>
      <c r="C190" s="585"/>
      <c r="D190" s="390"/>
      <c r="E190" s="390"/>
      <c r="F190" s="580"/>
      <c r="G190" s="422"/>
      <c r="H190" s="17"/>
      <c r="I190" s="18"/>
      <c r="J190" s="61"/>
      <c r="K190" s="399"/>
      <c r="L190" s="420" t="str">
        <f t="shared" si="26"/>
        <v/>
      </c>
      <c r="M190" s="401" t="str">
        <f t="shared" si="24"/>
        <v/>
      </c>
    </row>
    <row r="191" spans="2:13" x14ac:dyDescent="0.25">
      <c r="B191" s="984"/>
      <c r="C191" s="596"/>
      <c r="D191" s="390"/>
      <c r="E191" s="390"/>
      <c r="F191" s="580"/>
      <c r="G191" s="422"/>
      <c r="H191" s="17" t="str">
        <f>IF(D191="","",F191*G191)</f>
        <v/>
      </c>
      <c r="I191" s="18"/>
      <c r="J191" s="61"/>
      <c r="K191" s="399"/>
      <c r="L191" s="420" t="str">
        <f t="shared" si="26"/>
        <v/>
      </c>
      <c r="M191" s="401" t="str">
        <f t="shared" si="24"/>
        <v/>
      </c>
    </row>
    <row r="192" spans="2:13" x14ac:dyDescent="0.25">
      <c r="B192" s="984"/>
      <c r="C192" s="596"/>
      <c r="D192" s="390"/>
      <c r="E192" s="390"/>
      <c r="F192" s="580"/>
      <c r="G192" s="422"/>
      <c r="H192" s="17"/>
      <c r="I192" s="18"/>
      <c r="J192" s="61"/>
      <c r="K192" s="399"/>
      <c r="L192" s="420" t="str">
        <f t="shared" si="26"/>
        <v/>
      </c>
      <c r="M192" s="401" t="str">
        <f t="shared" si="24"/>
        <v/>
      </c>
    </row>
    <row r="193" spans="2:13" x14ac:dyDescent="0.25">
      <c r="B193" s="984"/>
      <c r="C193" s="596"/>
      <c r="D193" s="390"/>
      <c r="E193" s="390"/>
      <c r="F193" s="580"/>
      <c r="G193" s="422"/>
      <c r="H193" s="17"/>
      <c r="I193" s="18"/>
      <c r="J193" s="61"/>
      <c r="K193" s="399"/>
      <c r="L193" s="420" t="str">
        <f t="shared" si="26"/>
        <v/>
      </c>
      <c r="M193" s="401" t="str">
        <f t="shared" si="24"/>
        <v/>
      </c>
    </row>
    <row r="194" spans="2:13" x14ac:dyDescent="0.25">
      <c r="B194" s="984"/>
      <c r="C194" s="596"/>
      <c r="D194" s="390"/>
      <c r="E194" s="390"/>
      <c r="F194" s="580"/>
      <c r="G194" s="425"/>
      <c r="H194" s="17" t="str">
        <f>IF(D194="","",F194*G194)</f>
        <v/>
      </c>
      <c r="I194" s="18"/>
      <c r="J194" s="61"/>
      <c r="K194" s="399"/>
      <c r="L194" s="420" t="str">
        <f t="shared" si="26"/>
        <v/>
      </c>
      <c r="M194" s="401" t="str">
        <f t="shared" si="24"/>
        <v/>
      </c>
    </row>
    <row r="195" spans="2:13" x14ac:dyDescent="0.25">
      <c r="B195" s="984"/>
      <c r="C195" s="596"/>
      <c r="D195" s="390"/>
      <c r="E195" s="390"/>
      <c r="F195" s="580"/>
      <c r="G195" s="422"/>
      <c r="H195" s="17"/>
      <c r="I195" s="18"/>
      <c r="J195" s="61"/>
      <c r="K195" s="695"/>
      <c r="L195" s="420" t="str">
        <f t="shared" si="26"/>
        <v/>
      </c>
      <c r="M195" s="401" t="str">
        <f t="shared" si="24"/>
        <v/>
      </c>
    </row>
    <row r="196" spans="2:13" x14ac:dyDescent="0.25">
      <c r="B196" s="984"/>
      <c r="C196" s="596"/>
      <c r="D196" s="390"/>
      <c r="E196" s="390"/>
      <c r="F196" s="580"/>
      <c r="G196" s="422"/>
      <c r="H196" s="17" t="str">
        <f>IF(D196="","",F196*G196)</f>
        <v/>
      </c>
      <c r="I196" s="18"/>
      <c r="J196" s="61"/>
      <c r="K196" s="62"/>
      <c r="L196" s="420" t="str">
        <f t="shared" si="26"/>
        <v/>
      </c>
      <c r="M196" s="401" t="str">
        <f t="shared" si="24"/>
        <v/>
      </c>
    </row>
    <row r="197" spans="2:13" x14ac:dyDescent="0.25">
      <c r="B197" s="984"/>
      <c r="C197" s="596"/>
      <c r="D197" s="390"/>
      <c r="E197" s="390"/>
      <c r="F197" s="580"/>
      <c r="G197" s="422"/>
      <c r="H197" s="17"/>
      <c r="I197" s="18"/>
      <c r="J197" s="61"/>
      <c r="K197" s="62"/>
      <c r="L197" s="420" t="str">
        <f t="shared" si="26"/>
        <v/>
      </c>
      <c r="M197" s="401" t="str">
        <f t="shared" si="24"/>
        <v/>
      </c>
    </row>
    <row r="198" spans="2:13" x14ac:dyDescent="0.25">
      <c r="B198" s="984"/>
      <c r="C198" s="599"/>
      <c r="D198" s="391"/>
      <c r="E198" s="391"/>
      <c r="F198" s="765"/>
      <c r="G198" s="497"/>
      <c r="H198" s="17"/>
      <c r="I198" s="18"/>
      <c r="J198" s="61"/>
      <c r="K198" s="62"/>
      <c r="L198" s="420" t="str">
        <f t="shared" si="26"/>
        <v/>
      </c>
      <c r="M198" s="401" t="str">
        <f t="shared" si="24"/>
        <v/>
      </c>
    </row>
    <row r="199" spans="2:13" x14ac:dyDescent="0.25">
      <c r="B199" s="56"/>
      <c r="C199" s="39"/>
      <c r="D199" s="15"/>
      <c r="E199" s="15"/>
      <c r="F199" s="580"/>
      <c r="G199" s="422"/>
      <c r="H199" s="17"/>
      <c r="I199" s="18"/>
      <c r="J199" s="61"/>
      <c r="K199" s="695"/>
      <c r="L199" s="420" t="str">
        <f t="shared" si="26"/>
        <v/>
      </c>
      <c r="M199" s="401" t="str">
        <f t="shared" si="24"/>
        <v/>
      </c>
    </row>
    <row r="200" spans="2:13" x14ac:dyDescent="0.25">
      <c r="B200" s="56"/>
      <c r="C200" s="39"/>
      <c r="D200" s="15"/>
      <c r="E200" s="15"/>
      <c r="F200" s="580"/>
      <c r="G200" s="422"/>
      <c r="H200" s="17" t="str">
        <f>IF(D200="","",F200*G200)</f>
        <v/>
      </c>
      <c r="I200" s="18"/>
      <c r="J200" s="61"/>
      <c r="K200" s="696"/>
      <c r="L200" s="420" t="str">
        <f t="shared" si="26"/>
        <v/>
      </c>
      <c r="M200" s="401" t="str">
        <f t="shared" si="24"/>
        <v/>
      </c>
    </row>
    <row r="201" spans="2:13" s="28" customFormat="1" ht="25" customHeight="1" x14ac:dyDescent="0.25">
      <c r="B201" s="29" t="str">
        <f>B12</f>
        <v>C1.2</v>
      </c>
      <c r="C201" s="498" t="str">
        <f>"TOTAL CARRIED FORWARD"&amp;IF(H201=H$1," TO SUMMARY (Page C"&amp;Page_A&amp;")","")</f>
        <v>TOTAL CARRIED FORWARD TO SUMMARY (Page C48)</v>
      </c>
      <c r="D201" s="31"/>
      <c r="E201" s="31"/>
      <c r="F201" s="32"/>
      <c r="G201" s="31"/>
      <c r="H201" s="33">
        <f>SUM(H151:H200)</f>
        <v>3325915</v>
      </c>
      <c r="I201" s="34"/>
      <c r="J201" s="408"/>
      <c r="K201" s="406"/>
      <c r="L201" s="418">
        <f>SUM(L151:L200)</f>
        <v>302522.07500000001</v>
      </c>
      <c r="M201" s="407" t="str">
        <f t="shared" si="24"/>
        <v/>
      </c>
    </row>
  </sheetData>
  <mergeCells count="21">
    <mergeCell ref="F3:H5"/>
    <mergeCell ref="B3:D3"/>
    <mergeCell ref="B4:D4"/>
    <mergeCell ref="B5:D5"/>
    <mergeCell ref="B7:G9"/>
    <mergeCell ref="H6:H9"/>
    <mergeCell ref="B6:G6"/>
    <mergeCell ref="B77:D77"/>
    <mergeCell ref="F77:H79"/>
    <mergeCell ref="B78:D78"/>
    <mergeCell ref="B79:D79"/>
    <mergeCell ref="B80:G80"/>
    <mergeCell ref="H80:H83"/>
    <mergeCell ref="B81:G83"/>
    <mergeCell ref="B143:D143"/>
    <mergeCell ref="F143:H145"/>
    <mergeCell ref="B144:D144"/>
    <mergeCell ref="B145:D145"/>
    <mergeCell ref="B146:G146"/>
    <mergeCell ref="H146:H149"/>
    <mergeCell ref="B147:G149"/>
  </mergeCells>
  <phoneticPr fontId="15" type="noConversion"/>
  <conditionalFormatting sqref="G11:H76 G85:H142">
    <cfRule type="expression" dxfId="81" priority="2">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0" fitToHeight="0" orientation="portrait" cellComments="asDisplayed" useFirstPageNumber="1"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2" manualBreakCount="2">
    <brk id="76" max="8" man="1"/>
    <brk id="142" max="16383" man="1"/>
  </rowBreaks>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24">
    <tabColor rgb="FFFFFF00"/>
  </sheetPr>
  <dimension ref="A1:N144"/>
  <sheetViews>
    <sheetView view="pageBreakPreview" zoomScaleNormal="125" zoomScaleSheetLayoutView="100" zoomScalePageLayoutView="125" workbookViewId="0">
      <pane ySplit="2" topLeftCell="A3"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1"/>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MAX(H2:H208)</f>
        <v>29160</v>
      </c>
      <c r="I1" s="247">
        <f>MAX(I2:I208)</f>
        <v>0</v>
      </c>
      <c r="J1" s="248"/>
      <c r="K1" s="249"/>
      <c r="L1" s="247">
        <f>MAX(L2:L208)</f>
        <v>1749.6</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C13.7</v>
      </c>
      <c r="I6" s="6"/>
    </row>
    <row r="7" spans="1:14" ht="33.75"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48"/>
      <c r="H7" s="1122"/>
      <c r="I7" s="8"/>
    </row>
    <row r="8" spans="1:14" ht="30.75" customHeight="1" x14ac:dyDescent="0.25">
      <c r="B8" s="1149" t="s">
        <v>1775</v>
      </c>
      <c r="C8" s="1150"/>
      <c r="D8" s="1150"/>
      <c r="E8" s="1150"/>
      <c r="F8" s="1150"/>
      <c r="G8" s="1150"/>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65"/>
      <c r="D11" s="15"/>
      <c r="E11" s="15"/>
      <c r="F11" s="15"/>
      <c r="G11" s="411"/>
      <c r="H11" s="17" t="str">
        <f t="shared" ref="H11:H68" si="0">IF(D11="","",F11*G11)</f>
        <v/>
      </c>
      <c r="I11" s="18"/>
      <c r="J11" s="61"/>
      <c r="K11" s="399"/>
      <c r="L11" s="420" t="str">
        <f t="shared" ref="L11" si="1">IF(J11="","",F11*K11)</f>
        <v/>
      </c>
      <c r="M11" s="401" t="str">
        <f>IF(J11="","",IF(SUM(H11)=0,"",L11/H11))</f>
        <v/>
      </c>
    </row>
    <row r="12" spans="1:14" ht="13" x14ac:dyDescent="0.25">
      <c r="B12" s="146" t="s">
        <v>345</v>
      </c>
      <c r="C12" s="672" t="s">
        <v>344</v>
      </c>
      <c r="D12" s="15"/>
      <c r="E12" s="15"/>
      <c r="F12" s="15"/>
      <c r="G12" s="411"/>
      <c r="H12" s="17" t="str">
        <f t="shared" si="0"/>
        <v/>
      </c>
      <c r="I12" s="18"/>
      <c r="J12" s="61"/>
      <c r="K12" s="399"/>
      <c r="L12" s="420" t="str">
        <f t="shared" ref="L12:L68" si="2">IF(J12="","",F12*K12)</f>
        <v/>
      </c>
      <c r="M12" s="401" t="str">
        <f t="shared" ref="M12:M68" si="3">IF(J12="","",IF(SUM(H12)=0,"",L12/H12))</f>
        <v/>
      </c>
    </row>
    <row r="13" spans="1:14" x14ac:dyDescent="0.25">
      <c r="B13" s="58"/>
      <c r="C13" s="65"/>
      <c r="D13" s="15"/>
      <c r="E13" s="15"/>
      <c r="F13" s="15"/>
      <c r="G13" s="411"/>
      <c r="H13" s="17" t="str">
        <f t="shared" si="0"/>
        <v/>
      </c>
      <c r="I13" s="18"/>
      <c r="J13" s="61"/>
      <c r="K13" s="399"/>
      <c r="L13" s="420" t="str">
        <f t="shared" si="2"/>
        <v/>
      </c>
      <c r="M13" s="401" t="str">
        <f t="shared" si="3"/>
        <v/>
      </c>
    </row>
    <row r="14" spans="1:14" ht="13" x14ac:dyDescent="0.25">
      <c r="B14" s="146" t="s">
        <v>346</v>
      </c>
      <c r="C14" s="672" t="s">
        <v>347</v>
      </c>
      <c r="D14" s="15"/>
      <c r="E14" s="15"/>
      <c r="F14" s="15"/>
      <c r="G14" s="411"/>
      <c r="H14" s="17" t="str">
        <f t="shared" si="0"/>
        <v/>
      </c>
      <c r="I14" s="18"/>
      <c r="J14" s="61"/>
      <c r="K14" s="399"/>
      <c r="L14" s="420" t="str">
        <f t="shared" si="2"/>
        <v/>
      </c>
      <c r="M14" s="401" t="str">
        <f t="shared" si="3"/>
        <v/>
      </c>
    </row>
    <row r="15" spans="1:14" x14ac:dyDescent="0.25">
      <c r="B15" s="58"/>
      <c r="C15" s="65"/>
      <c r="D15" s="15"/>
      <c r="E15" s="15"/>
      <c r="F15" s="15"/>
      <c r="G15" s="411"/>
      <c r="H15" s="17" t="str">
        <f t="shared" si="0"/>
        <v/>
      </c>
      <c r="I15" s="18"/>
      <c r="J15" s="61"/>
      <c r="K15" s="399"/>
      <c r="L15" s="420" t="str">
        <f t="shared" si="2"/>
        <v/>
      </c>
      <c r="M15" s="401" t="str">
        <f t="shared" si="3"/>
        <v/>
      </c>
    </row>
    <row r="16" spans="1:14" ht="25" x14ac:dyDescent="0.25">
      <c r="B16" s="58" t="s">
        <v>351</v>
      </c>
      <c r="C16" s="65" t="s">
        <v>1693</v>
      </c>
      <c r="D16" s="15" t="s">
        <v>6</v>
      </c>
      <c r="E16" s="15" t="s">
        <v>996</v>
      </c>
      <c r="F16" s="24">
        <v>24</v>
      </c>
      <c r="G16" s="422">
        <v>540</v>
      </c>
      <c r="H16" s="17">
        <f t="shared" si="0"/>
        <v>12960</v>
      </c>
      <c r="I16" s="57"/>
      <c r="J16" s="61" t="s">
        <v>996</v>
      </c>
      <c r="K16" s="399">
        <f>IF(D16="","",ROUND(6%*G16,1))</f>
        <v>32.4</v>
      </c>
      <c r="L16" s="420">
        <f t="shared" si="2"/>
        <v>777.59999999999991</v>
      </c>
      <c r="M16" s="401">
        <f t="shared" si="3"/>
        <v>5.9999999999999991E-2</v>
      </c>
    </row>
    <row r="17" spans="2:13" x14ac:dyDescent="0.25">
      <c r="B17" s="58"/>
      <c r="C17" s="65"/>
      <c r="D17" s="15"/>
      <c r="E17" s="15"/>
      <c r="F17" s="24"/>
      <c r="G17" s="703"/>
      <c r="H17" s="17" t="str">
        <f t="shared" si="0"/>
        <v/>
      </c>
      <c r="I17" s="57"/>
      <c r="J17" s="61"/>
      <c r="K17" s="399"/>
      <c r="L17" s="420" t="str">
        <f t="shared" si="2"/>
        <v/>
      </c>
      <c r="M17" s="401" t="str">
        <f t="shared" si="3"/>
        <v/>
      </c>
    </row>
    <row r="18" spans="2:13" ht="13" x14ac:dyDescent="0.25">
      <c r="B18" s="146" t="s">
        <v>353</v>
      </c>
      <c r="C18" s="672" t="s">
        <v>348</v>
      </c>
      <c r="D18" s="15"/>
      <c r="E18" s="15"/>
      <c r="F18" s="24"/>
      <c r="G18" s="411"/>
      <c r="H18" s="17" t="str">
        <f t="shared" si="0"/>
        <v/>
      </c>
      <c r="I18" s="18"/>
      <c r="J18" s="61"/>
      <c r="K18" s="402"/>
      <c r="L18" s="420" t="str">
        <f t="shared" si="2"/>
        <v/>
      </c>
      <c r="M18" s="401" t="str">
        <f t="shared" si="3"/>
        <v/>
      </c>
    </row>
    <row r="19" spans="2:13" x14ac:dyDescent="0.25">
      <c r="B19" s="58"/>
      <c r="C19" s="65"/>
      <c r="D19" s="15"/>
      <c r="E19" s="15"/>
      <c r="F19" s="24"/>
      <c r="G19" s="423"/>
      <c r="H19" s="17" t="str">
        <f t="shared" si="0"/>
        <v/>
      </c>
      <c r="I19" s="18"/>
      <c r="J19" s="61"/>
      <c r="K19" s="402"/>
      <c r="L19" s="420" t="str">
        <f t="shared" si="2"/>
        <v/>
      </c>
      <c r="M19" s="401" t="str">
        <f t="shared" si="3"/>
        <v/>
      </c>
    </row>
    <row r="20" spans="2:13" x14ac:dyDescent="0.25">
      <c r="B20" s="58" t="s">
        <v>352</v>
      </c>
      <c r="C20" s="802" t="s">
        <v>1694</v>
      </c>
      <c r="D20" s="15"/>
      <c r="E20" s="15"/>
      <c r="F20" s="24"/>
      <c r="G20" s="421"/>
      <c r="H20" s="17" t="str">
        <f t="shared" si="0"/>
        <v/>
      </c>
      <c r="I20" s="63"/>
      <c r="J20" s="61"/>
      <c r="K20" s="400"/>
      <c r="L20" s="420" t="str">
        <f t="shared" si="2"/>
        <v/>
      </c>
      <c r="M20" s="401" t="str">
        <f t="shared" si="3"/>
        <v/>
      </c>
    </row>
    <row r="21" spans="2:13" x14ac:dyDescent="0.25">
      <c r="B21" s="58"/>
      <c r="C21" s="802"/>
      <c r="D21" s="15"/>
      <c r="E21" s="15"/>
      <c r="F21" s="24"/>
      <c r="G21" s="421"/>
      <c r="H21" s="17" t="str">
        <f t="shared" si="0"/>
        <v/>
      </c>
      <c r="I21" s="63"/>
      <c r="J21" s="61"/>
      <c r="K21" s="402"/>
      <c r="L21" s="420" t="str">
        <f t="shared" si="2"/>
        <v/>
      </c>
      <c r="M21" s="401" t="str">
        <f t="shared" si="3"/>
        <v/>
      </c>
    </row>
    <row r="22" spans="2:13" ht="14.5" x14ac:dyDescent="0.25">
      <c r="B22" s="58"/>
      <c r="C22" s="802" t="s">
        <v>1695</v>
      </c>
      <c r="D22" s="15" t="s">
        <v>61</v>
      </c>
      <c r="E22" s="15" t="s">
        <v>996</v>
      </c>
      <c r="F22" s="24">
        <v>15</v>
      </c>
      <c r="G22" s="421">
        <v>550</v>
      </c>
      <c r="H22" s="17">
        <f t="shared" si="0"/>
        <v>8250</v>
      </c>
      <c r="I22" s="63"/>
      <c r="J22" s="61" t="s">
        <v>996</v>
      </c>
      <c r="K22" s="399">
        <f>IF(D22="","",ROUND(6%*G22,1))</f>
        <v>33</v>
      </c>
      <c r="L22" s="420">
        <f t="shared" si="2"/>
        <v>495</v>
      </c>
      <c r="M22" s="401">
        <f t="shared" si="3"/>
        <v>0.06</v>
      </c>
    </row>
    <row r="23" spans="2:13" x14ac:dyDescent="0.25">
      <c r="B23" s="58"/>
      <c r="C23" s="802"/>
      <c r="D23" s="15"/>
      <c r="E23" s="15"/>
      <c r="F23" s="24"/>
      <c r="G23" s="421"/>
      <c r="H23" s="17" t="str">
        <f t="shared" si="0"/>
        <v/>
      </c>
      <c r="I23" s="63"/>
      <c r="J23" s="61"/>
      <c r="K23" s="399" t="str">
        <f t="shared" ref="K23" si="4">IF(D23="","",ROUND(Labour_perc_structures*H23,1))</f>
        <v/>
      </c>
      <c r="L23" s="420" t="str">
        <f t="shared" si="2"/>
        <v/>
      </c>
      <c r="M23" s="401" t="str">
        <f t="shared" si="3"/>
        <v/>
      </c>
    </row>
    <row r="24" spans="2:13" ht="14.5" x14ac:dyDescent="0.25">
      <c r="B24" s="58"/>
      <c r="C24" s="802" t="s">
        <v>1696</v>
      </c>
      <c r="D24" s="15" t="s">
        <v>61</v>
      </c>
      <c r="E24" s="15" t="s">
        <v>996</v>
      </c>
      <c r="F24" s="24">
        <v>10</v>
      </c>
      <c r="G24" s="421">
        <v>550</v>
      </c>
      <c r="H24" s="17">
        <f t="shared" si="0"/>
        <v>5500</v>
      </c>
      <c r="I24" s="63"/>
      <c r="J24" s="61" t="s">
        <v>996</v>
      </c>
      <c r="K24" s="399">
        <f>IF(D24="","",ROUND(6%*G24,1))</f>
        <v>33</v>
      </c>
      <c r="L24" s="420">
        <f t="shared" si="2"/>
        <v>330</v>
      </c>
      <c r="M24" s="401">
        <f t="shared" si="3"/>
        <v>0.06</v>
      </c>
    </row>
    <row r="25" spans="2:13" x14ac:dyDescent="0.25">
      <c r="B25" s="58"/>
      <c r="C25" s="802"/>
      <c r="D25" s="15"/>
      <c r="E25" s="15"/>
      <c r="F25" s="24"/>
      <c r="G25" s="421"/>
      <c r="H25" s="17" t="str">
        <f t="shared" si="0"/>
        <v/>
      </c>
      <c r="I25" s="63"/>
      <c r="J25" s="61"/>
      <c r="K25" s="399" t="str">
        <f t="shared" ref="K25" si="5">IF(D25="","",ROUND(Labour_perc_structures*H25,1))</f>
        <v/>
      </c>
      <c r="L25" s="420" t="str">
        <f t="shared" si="2"/>
        <v/>
      </c>
      <c r="M25" s="401" t="str">
        <f t="shared" si="3"/>
        <v/>
      </c>
    </row>
    <row r="26" spans="2:13" ht="13" x14ac:dyDescent="0.25">
      <c r="B26" s="146" t="s">
        <v>355</v>
      </c>
      <c r="C26" s="672" t="s">
        <v>349</v>
      </c>
      <c r="D26" s="15"/>
      <c r="E26" s="15"/>
      <c r="F26" s="24"/>
      <c r="G26" s="423"/>
      <c r="H26" s="17" t="str">
        <f t="shared" si="0"/>
        <v/>
      </c>
      <c r="I26" s="63"/>
      <c r="J26" s="61"/>
      <c r="K26" s="399"/>
      <c r="L26" s="420" t="str">
        <f t="shared" si="2"/>
        <v/>
      </c>
      <c r="M26" s="401" t="str">
        <f t="shared" si="3"/>
        <v/>
      </c>
    </row>
    <row r="27" spans="2:13" x14ac:dyDescent="0.25">
      <c r="B27" s="58"/>
      <c r="C27" s="65"/>
      <c r="D27" s="15"/>
      <c r="E27" s="15"/>
      <c r="F27" s="24"/>
      <c r="G27" s="421"/>
      <c r="H27" s="17" t="str">
        <f t="shared" si="0"/>
        <v/>
      </c>
      <c r="I27" s="63"/>
      <c r="J27" s="61"/>
      <c r="K27" s="399"/>
      <c r="L27" s="420" t="str">
        <f t="shared" si="2"/>
        <v/>
      </c>
      <c r="M27" s="401" t="str">
        <f t="shared" si="3"/>
        <v/>
      </c>
    </row>
    <row r="28" spans="2:13" ht="25" x14ac:dyDescent="0.25">
      <c r="B28" s="58" t="s">
        <v>356</v>
      </c>
      <c r="C28" s="65" t="s">
        <v>1697</v>
      </c>
      <c r="D28" s="15" t="s">
        <v>61</v>
      </c>
      <c r="E28" s="15" t="s">
        <v>996</v>
      </c>
      <c r="F28" s="582">
        <v>2.5</v>
      </c>
      <c r="G28" s="422">
        <v>200</v>
      </c>
      <c r="H28" s="17">
        <f t="shared" si="0"/>
        <v>500</v>
      </c>
      <c r="I28" s="57"/>
      <c r="J28" s="61" t="s">
        <v>996</v>
      </c>
      <c r="K28" s="399">
        <f>IF(D28="","",ROUND(6%*G28,1))</f>
        <v>12</v>
      </c>
      <c r="L28" s="420">
        <f t="shared" si="2"/>
        <v>30</v>
      </c>
      <c r="M28" s="401">
        <f t="shared" si="3"/>
        <v>0.06</v>
      </c>
    </row>
    <row r="29" spans="2:13" x14ac:dyDescent="0.25">
      <c r="B29" s="58"/>
      <c r="C29" s="65"/>
      <c r="D29" s="15"/>
      <c r="E29" s="15"/>
      <c r="F29" s="24"/>
      <c r="G29" s="421"/>
      <c r="H29" s="17" t="str">
        <f t="shared" si="0"/>
        <v/>
      </c>
      <c r="I29" s="63"/>
      <c r="J29" s="61"/>
      <c r="K29" s="399"/>
      <c r="L29" s="420" t="str">
        <f t="shared" si="2"/>
        <v/>
      </c>
      <c r="M29" s="401" t="str">
        <f t="shared" si="3"/>
        <v/>
      </c>
    </row>
    <row r="30" spans="2:13" ht="13" x14ac:dyDescent="0.25">
      <c r="B30" s="146" t="s">
        <v>357</v>
      </c>
      <c r="C30" s="672" t="s">
        <v>350</v>
      </c>
      <c r="D30" s="15"/>
      <c r="E30" s="15"/>
      <c r="F30" s="24"/>
      <c r="G30" s="422"/>
      <c r="H30" s="17" t="str">
        <f t="shared" si="0"/>
        <v/>
      </c>
      <c r="I30" s="57"/>
      <c r="J30" s="61"/>
      <c r="K30" s="399"/>
      <c r="L30" s="420" t="str">
        <f t="shared" si="2"/>
        <v/>
      </c>
      <c r="M30" s="401" t="str">
        <f t="shared" si="3"/>
        <v/>
      </c>
    </row>
    <row r="31" spans="2:13" x14ac:dyDescent="0.25">
      <c r="B31" s="58"/>
      <c r="C31" s="65"/>
      <c r="D31" s="15"/>
      <c r="E31" s="15"/>
      <c r="F31" s="24"/>
      <c r="G31" s="411"/>
      <c r="H31" s="17" t="str">
        <f t="shared" si="0"/>
        <v/>
      </c>
      <c r="I31" s="18"/>
      <c r="J31" s="61"/>
      <c r="K31" s="399"/>
      <c r="L31" s="420" t="str">
        <f t="shared" si="2"/>
        <v/>
      </c>
      <c r="M31" s="401" t="str">
        <f t="shared" si="3"/>
        <v/>
      </c>
    </row>
    <row r="32" spans="2:13" x14ac:dyDescent="0.25">
      <c r="B32" s="58" t="s">
        <v>358</v>
      </c>
      <c r="C32" s="65" t="s">
        <v>1843</v>
      </c>
      <c r="D32" s="15"/>
      <c r="E32" s="15"/>
      <c r="F32" s="24"/>
      <c r="G32" s="411"/>
      <c r="H32" s="17" t="str">
        <f t="shared" si="0"/>
        <v/>
      </c>
      <c r="I32" s="18"/>
      <c r="J32" s="61"/>
      <c r="K32" s="399"/>
      <c r="L32" s="420" t="str">
        <f t="shared" si="2"/>
        <v/>
      </c>
      <c r="M32" s="401" t="str">
        <f t="shared" si="3"/>
        <v/>
      </c>
    </row>
    <row r="33" spans="2:13" x14ac:dyDescent="0.25">
      <c r="B33" s="58"/>
      <c r="C33" s="65"/>
      <c r="D33" s="15"/>
      <c r="E33" s="15"/>
      <c r="F33" s="24"/>
      <c r="G33" s="411"/>
      <c r="H33" s="17" t="str">
        <f t="shared" si="0"/>
        <v/>
      </c>
      <c r="I33" s="18"/>
      <c r="J33" s="61"/>
      <c r="K33" s="399"/>
      <c r="L33" s="420" t="str">
        <f t="shared" si="2"/>
        <v/>
      </c>
      <c r="M33" s="401" t="str">
        <f t="shared" si="3"/>
        <v/>
      </c>
    </row>
    <row r="34" spans="2:13" s="36" customFormat="1" ht="37.5" x14ac:dyDescent="0.25">
      <c r="B34" s="58" t="s">
        <v>990</v>
      </c>
      <c r="C34" s="65" t="s">
        <v>1844</v>
      </c>
      <c r="D34" s="15" t="s">
        <v>6</v>
      </c>
      <c r="E34" s="15" t="s">
        <v>996</v>
      </c>
      <c r="F34" s="24">
        <v>13</v>
      </c>
      <c r="G34" s="411">
        <v>75</v>
      </c>
      <c r="H34" s="17">
        <f t="shared" si="0"/>
        <v>975</v>
      </c>
      <c r="I34" s="18"/>
      <c r="J34" s="61" t="s">
        <v>996</v>
      </c>
      <c r="K34" s="399">
        <f>IF(D34="","",ROUND(6%*G34,1))</f>
        <v>4.5</v>
      </c>
      <c r="L34" s="420">
        <f t="shared" si="2"/>
        <v>58.5</v>
      </c>
      <c r="M34" s="401">
        <f t="shared" si="3"/>
        <v>0.06</v>
      </c>
    </row>
    <row r="35" spans="2:13" x14ac:dyDescent="0.25">
      <c r="B35" s="58"/>
      <c r="C35" s="65"/>
      <c r="D35" s="15"/>
      <c r="E35" s="15"/>
      <c r="F35" s="24"/>
      <c r="G35" s="411"/>
      <c r="H35" s="17" t="str">
        <f t="shared" si="0"/>
        <v/>
      </c>
      <c r="I35" s="18"/>
      <c r="J35" s="61"/>
      <c r="K35" s="399"/>
      <c r="L35" s="420" t="str">
        <f t="shared" si="2"/>
        <v/>
      </c>
      <c r="M35" s="401" t="str">
        <f t="shared" si="3"/>
        <v/>
      </c>
    </row>
    <row r="36" spans="2:13" ht="37.5" x14ac:dyDescent="0.25">
      <c r="B36" s="58" t="s">
        <v>991</v>
      </c>
      <c r="C36" s="65" t="s">
        <v>1845</v>
      </c>
      <c r="D36" s="15" t="s">
        <v>6</v>
      </c>
      <c r="E36" s="15" t="s">
        <v>996</v>
      </c>
      <c r="F36" s="24">
        <v>13</v>
      </c>
      <c r="G36" s="411">
        <v>75</v>
      </c>
      <c r="H36" s="17">
        <f t="shared" si="0"/>
        <v>975</v>
      </c>
      <c r="I36" s="18"/>
      <c r="J36" s="61" t="s">
        <v>996</v>
      </c>
      <c r="K36" s="399">
        <f>IF(D36="","",ROUND(6%*G36,1))</f>
        <v>4.5</v>
      </c>
      <c r="L36" s="420">
        <f t="shared" si="2"/>
        <v>58.5</v>
      </c>
      <c r="M36" s="401">
        <f t="shared" si="3"/>
        <v>0.06</v>
      </c>
    </row>
    <row r="37" spans="2:13" x14ac:dyDescent="0.25">
      <c r="B37" s="58"/>
      <c r="C37" s="65"/>
      <c r="D37" s="15"/>
      <c r="E37" s="15"/>
      <c r="F37" s="24"/>
      <c r="G37" s="411"/>
      <c r="H37" s="17" t="str">
        <f t="shared" si="0"/>
        <v/>
      </c>
      <c r="I37" s="18"/>
      <c r="J37" s="61"/>
      <c r="K37" s="399"/>
      <c r="L37" s="420" t="str">
        <f t="shared" si="2"/>
        <v/>
      </c>
      <c r="M37" s="401" t="str">
        <f t="shared" si="3"/>
        <v/>
      </c>
    </row>
    <row r="38" spans="2:13" x14ac:dyDescent="0.25">
      <c r="B38" s="58"/>
      <c r="C38" s="65"/>
      <c r="D38" s="15"/>
      <c r="E38" s="15"/>
      <c r="F38" s="24"/>
      <c r="G38" s="411"/>
      <c r="H38" s="17" t="str">
        <f t="shared" si="0"/>
        <v/>
      </c>
      <c r="I38" s="18"/>
      <c r="J38" s="61"/>
      <c r="K38" s="399"/>
      <c r="L38" s="420" t="str">
        <f t="shared" si="2"/>
        <v/>
      </c>
      <c r="M38" s="401" t="str">
        <f t="shared" si="3"/>
        <v/>
      </c>
    </row>
    <row r="39" spans="2:13" x14ac:dyDescent="0.25">
      <c r="B39" s="58"/>
      <c r="C39" s="65"/>
      <c r="D39" s="15"/>
      <c r="E39" s="15"/>
      <c r="F39" s="24"/>
      <c r="G39" s="411"/>
      <c r="H39" s="17" t="str">
        <f t="shared" si="0"/>
        <v/>
      </c>
      <c r="I39" s="18"/>
      <c r="J39" s="61"/>
      <c r="K39" s="399"/>
      <c r="L39" s="420" t="str">
        <f t="shared" si="2"/>
        <v/>
      </c>
      <c r="M39" s="401" t="str">
        <f t="shared" si="3"/>
        <v/>
      </c>
    </row>
    <row r="40" spans="2:13" x14ac:dyDescent="0.25">
      <c r="B40" s="58"/>
      <c r="C40" s="65"/>
      <c r="D40" s="15"/>
      <c r="E40" s="15"/>
      <c r="F40" s="24"/>
      <c r="G40" s="411"/>
      <c r="H40" s="17" t="str">
        <f t="shared" si="0"/>
        <v/>
      </c>
      <c r="I40" s="18"/>
      <c r="J40" s="61"/>
      <c r="K40" s="399"/>
      <c r="L40" s="420" t="str">
        <f t="shared" si="2"/>
        <v/>
      </c>
      <c r="M40" s="401" t="str">
        <f t="shared" si="3"/>
        <v/>
      </c>
    </row>
    <row r="41" spans="2:13" x14ac:dyDescent="0.25">
      <c r="B41" s="58"/>
      <c r="C41" s="65"/>
      <c r="D41" s="15"/>
      <c r="E41" s="15"/>
      <c r="F41" s="24"/>
      <c r="G41" s="411"/>
      <c r="H41" s="17" t="str">
        <f t="shared" si="0"/>
        <v/>
      </c>
      <c r="I41" s="18"/>
      <c r="J41" s="61"/>
      <c r="K41" s="399"/>
      <c r="L41" s="420" t="str">
        <f t="shared" si="2"/>
        <v/>
      </c>
      <c r="M41" s="401" t="str">
        <f t="shared" si="3"/>
        <v/>
      </c>
    </row>
    <row r="42" spans="2:13" x14ac:dyDescent="0.25">
      <c r="B42" s="58"/>
      <c r="C42" s="787"/>
      <c r="D42" s="15"/>
      <c r="E42" s="15"/>
      <c r="F42" s="24"/>
      <c r="G42" s="411"/>
      <c r="H42" s="17" t="str">
        <f t="shared" si="0"/>
        <v/>
      </c>
      <c r="I42" s="18"/>
      <c r="J42" s="61"/>
      <c r="K42" s="399"/>
      <c r="L42" s="420" t="str">
        <f t="shared" si="2"/>
        <v/>
      </c>
      <c r="M42" s="401" t="str">
        <f t="shared" si="3"/>
        <v/>
      </c>
    </row>
    <row r="43" spans="2:13" x14ac:dyDescent="0.25">
      <c r="B43" s="58"/>
      <c r="C43" s="65"/>
      <c r="D43" s="15"/>
      <c r="E43" s="15"/>
      <c r="F43" s="24"/>
      <c r="G43" s="423"/>
      <c r="H43" s="17" t="str">
        <f t="shared" si="0"/>
        <v/>
      </c>
      <c r="I43" s="18"/>
      <c r="J43" s="61"/>
      <c r="K43" s="399"/>
      <c r="L43" s="420" t="str">
        <f t="shared" si="2"/>
        <v/>
      </c>
      <c r="M43" s="401" t="str">
        <f t="shared" si="3"/>
        <v/>
      </c>
    </row>
    <row r="44" spans="2:13" x14ac:dyDescent="0.25">
      <c r="B44" s="58"/>
      <c r="C44" s="65"/>
      <c r="D44" s="15"/>
      <c r="E44" s="15"/>
      <c r="F44" s="24"/>
      <c r="G44" s="423"/>
      <c r="H44" s="17" t="str">
        <f t="shared" si="0"/>
        <v/>
      </c>
      <c r="I44" s="18"/>
      <c r="J44" s="61"/>
      <c r="K44" s="399"/>
      <c r="L44" s="420" t="str">
        <f t="shared" si="2"/>
        <v/>
      </c>
      <c r="M44" s="401" t="str">
        <f t="shared" si="3"/>
        <v/>
      </c>
    </row>
    <row r="45" spans="2:13" x14ac:dyDescent="0.25">
      <c r="B45" s="58"/>
      <c r="C45" s="65"/>
      <c r="D45" s="15"/>
      <c r="E45" s="15"/>
      <c r="F45" s="15"/>
      <c r="G45" s="411"/>
      <c r="H45" s="17" t="str">
        <f t="shared" si="0"/>
        <v/>
      </c>
      <c r="I45" s="18"/>
      <c r="J45" s="61"/>
      <c r="K45" s="399" t="str">
        <f t="shared" ref="K45" si="6">IF(D45="","",ROUND(Labour_perc_structures*H45,1))</f>
        <v/>
      </c>
      <c r="L45" s="420" t="str">
        <f t="shared" si="2"/>
        <v/>
      </c>
      <c r="M45" s="401" t="str">
        <f t="shared" si="3"/>
        <v/>
      </c>
    </row>
    <row r="46" spans="2:13" x14ac:dyDescent="0.25">
      <c r="B46" s="58"/>
      <c r="C46" s="65"/>
      <c r="D46" s="15"/>
      <c r="E46" s="15"/>
      <c r="F46" s="15"/>
      <c r="G46" s="411"/>
      <c r="H46" s="17" t="str">
        <f t="shared" si="0"/>
        <v/>
      </c>
      <c r="I46" s="18"/>
      <c r="J46" s="61"/>
      <c r="K46" s="402"/>
      <c r="L46" s="420" t="str">
        <f t="shared" si="2"/>
        <v/>
      </c>
      <c r="M46" s="401" t="str">
        <f t="shared" si="3"/>
        <v/>
      </c>
    </row>
    <row r="47" spans="2:13" x14ac:dyDescent="0.25">
      <c r="B47" s="58"/>
      <c r="C47" s="65"/>
      <c r="D47" s="15"/>
      <c r="E47" s="15"/>
      <c r="F47" s="15"/>
      <c r="G47" s="422"/>
      <c r="H47" s="17" t="str">
        <f t="shared" si="0"/>
        <v/>
      </c>
      <c r="I47" s="18"/>
      <c r="J47" s="61"/>
      <c r="K47" s="399"/>
      <c r="L47" s="420" t="str">
        <f t="shared" si="2"/>
        <v/>
      </c>
      <c r="M47" s="401" t="str">
        <f t="shared" si="3"/>
        <v/>
      </c>
    </row>
    <row r="48" spans="2:13" x14ac:dyDescent="0.25">
      <c r="B48" s="58"/>
      <c r="C48" s="65"/>
      <c r="D48" s="15"/>
      <c r="E48" s="15"/>
      <c r="F48" s="15"/>
      <c r="G48" s="422"/>
      <c r="H48" s="17" t="str">
        <f t="shared" si="0"/>
        <v/>
      </c>
      <c r="I48" s="18"/>
      <c r="J48" s="61"/>
      <c r="K48" s="402"/>
      <c r="L48" s="420" t="str">
        <f t="shared" si="2"/>
        <v/>
      </c>
      <c r="M48" s="401" t="str">
        <f t="shared" si="3"/>
        <v/>
      </c>
    </row>
    <row r="49" spans="2:13" x14ac:dyDescent="0.25">
      <c r="B49" s="58"/>
      <c r="C49" s="65"/>
      <c r="D49" s="15"/>
      <c r="E49" s="15"/>
      <c r="F49" s="15"/>
      <c r="G49" s="422"/>
      <c r="H49" s="17" t="str">
        <f t="shared" si="0"/>
        <v/>
      </c>
      <c r="I49" s="18"/>
      <c r="J49" s="61"/>
      <c r="K49" s="402"/>
      <c r="L49" s="420" t="str">
        <f t="shared" si="2"/>
        <v/>
      </c>
      <c r="M49" s="401" t="str">
        <f t="shared" si="3"/>
        <v/>
      </c>
    </row>
    <row r="50" spans="2:13" x14ac:dyDescent="0.25">
      <c r="B50" s="58"/>
      <c r="C50" s="65"/>
      <c r="D50" s="15"/>
      <c r="E50" s="15"/>
      <c r="F50" s="15"/>
      <c r="G50" s="422"/>
      <c r="H50" s="17" t="str">
        <f t="shared" si="0"/>
        <v/>
      </c>
      <c r="I50" s="18"/>
      <c r="J50" s="61"/>
      <c r="K50" s="399"/>
      <c r="L50" s="420" t="str">
        <f t="shared" si="2"/>
        <v/>
      </c>
      <c r="M50" s="401" t="str">
        <f t="shared" si="3"/>
        <v/>
      </c>
    </row>
    <row r="51" spans="2:13" x14ac:dyDescent="0.25">
      <c r="B51" s="58"/>
      <c r="C51" s="65"/>
      <c r="D51" s="15"/>
      <c r="E51" s="15"/>
      <c r="F51" s="15"/>
      <c r="G51" s="422"/>
      <c r="H51" s="17" t="str">
        <f t="shared" si="0"/>
        <v/>
      </c>
      <c r="I51" s="18"/>
      <c r="J51" s="61"/>
      <c r="K51" s="399"/>
      <c r="L51" s="420" t="str">
        <f t="shared" si="2"/>
        <v/>
      </c>
      <c r="M51" s="401" t="str">
        <f t="shared" si="3"/>
        <v/>
      </c>
    </row>
    <row r="52" spans="2:13" x14ac:dyDescent="0.25">
      <c r="B52" s="58"/>
      <c r="C52" s="65"/>
      <c r="D52" s="15"/>
      <c r="E52" s="15"/>
      <c r="F52" s="15"/>
      <c r="G52" s="422"/>
      <c r="H52" s="17" t="str">
        <f t="shared" si="0"/>
        <v/>
      </c>
      <c r="I52" s="18"/>
      <c r="J52" s="61"/>
      <c r="K52" s="399"/>
      <c r="L52" s="420" t="str">
        <f t="shared" si="2"/>
        <v/>
      </c>
      <c r="M52" s="401" t="str">
        <f t="shared" si="3"/>
        <v/>
      </c>
    </row>
    <row r="53" spans="2:13" x14ac:dyDescent="0.25">
      <c r="B53" s="58"/>
      <c r="C53" s="65"/>
      <c r="D53" s="15"/>
      <c r="E53" s="15"/>
      <c r="F53" s="15"/>
      <c r="G53" s="422"/>
      <c r="H53" s="17" t="str">
        <f t="shared" si="0"/>
        <v/>
      </c>
      <c r="I53" s="18"/>
      <c r="J53" s="61"/>
      <c r="K53" s="399"/>
      <c r="L53" s="420" t="str">
        <f t="shared" si="2"/>
        <v/>
      </c>
      <c r="M53" s="401" t="str">
        <f t="shared" si="3"/>
        <v/>
      </c>
    </row>
    <row r="54" spans="2:13" x14ac:dyDescent="0.25">
      <c r="B54" s="58"/>
      <c r="C54" s="65"/>
      <c r="D54" s="15"/>
      <c r="E54" s="15"/>
      <c r="F54" s="15"/>
      <c r="G54" s="422"/>
      <c r="H54" s="17" t="str">
        <f t="shared" si="0"/>
        <v/>
      </c>
      <c r="I54" s="18"/>
      <c r="J54" s="62"/>
      <c r="K54" s="62"/>
      <c r="L54" s="420" t="str">
        <f t="shared" si="2"/>
        <v/>
      </c>
      <c r="M54" s="401" t="str">
        <f t="shared" si="3"/>
        <v/>
      </c>
    </row>
    <row r="55" spans="2:13" x14ac:dyDescent="0.25">
      <c r="B55" s="58"/>
      <c r="C55" s="65"/>
      <c r="D55" s="15"/>
      <c r="E55" s="15"/>
      <c r="F55" s="15"/>
      <c r="G55" s="424"/>
      <c r="H55" s="17" t="str">
        <f t="shared" si="0"/>
        <v/>
      </c>
      <c r="I55" s="18"/>
      <c r="J55" s="61"/>
      <c r="K55" s="62"/>
      <c r="L55" s="420" t="str">
        <f t="shared" si="2"/>
        <v/>
      </c>
      <c r="M55" s="401" t="str">
        <f t="shared" si="3"/>
        <v/>
      </c>
    </row>
    <row r="56" spans="2:13" x14ac:dyDescent="0.25">
      <c r="B56" s="58"/>
      <c r="C56" s="65"/>
      <c r="D56" s="15"/>
      <c r="E56" s="15"/>
      <c r="F56" s="15"/>
      <c r="G56" s="424"/>
      <c r="H56" s="17" t="str">
        <f t="shared" si="0"/>
        <v/>
      </c>
      <c r="I56" s="18"/>
      <c r="J56" s="61"/>
      <c r="K56" s="62"/>
      <c r="L56" s="420" t="str">
        <f t="shared" si="2"/>
        <v/>
      </c>
      <c r="M56" s="401" t="str">
        <f t="shared" si="3"/>
        <v/>
      </c>
    </row>
    <row r="57" spans="2:13" x14ac:dyDescent="0.25">
      <c r="B57" s="58"/>
      <c r="C57" s="65"/>
      <c r="D57" s="15"/>
      <c r="E57" s="15"/>
      <c r="F57" s="15"/>
      <c r="G57" s="422"/>
      <c r="H57" s="17" t="str">
        <f t="shared" si="0"/>
        <v/>
      </c>
      <c r="I57" s="18"/>
      <c r="J57" s="61"/>
      <c r="K57" s="62"/>
      <c r="L57" s="420" t="str">
        <f t="shared" si="2"/>
        <v/>
      </c>
      <c r="M57" s="401" t="str">
        <f t="shared" si="3"/>
        <v/>
      </c>
    </row>
    <row r="58" spans="2:13" x14ac:dyDescent="0.25">
      <c r="B58" s="58"/>
      <c r="C58" s="65"/>
      <c r="D58" s="15"/>
      <c r="E58" s="15"/>
      <c r="F58" s="15"/>
      <c r="G58" s="422"/>
      <c r="H58" s="17" t="str">
        <f t="shared" si="0"/>
        <v/>
      </c>
      <c r="I58" s="18"/>
      <c r="J58" s="61"/>
      <c r="K58" s="62"/>
      <c r="L58" s="420" t="str">
        <f t="shared" si="2"/>
        <v/>
      </c>
      <c r="M58" s="401" t="str">
        <f t="shared" si="3"/>
        <v/>
      </c>
    </row>
    <row r="59" spans="2:13" x14ac:dyDescent="0.25">
      <c r="B59" s="58"/>
      <c r="C59" s="65"/>
      <c r="D59" s="15"/>
      <c r="E59" s="15"/>
      <c r="F59" s="15"/>
      <c r="G59" s="422"/>
      <c r="H59" s="17" t="str">
        <f t="shared" si="0"/>
        <v/>
      </c>
      <c r="I59" s="18"/>
      <c r="J59" s="62"/>
      <c r="K59" s="62"/>
      <c r="L59" s="420" t="str">
        <f t="shared" si="2"/>
        <v/>
      </c>
      <c r="M59" s="401" t="str">
        <f t="shared" si="3"/>
        <v/>
      </c>
    </row>
    <row r="60" spans="2:13" x14ac:dyDescent="0.25">
      <c r="B60" s="58"/>
      <c r="C60" s="65"/>
      <c r="D60" s="15"/>
      <c r="E60" s="15"/>
      <c r="F60" s="15"/>
      <c r="G60" s="422"/>
      <c r="H60" s="17" t="str">
        <f t="shared" si="0"/>
        <v/>
      </c>
      <c r="I60" s="18"/>
      <c r="J60" s="62"/>
      <c r="K60" s="62"/>
      <c r="L60" s="420" t="str">
        <f t="shared" si="2"/>
        <v/>
      </c>
      <c r="M60" s="401" t="str">
        <f t="shared" si="3"/>
        <v/>
      </c>
    </row>
    <row r="61" spans="2:13" x14ac:dyDescent="0.25">
      <c r="B61" s="58"/>
      <c r="C61" s="65"/>
      <c r="D61" s="15"/>
      <c r="E61" s="15"/>
      <c r="F61" s="15"/>
      <c r="G61" s="422"/>
      <c r="H61" s="17" t="str">
        <f t="shared" si="0"/>
        <v/>
      </c>
      <c r="I61" s="18"/>
      <c r="J61" s="62"/>
      <c r="K61" s="62"/>
      <c r="L61" s="420" t="str">
        <f t="shared" si="2"/>
        <v/>
      </c>
      <c r="M61" s="401" t="str">
        <f t="shared" si="3"/>
        <v/>
      </c>
    </row>
    <row r="62" spans="2:13" x14ac:dyDescent="0.25">
      <c r="B62" s="58"/>
      <c r="C62" s="65"/>
      <c r="D62" s="15"/>
      <c r="E62" s="15"/>
      <c r="F62" s="15"/>
      <c r="G62" s="422"/>
      <c r="H62" s="17" t="str">
        <f t="shared" si="0"/>
        <v/>
      </c>
      <c r="I62" s="18"/>
      <c r="J62" s="62"/>
      <c r="K62" s="62"/>
      <c r="L62" s="420" t="str">
        <f t="shared" si="2"/>
        <v/>
      </c>
      <c r="M62" s="401" t="str">
        <f t="shared" si="3"/>
        <v/>
      </c>
    </row>
    <row r="63" spans="2:13" x14ac:dyDescent="0.25">
      <c r="B63" s="58"/>
      <c r="C63" s="65"/>
      <c r="D63" s="15"/>
      <c r="E63" s="15"/>
      <c r="F63" s="15"/>
      <c r="G63" s="422"/>
      <c r="H63" s="17" t="str">
        <f t="shared" si="0"/>
        <v/>
      </c>
      <c r="I63" s="18"/>
      <c r="J63" s="62"/>
      <c r="K63" s="62"/>
      <c r="L63" s="420" t="str">
        <f t="shared" si="2"/>
        <v/>
      </c>
      <c r="M63" s="401" t="str">
        <f t="shared" si="3"/>
        <v/>
      </c>
    </row>
    <row r="64" spans="2:13" x14ac:dyDescent="0.25">
      <c r="B64" s="58"/>
      <c r="C64" s="65"/>
      <c r="D64" s="15"/>
      <c r="E64" s="15"/>
      <c r="F64" s="15"/>
      <c r="G64" s="422"/>
      <c r="H64" s="17" t="str">
        <f t="shared" si="0"/>
        <v/>
      </c>
      <c r="I64" s="18"/>
      <c r="J64" s="62"/>
      <c r="K64" s="62"/>
      <c r="L64" s="420" t="str">
        <f t="shared" si="2"/>
        <v/>
      </c>
      <c r="M64" s="401" t="str">
        <f t="shared" si="3"/>
        <v/>
      </c>
    </row>
    <row r="65" spans="2:13" x14ac:dyDescent="0.25">
      <c r="B65" s="58"/>
      <c r="C65" s="65"/>
      <c r="D65" s="15"/>
      <c r="E65" s="15"/>
      <c r="F65" s="15"/>
      <c r="G65" s="422"/>
      <c r="H65" s="17" t="str">
        <f t="shared" si="0"/>
        <v/>
      </c>
      <c r="I65" s="18"/>
      <c r="J65" s="62"/>
      <c r="K65" s="62"/>
      <c r="L65" s="420" t="str">
        <f t="shared" si="2"/>
        <v/>
      </c>
      <c r="M65" s="401" t="str">
        <f t="shared" si="3"/>
        <v/>
      </c>
    </row>
    <row r="66" spans="2:13" x14ac:dyDescent="0.25">
      <c r="B66" s="58"/>
      <c r="C66" s="65"/>
      <c r="D66" s="15"/>
      <c r="E66" s="15"/>
      <c r="F66" s="15"/>
      <c r="G66" s="422"/>
      <c r="H66" s="17" t="str">
        <f t="shared" si="0"/>
        <v/>
      </c>
      <c r="I66" s="18"/>
      <c r="J66" s="62"/>
      <c r="K66" s="62"/>
      <c r="L66" s="420" t="str">
        <f t="shared" si="2"/>
        <v/>
      </c>
      <c r="M66" s="401" t="str">
        <f t="shared" si="3"/>
        <v/>
      </c>
    </row>
    <row r="67" spans="2:13" x14ac:dyDescent="0.25">
      <c r="B67" s="58"/>
      <c r="C67" s="65"/>
      <c r="D67" s="15"/>
      <c r="E67" s="15"/>
      <c r="F67" s="15"/>
      <c r="G67" s="422"/>
      <c r="H67" s="17" t="str">
        <f t="shared" si="0"/>
        <v/>
      </c>
      <c r="I67" s="18"/>
      <c r="J67" s="61"/>
      <c r="K67" s="695"/>
      <c r="L67" s="420" t="str">
        <f t="shared" si="2"/>
        <v/>
      </c>
      <c r="M67" s="401" t="str">
        <f t="shared" si="3"/>
        <v/>
      </c>
    </row>
    <row r="68" spans="2:13" x14ac:dyDescent="0.25">
      <c r="B68" s="58"/>
      <c r="C68" s="65"/>
      <c r="D68" s="15"/>
      <c r="E68" s="15"/>
      <c r="F68" s="15"/>
      <c r="G68" s="422"/>
      <c r="H68" s="17" t="str">
        <f t="shared" si="0"/>
        <v/>
      </c>
      <c r="I68" s="18"/>
      <c r="J68" s="61"/>
      <c r="K68" s="696"/>
      <c r="L68" s="420" t="str">
        <f t="shared" si="2"/>
        <v/>
      </c>
      <c r="M68" s="401" t="str">
        <f t="shared" si="3"/>
        <v/>
      </c>
    </row>
    <row r="69" spans="2:13" s="28" customFormat="1" ht="19.5" customHeight="1" x14ac:dyDescent="0.25">
      <c r="B69" s="135" t="str">
        <f>$B$12</f>
        <v>C13.7</v>
      </c>
      <c r="C69" s="30" t="s">
        <v>12</v>
      </c>
      <c r="D69" s="31"/>
      <c r="E69" s="31"/>
      <c r="F69" s="32"/>
      <c r="G69" s="31"/>
      <c r="H69" s="33">
        <f>SUM(H11:H68)</f>
        <v>29160</v>
      </c>
      <c r="I69" s="34"/>
      <c r="J69" s="408"/>
      <c r="K69" s="406"/>
      <c r="L69" s="418">
        <f>SUM(L11:L68)</f>
        <v>1749.6</v>
      </c>
      <c r="M69" s="407" t="str">
        <f t="shared" ref="M69" si="7">IF(J69="","",IF(SUM(H69)=0,"",L69/H69))</f>
        <v/>
      </c>
    </row>
    <row r="70" spans="2:13" ht="13" x14ac:dyDescent="0.25">
      <c r="B70" s="1108" t="str">
        <f>Client1</f>
        <v>Province of KwaZulu-Natal</v>
      </c>
      <c r="C70" s="1108"/>
      <c r="D70" s="1108"/>
      <c r="E70" s="87"/>
      <c r="F70" s="1109" t="str">
        <f>"Contract No. "&amp;ContractNo</f>
        <v>Contract No. ZNB 00399/00000/HOD/INF/21/T</v>
      </c>
      <c r="G70" s="1109"/>
      <c r="H70" s="1109"/>
    </row>
    <row r="71" spans="2:13" ht="13" x14ac:dyDescent="0.25">
      <c r="B71" s="1108" t="str">
        <f>Client2</f>
        <v>Department of Transport</v>
      </c>
      <c r="C71" s="1108"/>
      <c r="D71" s="1108"/>
      <c r="E71" s="87"/>
      <c r="F71" s="1109"/>
      <c r="G71" s="1109"/>
      <c r="H71" s="1109"/>
    </row>
    <row r="72" spans="2:13" x14ac:dyDescent="0.25">
      <c r="B72" s="1111"/>
      <c r="C72" s="1111"/>
      <c r="D72" s="1111"/>
      <c r="E72" s="78"/>
      <c r="F72" s="1110"/>
      <c r="G72" s="1110"/>
      <c r="H72" s="1110"/>
    </row>
    <row r="73" spans="2:13" ht="13" x14ac:dyDescent="0.25">
      <c r="B73" s="1112" t="s">
        <v>1773</v>
      </c>
      <c r="C73" s="1113"/>
      <c r="D73" s="1113"/>
      <c r="E73" s="1113"/>
      <c r="F73" s="1113"/>
      <c r="G73" s="1113"/>
      <c r="H73" s="1125" t="str">
        <f>$H$6</f>
        <v>CHAPTER C13.7</v>
      </c>
      <c r="I73" s="6"/>
    </row>
    <row r="74" spans="2:13" ht="34.5" customHeight="1" x14ac:dyDescent="0.25">
      <c r="B74" s="1117" t="str">
        <f>ContractDescription</f>
        <v>THE CONSTRUCTION OF EARTHWORKS, LAYERWORKS, SURFACING, CULVERTS AND CWAKA RIVER BRIDGE FROM KM 11.600 TO KM 14.000 ON MAIN ROAD P494 IN THE KING CETSHWAYO DISTRICT UNDER EMPANGENI REGION</v>
      </c>
      <c r="C74" s="1148"/>
      <c r="D74" s="1148"/>
      <c r="E74" s="1148"/>
      <c r="F74" s="1148"/>
      <c r="G74" s="1148"/>
      <c r="H74" s="1126"/>
      <c r="I74" s="8"/>
    </row>
    <row r="75" spans="2:13" ht="24" customHeight="1" x14ac:dyDescent="0.25">
      <c r="B75" s="1149" t="s">
        <v>1775</v>
      </c>
      <c r="C75" s="1150"/>
      <c r="D75" s="1150"/>
      <c r="E75" s="1150"/>
      <c r="F75" s="1150"/>
      <c r="G75" s="1150"/>
      <c r="H75" s="1126"/>
      <c r="I75" s="8"/>
    </row>
    <row r="76" spans="2:13" ht="13" x14ac:dyDescent="0.25">
      <c r="B76" s="611"/>
      <c r="C76" s="612"/>
      <c r="D76" s="612"/>
      <c r="E76" s="612"/>
      <c r="F76" s="612"/>
      <c r="G76" s="612"/>
      <c r="H76" s="1127"/>
      <c r="I76" s="8"/>
    </row>
    <row r="77" spans="2:13" s="9" customFormat="1" ht="25" customHeight="1" x14ac:dyDescent="0.25">
      <c r="B77" s="74" t="s">
        <v>0</v>
      </c>
      <c r="C77" s="11" t="s">
        <v>1</v>
      </c>
      <c r="D77" s="11" t="s">
        <v>2</v>
      </c>
      <c r="E77" s="11"/>
      <c r="F77" s="11" t="s">
        <v>3</v>
      </c>
      <c r="G77" s="11" t="s">
        <v>4</v>
      </c>
      <c r="H77" s="11" t="s">
        <v>5</v>
      </c>
      <c r="I77" s="12"/>
      <c r="J77" s="408" t="s">
        <v>996</v>
      </c>
      <c r="K77" s="253" t="s">
        <v>997</v>
      </c>
      <c r="L77" s="253" t="s">
        <v>998</v>
      </c>
      <c r="M77" s="253" t="s">
        <v>999</v>
      </c>
    </row>
    <row r="78" spans="2:13" s="28" customFormat="1" ht="19.5" customHeight="1" x14ac:dyDescent="0.25">
      <c r="B78" s="80"/>
      <c r="C78" s="30" t="s">
        <v>27</v>
      </c>
      <c r="D78" s="31"/>
      <c r="E78" s="31"/>
      <c r="F78" s="32"/>
      <c r="G78" s="31"/>
      <c r="H78" s="33">
        <f>H69</f>
        <v>29160</v>
      </c>
      <c r="I78" s="34"/>
      <c r="J78" s="416"/>
      <c r="K78" s="409"/>
      <c r="L78" s="419">
        <f>L69</f>
        <v>1749.6</v>
      </c>
      <c r="M78" s="410" t="str">
        <f>IF(J78="","",IF(SUM(H78)=0,"",L78/H78))</f>
        <v/>
      </c>
    </row>
    <row r="79" spans="2:13" x14ac:dyDescent="0.25">
      <c r="B79" s="46"/>
      <c r="C79" s="14"/>
      <c r="D79" s="15"/>
      <c r="E79" s="15"/>
      <c r="F79" s="15"/>
      <c r="G79" s="422"/>
      <c r="H79" s="17"/>
      <c r="I79" s="18"/>
      <c r="J79" s="61"/>
      <c r="K79" s="399"/>
      <c r="L79" s="420" t="str">
        <f t="shared" ref="L79" si="8">IF(J79="","",F79*K79)</f>
        <v/>
      </c>
      <c r="M79" s="401" t="str">
        <f t="shared" ref="M79" si="9">IF(J79="","",IF(SUM(H79)=0,"",L79/H79))</f>
        <v/>
      </c>
    </row>
    <row r="80" spans="2:13" x14ac:dyDescent="0.25">
      <c r="B80" s="46"/>
      <c r="C80" s="14"/>
      <c r="D80" s="15"/>
      <c r="E80" s="15"/>
      <c r="F80" s="15"/>
      <c r="G80" s="422"/>
      <c r="H80" s="17"/>
      <c r="I80" s="18"/>
      <c r="J80" s="61"/>
      <c r="K80" s="399"/>
      <c r="L80" s="420" t="str">
        <f t="shared" ref="L80:L143" si="10">IF(J80="","",F80*K80)</f>
        <v/>
      </c>
      <c r="M80" s="401" t="str">
        <f t="shared" ref="M80:M144" si="11">IF(J80="","",IF(SUM(H80)=0,"",L80/H80))</f>
        <v/>
      </c>
    </row>
    <row r="81" spans="2:13" x14ac:dyDescent="0.25">
      <c r="B81" s="46"/>
      <c r="C81" s="14"/>
      <c r="D81" s="15"/>
      <c r="E81" s="15"/>
      <c r="F81" s="15"/>
      <c r="G81" s="422"/>
      <c r="H81" s="17"/>
      <c r="I81" s="18"/>
      <c r="J81" s="61"/>
      <c r="K81" s="399"/>
      <c r="L81" s="420" t="str">
        <f t="shared" si="10"/>
        <v/>
      </c>
      <c r="M81" s="401" t="str">
        <f t="shared" si="11"/>
        <v/>
      </c>
    </row>
    <row r="82" spans="2:13" x14ac:dyDescent="0.25">
      <c r="B82" s="46"/>
      <c r="C82" s="14"/>
      <c r="D82" s="15"/>
      <c r="E82" s="15"/>
      <c r="F82" s="15"/>
      <c r="G82" s="422"/>
      <c r="H82" s="17"/>
      <c r="I82" s="18"/>
      <c r="J82" s="61"/>
      <c r="K82" s="399"/>
      <c r="L82" s="420" t="str">
        <f t="shared" si="10"/>
        <v/>
      </c>
      <c r="M82" s="401" t="str">
        <f t="shared" si="11"/>
        <v/>
      </c>
    </row>
    <row r="83" spans="2:13" x14ac:dyDescent="0.25">
      <c r="B83" s="46"/>
      <c r="C83" s="14"/>
      <c r="D83" s="15"/>
      <c r="E83" s="15"/>
      <c r="F83" s="15"/>
      <c r="G83" s="422"/>
      <c r="H83" s="17"/>
      <c r="I83" s="18"/>
      <c r="J83" s="61"/>
      <c r="K83" s="400"/>
      <c r="L83" s="420" t="str">
        <f t="shared" si="10"/>
        <v/>
      </c>
      <c r="M83" s="401" t="str">
        <f t="shared" si="11"/>
        <v/>
      </c>
    </row>
    <row r="84" spans="2:13" x14ac:dyDescent="0.25">
      <c r="B84" s="46"/>
      <c r="C84" s="14"/>
      <c r="D84" s="15"/>
      <c r="E84" s="15"/>
      <c r="F84" s="15"/>
      <c r="G84" s="422"/>
      <c r="H84" s="17"/>
      <c r="I84" s="18"/>
      <c r="J84" s="61"/>
      <c r="K84" s="399"/>
      <c r="L84" s="420" t="str">
        <f t="shared" si="10"/>
        <v/>
      </c>
      <c r="M84" s="401" t="str">
        <f t="shared" si="11"/>
        <v/>
      </c>
    </row>
    <row r="85" spans="2:13" x14ac:dyDescent="0.25">
      <c r="B85" s="46"/>
      <c r="C85" s="14"/>
      <c r="D85" s="15"/>
      <c r="E85" s="15"/>
      <c r="F85" s="15"/>
      <c r="G85" s="422"/>
      <c r="H85" s="17"/>
      <c r="I85" s="18"/>
      <c r="J85" s="61"/>
      <c r="K85" s="400"/>
      <c r="L85" s="420" t="str">
        <f t="shared" si="10"/>
        <v/>
      </c>
      <c r="M85" s="401" t="str">
        <f t="shared" si="11"/>
        <v/>
      </c>
    </row>
    <row r="86" spans="2:13" x14ac:dyDescent="0.25">
      <c r="B86" s="46"/>
      <c r="C86" s="14"/>
      <c r="D86" s="15"/>
      <c r="E86" s="15"/>
      <c r="F86" s="15"/>
      <c r="G86" s="422"/>
      <c r="H86" s="17"/>
      <c r="I86" s="18"/>
      <c r="J86" s="61"/>
      <c r="K86" s="399"/>
      <c r="L86" s="420" t="str">
        <f t="shared" si="10"/>
        <v/>
      </c>
      <c r="M86" s="401" t="str">
        <f t="shared" si="11"/>
        <v/>
      </c>
    </row>
    <row r="87" spans="2:13" x14ac:dyDescent="0.25">
      <c r="B87" s="46"/>
      <c r="C87" s="14"/>
      <c r="D87" s="15"/>
      <c r="E87" s="15"/>
      <c r="F87" s="15"/>
      <c r="G87" s="422"/>
      <c r="H87" s="17"/>
      <c r="I87" s="18"/>
      <c r="J87" s="61"/>
      <c r="K87" s="402"/>
      <c r="L87" s="420" t="str">
        <f t="shared" si="10"/>
        <v/>
      </c>
      <c r="M87" s="401" t="str">
        <f t="shared" si="11"/>
        <v/>
      </c>
    </row>
    <row r="88" spans="2:13" x14ac:dyDescent="0.25">
      <c r="B88" s="46"/>
      <c r="C88" s="14"/>
      <c r="D88" s="15"/>
      <c r="E88" s="15"/>
      <c r="F88" s="15"/>
      <c r="G88" s="422"/>
      <c r="H88" s="17"/>
      <c r="I88" s="18"/>
      <c r="J88" s="61"/>
      <c r="K88" s="402"/>
      <c r="L88" s="420" t="str">
        <f t="shared" si="10"/>
        <v/>
      </c>
      <c r="M88" s="401" t="str">
        <f t="shared" si="11"/>
        <v/>
      </c>
    </row>
    <row r="89" spans="2:13" x14ac:dyDescent="0.25">
      <c r="B89" s="46"/>
      <c r="C89" s="14"/>
      <c r="D89" s="15"/>
      <c r="E89" s="15"/>
      <c r="F89" s="15"/>
      <c r="G89" s="422"/>
      <c r="H89" s="17"/>
      <c r="I89" s="18"/>
      <c r="J89" s="61"/>
      <c r="K89" s="400"/>
      <c r="L89" s="420" t="str">
        <f t="shared" si="10"/>
        <v/>
      </c>
      <c r="M89" s="401" t="str">
        <f t="shared" si="11"/>
        <v/>
      </c>
    </row>
    <row r="90" spans="2:13" x14ac:dyDescent="0.25">
      <c r="B90" s="46"/>
      <c r="C90" s="14"/>
      <c r="D90" s="15"/>
      <c r="E90" s="15"/>
      <c r="F90" s="15"/>
      <c r="G90" s="422"/>
      <c r="H90" s="17"/>
      <c r="I90" s="18"/>
      <c r="J90" s="61"/>
      <c r="K90" s="402"/>
      <c r="L90" s="420" t="str">
        <f t="shared" si="10"/>
        <v/>
      </c>
      <c r="M90" s="401" t="str">
        <f t="shared" si="11"/>
        <v/>
      </c>
    </row>
    <row r="91" spans="2:13" x14ac:dyDescent="0.25">
      <c r="B91" s="46"/>
      <c r="C91" s="14"/>
      <c r="D91" s="15"/>
      <c r="E91" s="15"/>
      <c r="F91" s="15"/>
      <c r="G91" s="422"/>
      <c r="H91" s="17"/>
      <c r="I91" s="18"/>
      <c r="J91" s="61"/>
      <c r="K91" s="402"/>
      <c r="L91" s="420" t="str">
        <f t="shared" si="10"/>
        <v/>
      </c>
      <c r="M91" s="401" t="str">
        <f t="shared" si="11"/>
        <v/>
      </c>
    </row>
    <row r="92" spans="2:13" x14ac:dyDescent="0.25">
      <c r="B92" s="46"/>
      <c r="C92" s="14"/>
      <c r="D92" s="15"/>
      <c r="E92" s="15"/>
      <c r="F92" s="15"/>
      <c r="G92" s="422"/>
      <c r="H92" s="17"/>
      <c r="I92" s="18"/>
      <c r="J92" s="61"/>
      <c r="K92" s="402"/>
      <c r="L92" s="420" t="str">
        <f t="shared" si="10"/>
        <v/>
      </c>
      <c r="M92" s="401" t="str">
        <f t="shared" si="11"/>
        <v/>
      </c>
    </row>
    <row r="93" spans="2:13" x14ac:dyDescent="0.25">
      <c r="B93" s="46"/>
      <c r="C93" s="14"/>
      <c r="D93" s="15"/>
      <c r="E93" s="15"/>
      <c r="F93" s="15"/>
      <c r="G93" s="422"/>
      <c r="H93" s="17"/>
      <c r="I93" s="18"/>
      <c r="J93" s="61"/>
      <c r="K93" s="399"/>
      <c r="L93" s="420" t="str">
        <f t="shared" si="10"/>
        <v/>
      </c>
      <c r="M93" s="401" t="str">
        <f t="shared" si="11"/>
        <v/>
      </c>
    </row>
    <row r="94" spans="2:13" x14ac:dyDescent="0.25">
      <c r="B94" s="46"/>
      <c r="C94" s="14"/>
      <c r="D94" s="15"/>
      <c r="E94" s="15"/>
      <c r="F94" s="15"/>
      <c r="G94" s="422"/>
      <c r="H94" s="17"/>
      <c r="I94" s="18"/>
      <c r="J94" s="61"/>
      <c r="K94" s="399"/>
      <c r="L94" s="420" t="str">
        <f t="shared" si="10"/>
        <v/>
      </c>
      <c r="M94" s="401" t="str">
        <f t="shared" si="11"/>
        <v/>
      </c>
    </row>
    <row r="95" spans="2:13" x14ac:dyDescent="0.25">
      <c r="B95" s="46"/>
      <c r="C95" s="14"/>
      <c r="D95" s="15"/>
      <c r="E95" s="15"/>
      <c r="F95" s="15"/>
      <c r="G95" s="422"/>
      <c r="H95" s="17"/>
      <c r="I95" s="18"/>
      <c r="J95" s="61"/>
      <c r="K95" s="400"/>
      <c r="L95" s="420" t="str">
        <f t="shared" si="10"/>
        <v/>
      </c>
      <c r="M95" s="401" t="str">
        <f t="shared" si="11"/>
        <v/>
      </c>
    </row>
    <row r="96" spans="2:13" x14ac:dyDescent="0.25">
      <c r="B96" s="46"/>
      <c r="C96" s="14"/>
      <c r="D96" s="15"/>
      <c r="E96" s="15"/>
      <c r="F96" s="15"/>
      <c r="G96" s="422"/>
      <c r="H96" s="17"/>
      <c r="I96" s="18"/>
      <c r="J96" s="61"/>
      <c r="K96" s="399"/>
      <c r="L96" s="420" t="str">
        <f t="shared" si="10"/>
        <v/>
      </c>
      <c r="M96" s="401" t="str">
        <f t="shared" si="11"/>
        <v/>
      </c>
    </row>
    <row r="97" spans="2:13" x14ac:dyDescent="0.25">
      <c r="B97" s="46"/>
      <c r="C97" s="14"/>
      <c r="D97" s="15"/>
      <c r="E97" s="15"/>
      <c r="F97" s="15"/>
      <c r="G97" s="422"/>
      <c r="H97" s="17"/>
      <c r="I97" s="18"/>
      <c r="J97" s="61"/>
      <c r="K97" s="399"/>
      <c r="L97" s="420" t="str">
        <f t="shared" si="10"/>
        <v/>
      </c>
      <c r="M97" s="401" t="str">
        <f t="shared" si="11"/>
        <v/>
      </c>
    </row>
    <row r="98" spans="2:13" x14ac:dyDescent="0.25">
      <c r="B98" s="46"/>
      <c r="C98" s="14"/>
      <c r="D98" s="15"/>
      <c r="E98" s="15"/>
      <c r="F98" s="15"/>
      <c r="G98" s="422"/>
      <c r="H98" s="17"/>
      <c r="I98" s="18"/>
      <c r="J98" s="61"/>
      <c r="K98" s="399"/>
      <c r="L98" s="420" t="str">
        <f t="shared" si="10"/>
        <v/>
      </c>
      <c r="M98" s="401" t="str">
        <f t="shared" si="11"/>
        <v/>
      </c>
    </row>
    <row r="99" spans="2:13" x14ac:dyDescent="0.25">
      <c r="B99" s="46"/>
      <c r="C99" s="14"/>
      <c r="D99" s="15"/>
      <c r="E99" s="15"/>
      <c r="F99" s="15"/>
      <c r="G99" s="422"/>
      <c r="H99" s="17"/>
      <c r="I99" s="18"/>
      <c r="J99" s="61"/>
      <c r="K99" s="399"/>
      <c r="L99" s="420" t="str">
        <f t="shared" si="10"/>
        <v/>
      </c>
      <c r="M99" s="401" t="str">
        <f t="shared" si="11"/>
        <v/>
      </c>
    </row>
    <row r="100" spans="2:13" x14ac:dyDescent="0.25">
      <c r="B100" s="46"/>
      <c r="C100" s="14"/>
      <c r="D100" s="15"/>
      <c r="E100" s="15"/>
      <c r="F100" s="15"/>
      <c r="G100" s="422"/>
      <c r="H100" s="17"/>
      <c r="I100" s="18"/>
      <c r="J100" s="61"/>
      <c r="K100" s="399"/>
      <c r="L100" s="420" t="str">
        <f t="shared" si="10"/>
        <v/>
      </c>
      <c r="M100" s="401" t="str">
        <f t="shared" si="11"/>
        <v/>
      </c>
    </row>
    <row r="101" spans="2:13" x14ac:dyDescent="0.25">
      <c r="B101" s="46"/>
      <c r="C101" s="14"/>
      <c r="D101" s="15"/>
      <c r="E101" s="15"/>
      <c r="F101" s="15"/>
      <c r="G101" s="422"/>
      <c r="H101" s="17"/>
      <c r="I101" s="18"/>
      <c r="J101" s="61"/>
      <c r="K101" s="400"/>
      <c r="L101" s="420" t="str">
        <f t="shared" si="10"/>
        <v/>
      </c>
      <c r="M101" s="401" t="str">
        <f t="shared" si="11"/>
        <v/>
      </c>
    </row>
    <row r="102" spans="2:13" x14ac:dyDescent="0.25">
      <c r="B102" s="46"/>
      <c r="C102" s="14"/>
      <c r="D102" s="15"/>
      <c r="E102" s="15"/>
      <c r="F102" s="15"/>
      <c r="G102" s="422"/>
      <c r="H102" s="17"/>
      <c r="I102" s="18"/>
      <c r="J102" s="61"/>
      <c r="K102" s="399"/>
      <c r="L102" s="420" t="str">
        <f t="shared" si="10"/>
        <v/>
      </c>
      <c r="M102" s="401" t="str">
        <f t="shared" si="11"/>
        <v/>
      </c>
    </row>
    <row r="103" spans="2:13" x14ac:dyDescent="0.25">
      <c r="B103" s="46"/>
      <c r="C103" s="14"/>
      <c r="D103" s="15"/>
      <c r="E103" s="15"/>
      <c r="F103" s="15"/>
      <c r="G103" s="422"/>
      <c r="H103" s="17"/>
      <c r="I103" s="18"/>
      <c r="J103" s="61"/>
      <c r="K103" s="399"/>
      <c r="L103" s="420" t="str">
        <f t="shared" si="10"/>
        <v/>
      </c>
      <c r="M103" s="401" t="str">
        <f t="shared" si="11"/>
        <v/>
      </c>
    </row>
    <row r="104" spans="2:13" x14ac:dyDescent="0.25">
      <c r="B104" s="46"/>
      <c r="C104" s="14"/>
      <c r="D104" s="15"/>
      <c r="E104" s="15"/>
      <c r="F104" s="15"/>
      <c r="G104" s="422"/>
      <c r="H104" s="17"/>
      <c r="I104" s="18"/>
      <c r="J104" s="61"/>
      <c r="K104" s="399"/>
      <c r="L104" s="420" t="str">
        <f t="shared" si="10"/>
        <v/>
      </c>
      <c r="M104" s="401" t="str">
        <f t="shared" si="11"/>
        <v/>
      </c>
    </row>
    <row r="105" spans="2:13" x14ac:dyDescent="0.25">
      <c r="B105" s="46"/>
      <c r="C105" s="14"/>
      <c r="D105" s="15"/>
      <c r="E105" s="15"/>
      <c r="F105" s="15"/>
      <c r="G105" s="422"/>
      <c r="H105" s="17"/>
      <c r="I105" s="18"/>
      <c r="J105" s="61"/>
      <c r="K105" s="399"/>
      <c r="L105" s="420" t="str">
        <f t="shared" si="10"/>
        <v/>
      </c>
      <c r="M105" s="401" t="str">
        <f t="shared" si="11"/>
        <v/>
      </c>
    </row>
    <row r="106" spans="2:13" x14ac:dyDescent="0.25">
      <c r="B106" s="46"/>
      <c r="C106" s="14"/>
      <c r="D106" s="15"/>
      <c r="E106" s="15"/>
      <c r="F106" s="15"/>
      <c r="G106" s="422"/>
      <c r="H106" s="17"/>
      <c r="I106" s="18"/>
      <c r="J106" s="61"/>
      <c r="K106" s="399"/>
      <c r="L106" s="420" t="str">
        <f t="shared" si="10"/>
        <v/>
      </c>
      <c r="M106" s="401" t="str">
        <f t="shared" si="11"/>
        <v/>
      </c>
    </row>
    <row r="107" spans="2:13" x14ac:dyDescent="0.25">
      <c r="B107" s="46"/>
      <c r="C107" s="14"/>
      <c r="D107" s="15"/>
      <c r="E107" s="15"/>
      <c r="F107" s="15"/>
      <c r="G107" s="422"/>
      <c r="H107" s="17"/>
      <c r="I107" s="18"/>
      <c r="J107" s="61"/>
      <c r="K107" s="399"/>
      <c r="L107" s="420" t="str">
        <f t="shared" si="10"/>
        <v/>
      </c>
      <c r="M107" s="401" t="str">
        <f t="shared" si="11"/>
        <v/>
      </c>
    </row>
    <row r="108" spans="2:13" x14ac:dyDescent="0.25">
      <c r="B108" s="46"/>
      <c r="C108" s="14"/>
      <c r="D108" s="15"/>
      <c r="E108" s="15"/>
      <c r="F108" s="15"/>
      <c r="G108" s="422"/>
      <c r="H108" s="17"/>
      <c r="I108" s="18"/>
      <c r="J108" s="61"/>
      <c r="K108" s="399"/>
      <c r="L108" s="420" t="str">
        <f t="shared" si="10"/>
        <v/>
      </c>
      <c r="M108" s="401" t="str">
        <f t="shared" si="11"/>
        <v/>
      </c>
    </row>
    <row r="109" spans="2:13" x14ac:dyDescent="0.25">
      <c r="B109" s="46"/>
      <c r="C109" s="14"/>
      <c r="D109" s="15"/>
      <c r="E109" s="15"/>
      <c r="F109" s="15"/>
      <c r="G109" s="422"/>
      <c r="H109" s="17"/>
      <c r="I109" s="18"/>
      <c r="J109" s="61"/>
      <c r="K109" s="399"/>
      <c r="L109" s="420" t="str">
        <f t="shared" si="10"/>
        <v/>
      </c>
      <c r="M109" s="401" t="str">
        <f t="shared" si="11"/>
        <v/>
      </c>
    </row>
    <row r="110" spans="2:13" x14ac:dyDescent="0.25">
      <c r="B110" s="46"/>
      <c r="C110" s="14"/>
      <c r="D110" s="15"/>
      <c r="E110" s="15"/>
      <c r="F110" s="15"/>
      <c r="G110" s="422"/>
      <c r="H110" s="17"/>
      <c r="I110" s="18"/>
      <c r="J110" s="61"/>
      <c r="K110" s="399"/>
      <c r="L110" s="420" t="str">
        <f t="shared" si="10"/>
        <v/>
      </c>
      <c r="M110" s="401" t="str">
        <f t="shared" si="11"/>
        <v/>
      </c>
    </row>
    <row r="111" spans="2:13" x14ac:dyDescent="0.25">
      <c r="B111" s="46"/>
      <c r="C111" s="14"/>
      <c r="D111" s="15"/>
      <c r="E111" s="15"/>
      <c r="F111" s="15"/>
      <c r="G111" s="422"/>
      <c r="H111" s="17"/>
      <c r="I111" s="18"/>
      <c r="J111" s="61"/>
      <c r="K111" s="399"/>
      <c r="L111" s="420" t="str">
        <f t="shared" si="10"/>
        <v/>
      </c>
      <c r="M111" s="401" t="str">
        <f t="shared" si="11"/>
        <v/>
      </c>
    </row>
    <row r="112" spans="2:13" x14ac:dyDescent="0.25">
      <c r="B112" s="46"/>
      <c r="C112" s="14"/>
      <c r="D112" s="15"/>
      <c r="E112" s="15"/>
      <c r="F112" s="15"/>
      <c r="G112" s="422"/>
      <c r="H112" s="17"/>
      <c r="I112" s="18"/>
      <c r="J112" s="61"/>
      <c r="K112" s="399"/>
      <c r="L112" s="420" t="str">
        <f t="shared" si="10"/>
        <v/>
      </c>
      <c r="M112" s="401" t="str">
        <f t="shared" si="11"/>
        <v/>
      </c>
    </row>
    <row r="113" spans="2:13" x14ac:dyDescent="0.25">
      <c r="B113" s="46"/>
      <c r="C113" s="14"/>
      <c r="D113" s="15"/>
      <c r="E113" s="15"/>
      <c r="F113" s="15"/>
      <c r="G113" s="422"/>
      <c r="H113" s="17"/>
      <c r="I113" s="18"/>
      <c r="J113" s="61"/>
      <c r="K113" s="402"/>
      <c r="L113" s="420" t="str">
        <f t="shared" si="10"/>
        <v/>
      </c>
      <c r="M113" s="401" t="str">
        <f t="shared" si="11"/>
        <v/>
      </c>
    </row>
    <row r="114" spans="2:13" x14ac:dyDescent="0.25">
      <c r="B114" s="46"/>
      <c r="C114" s="14"/>
      <c r="D114" s="15"/>
      <c r="E114" s="15"/>
      <c r="F114" s="15"/>
      <c r="G114" s="422"/>
      <c r="H114" s="17"/>
      <c r="I114" s="18"/>
      <c r="J114" s="61"/>
      <c r="K114" s="399"/>
      <c r="L114" s="420" t="str">
        <f t="shared" si="10"/>
        <v/>
      </c>
      <c r="M114" s="401" t="str">
        <f t="shared" si="11"/>
        <v/>
      </c>
    </row>
    <row r="115" spans="2:13" x14ac:dyDescent="0.25">
      <c r="B115" s="46"/>
      <c r="C115" s="14"/>
      <c r="D115" s="15"/>
      <c r="E115" s="15"/>
      <c r="F115" s="15"/>
      <c r="G115" s="422"/>
      <c r="H115" s="17"/>
      <c r="I115" s="18"/>
      <c r="J115" s="61"/>
      <c r="K115" s="402"/>
      <c r="L115" s="420" t="str">
        <f t="shared" si="10"/>
        <v/>
      </c>
      <c r="M115" s="401" t="str">
        <f t="shared" si="11"/>
        <v/>
      </c>
    </row>
    <row r="116" spans="2:13" x14ac:dyDescent="0.25">
      <c r="B116" s="46"/>
      <c r="C116" s="14"/>
      <c r="D116" s="15"/>
      <c r="E116" s="15"/>
      <c r="F116" s="15"/>
      <c r="G116" s="422"/>
      <c r="H116" s="17"/>
      <c r="I116" s="18"/>
      <c r="J116" s="61"/>
      <c r="K116" s="402"/>
      <c r="L116" s="420" t="str">
        <f t="shared" si="10"/>
        <v/>
      </c>
      <c r="M116" s="401" t="str">
        <f t="shared" si="11"/>
        <v/>
      </c>
    </row>
    <row r="117" spans="2:13" x14ac:dyDescent="0.25">
      <c r="B117" s="46"/>
      <c r="C117" s="14"/>
      <c r="D117" s="15"/>
      <c r="E117" s="15"/>
      <c r="F117" s="15"/>
      <c r="G117" s="422"/>
      <c r="H117" s="17"/>
      <c r="I117" s="18"/>
      <c r="J117" s="61"/>
      <c r="K117" s="399"/>
      <c r="L117" s="420" t="str">
        <f t="shared" si="10"/>
        <v/>
      </c>
      <c r="M117" s="401" t="str">
        <f t="shared" si="11"/>
        <v/>
      </c>
    </row>
    <row r="118" spans="2:13" x14ac:dyDescent="0.25">
      <c r="B118" s="46"/>
      <c r="C118" s="14"/>
      <c r="D118" s="15"/>
      <c r="E118" s="15"/>
      <c r="F118" s="15"/>
      <c r="G118" s="422"/>
      <c r="H118" s="17"/>
      <c r="I118" s="18"/>
      <c r="J118" s="61"/>
      <c r="K118" s="399"/>
      <c r="L118" s="420" t="str">
        <f t="shared" si="10"/>
        <v/>
      </c>
      <c r="M118" s="401" t="str">
        <f t="shared" si="11"/>
        <v/>
      </c>
    </row>
    <row r="119" spans="2:13" x14ac:dyDescent="0.25">
      <c r="B119" s="46"/>
      <c r="C119" s="14"/>
      <c r="D119" s="15"/>
      <c r="E119" s="15"/>
      <c r="F119" s="15"/>
      <c r="G119" s="422"/>
      <c r="H119" s="17"/>
      <c r="I119" s="18"/>
      <c r="J119" s="61"/>
      <c r="K119" s="399"/>
      <c r="L119" s="420" t="str">
        <f t="shared" si="10"/>
        <v/>
      </c>
      <c r="M119" s="401" t="str">
        <f t="shared" si="11"/>
        <v/>
      </c>
    </row>
    <row r="120" spans="2:13" ht="13" x14ac:dyDescent="0.25">
      <c r="B120" s="73"/>
      <c r="C120" s="19"/>
      <c r="D120" s="15"/>
      <c r="E120" s="15"/>
      <c r="F120" s="15"/>
      <c r="G120" s="422"/>
      <c r="H120" s="17"/>
      <c r="I120" s="18"/>
      <c r="J120" s="61"/>
      <c r="K120" s="399"/>
      <c r="L120" s="420" t="str">
        <f t="shared" si="10"/>
        <v/>
      </c>
      <c r="M120" s="401" t="str">
        <f t="shared" si="11"/>
        <v/>
      </c>
    </row>
    <row r="121" spans="2:13" x14ac:dyDescent="0.25">
      <c r="B121" s="46"/>
      <c r="C121" s="14"/>
      <c r="D121" s="15"/>
      <c r="E121" s="15"/>
      <c r="F121" s="15"/>
      <c r="G121" s="422"/>
      <c r="H121" s="17"/>
      <c r="I121" s="18"/>
      <c r="J121" s="62"/>
      <c r="K121" s="62"/>
      <c r="L121" s="420" t="str">
        <f t="shared" si="10"/>
        <v/>
      </c>
      <c r="M121" s="401" t="str">
        <f t="shared" si="11"/>
        <v/>
      </c>
    </row>
    <row r="122" spans="2:13" x14ac:dyDescent="0.25">
      <c r="B122" s="46"/>
      <c r="C122" s="14"/>
      <c r="D122" s="15"/>
      <c r="E122" s="15"/>
      <c r="F122" s="15"/>
      <c r="G122" s="422"/>
      <c r="H122" s="17"/>
      <c r="I122" s="18"/>
      <c r="J122" s="61"/>
      <c r="K122" s="62"/>
      <c r="L122" s="420" t="str">
        <f t="shared" si="10"/>
        <v/>
      </c>
      <c r="M122" s="401" t="str">
        <f t="shared" si="11"/>
        <v/>
      </c>
    </row>
    <row r="123" spans="2:13" x14ac:dyDescent="0.25">
      <c r="B123" s="46"/>
      <c r="C123" s="14"/>
      <c r="D123" s="15"/>
      <c r="E123" s="15"/>
      <c r="F123" s="15"/>
      <c r="G123" s="422"/>
      <c r="H123" s="17"/>
      <c r="I123" s="18"/>
      <c r="J123" s="61"/>
      <c r="K123" s="62"/>
      <c r="L123" s="420" t="str">
        <f t="shared" si="10"/>
        <v/>
      </c>
      <c r="M123" s="401" t="str">
        <f t="shared" si="11"/>
        <v/>
      </c>
    </row>
    <row r="124" spans="2:13" x14ac:dyDescent="0.25">
      <c r="B124" s="46"/>
      <c r="C124" s="14"/>
      <c r="D124" s="15"/>
      <c r="E124" s="15"/>
      <c r="F124" s="15"/>
      <c r="G124" s="422"/>
      <c r="H124" s="17"/>
      <c r="I124" s="18"/>
      <c r="J124" s="61"/>
      <c r="K124" s="62"/>
      <c r="L124" s="420" t="str">
        <f t="shared" si="10"/>
        <v/>
      </c>
      <c r="M124" s="401" t="str">
        <f t="shared" si="11"/>
        <v/>
      </c>
    </row>
    <row r="125" spans="2:13" x14ac:dyDescent="0.25">
      <c r="B125" s="46"/>
      <c r="C125" s="14"/>
      <c r="D125" s="15"/>
      <c r="E125" s="15"/>
      <c r="F125" s="15"/>
      <c r="G125" s="422"/>
      <c r="H125" s="17"/>
      <c r="I125" s="18"/>
      <c r="J125" s="61"/>
      <c r="K125" s="62"/>
      <c r="L125" s="420" t="str">
        <f t="shared" si="10"/>
        <v/>
      </c>
      <c r="M125" s="401" t="str">
        <f t="shared" si="11"/>
        <v/>
      </c>
    </row>
    <row r="126" spans="2:13" x14ac:dyDescent="0.25">
      <c r="B126" s="46"/>
      <c r="C126" s="14"/>
      <c r="D126" s="15"/>
      <c r="E126" s="15"/>
      <c r="F126" s="15"/>
      <c r="G126" s="422"/>
      <c r="H126" s="17"/>
      <c r="I126" s="18"/>
      <c r="J126" s="62"/>
      <c r="K126" s="62"/>
      <c r="L126" s="420" t="str">
        <f t="shared" si="10"/>
        <v/>
      </c>
      <c r="M126" s="401" t="str">
        <f t="shared" si="11"/>
        <v/>
      </c>
    </row>
    <row r="127" spans="2:13" x14ac:dyDescent="0.25">
      <c r="B127" s="46"/>
      <c r="C127" s="14"/>
      <c r="D127" s="15"/>
      <c r="E127" s="15"/>
      <c r="F127" s="15"/>
      <c r="G127" s="422"/>
      <c r="H127" s="17"/>
      <c r="I127" s="18"/>
      <c r="J127" s="62"/>
      <c r="K127" s="62"/>
      <c r="L127" s="420" t="str">
        <f t="shared" si="10"/>
        <v/>
      </c>
      <c r="M127" s="401" t="str">
        <f t="shared" si="11"/>
        <v/>
      </c>
    </row>
    <row r="128" spans="2:13" x14ac:dyDescent="0.25">
      <c r="B128" s="46"/>
      <c r="C128" s="14"/>
      <c r="D128" s="15"/>
      <c r="E128" s="15"/>
      <c r="F128" s="15"/>
      <c r="G128" s="422"/>
      <c r="H128" s="17"/>
      <c r="I128" s="18"/>
      <c r="J128" s="62"/>
      <c r="K128" s="62"/>
      <c r="L128" s="420" t="str">
        <f t="shared" si="10"/>
        <v/>
      </c>
      <c r="M128" s="401" t="str">
        <f t="shared" si="11"/>
        <v/>
      </c>
    </row>
    <row r="129" spans="2:13" x14ac:dyDescent="0.25">
      <c r="B129" s="46"/>
      <c r="C129" s="14"/>
      <c r="D129" s="15"/>
      <c r="E129" s="15"/>
      <c r="F129" s="15"/>
      <c r="G129" s="422"/>
      <c r="H129" s="17"/>
      <c r="I129" s="18"/>
      <c r="J129" s="62"/>
      <c r="K129" s="62"/>
      <c r="L129" s="420" t="str">
        <f t="shared" si="10"/>
        <v/>
      </c>
      <c r="M129" s="401" t="str">
        <f t="shared" si="11"/>
        <v/>
      </c>
    </row>
    <row r="130" spans="2:13" x14ac:dyDescent="0.25">
      <c r="B130" s="46"/>
      <c r="C130" s="14"/>
      <c r="D130" s="15"/>
      <c r="E130" s="15"/>
      <c r="F130" s="15"/>
      <c r="G130" s="422"/>
      <c r="H130" s="17"/>
      <c r="I130" s="18"/>
      <c r="J130" s="62"/>
      <c r="K130" s="62"/>
      <c r="L130" s="420" t="str">
        <f t="shared" si="10"/>
        <v/>
      </c>
      <c r="M130" s="401" t="str">
        <f t="shared" si="11"/>
        <v/>
      </c>
    </row>
    <row r="131" spans="2:13" x14ac:dyDescent="0.25">
      <c r="B131" s="46"/>
      <c r="C131" s="14"/>
      <c r="D131" s="15"/>
      <c r="E131" s="15"/>
      <c r="F131" s="15"/>
      <c r="G131" s="422"/>
      <c r="H131" s="17"/>
      <c r="I131" s="18"/>
      <c r="J131" s="62"/>
      <c r="K131" s="62"/>
      <c r="L131" s="420" t="str">
        <f t="shared" si="10"/>
        <v/>
      </c>
      <c r="M131" s="401" t="str">
        <f t="shared" si="11"/>
        <v/>
      </c>
    </row>
    <row r="132" spans="2:13" x14ac:dyDescent="0.25">
      <c r="B132" s="46"/>
      <c r="C132" s="14"/>
      <c r="D132" s="15"/>
      <c r="E132" s="15"/>
      <c r="F132" s="15"/>
      <c r="G132" s="422"/>
      <c r="H132" s="17"/>
      <c r="I132" s="18"/>
      <c r="J132" s="62"/>
      <c r="K132" s="62"/>
      <c r="L132" s="420" t="str">
        <f t="shared" si="10"/>
        <v/>
      </c>
      <c r="M132" s="401" t="str">
        <f t="shared" si="11"/>
        <v/>
      </c>
    </row>
    <row r="133" spans="2:13" x14ac:dyDescent="0.25">
      <c r="B133" s="46"/>
      <c r="C133" s="14"/>
      <c r="D133" s="15"/>
      <c r="E133" s="15"/>
      <c r="F133" s="15"/>
      <c r="G133" s="422"/>
      <c r="H133" s="17"/>
      <c r="I133" s="18"/>
      <c r="J133" s="62"/>
      <c r="K133" s="62"/>
      <c r="L133" s="420" t="str">
        <f t="shared" si="10"/>
        <v/>
      </c>
      <c r="M133" s="401" t="str">
        <f t="shared" si="11"/>
        <v/>
      </c>
    </row>
    <row r="134" spans="2:13" x14ac:dyDescent="0.25">
      <c r="B134" s="46"/>
      <c r="C134" s="14"/>
      <c r="D134" s="15"/>
      <c r="E134" s="15"/>
      <c r="F134" s="15"/>
      <c r="G134" s="422"/>
      <c r="H134" s="17"/>
      <c r="I134" s="18"/>
      <c r="J134" s="62"/>
      <c r="K134" s="62"/>
      <c r="L134" s="420" t="str">
        <f t="shared" si="10"/>
        <v/>
      </c>
      <c r="M134" s="401" t="str">
        <f t="shared" si="11"/>
        <v/>
      </c>
    </row>
    <row r="135" spans="2:13" x14ac:dyDescent="0.25">
      <c r="B135" s="46"/>
      <c r="C135" s="14"/>
      <c r="D135" s="15"/>
      <c r="E135" s="15"/>
      <c r="F135" s="15"/>
      <c r="G135" s="422"/>
      <c r="H135" s="17"/>
      <c r="I135" s="18"/>
      <c r="J135" s="62"/>
      <c r="K135" s="62"/>
      <c r="L135" s="420" t="str">
        <f t="shared" si="10"/>
        <v/>
      </c>
      <c r="M135" s="401" t="str">
        <f t="shared" si="11"/>
        <v/>
      </c>
    </row>
    <row r="136" spans="2:13" x14ac:dyDescent="0.25">
      <c r="B136" s="46"/>
      <c r="C136" s="14"/>
      <c r="D136" s="15"/>
      <c r="E136" s="15"/>
      <c r="F136" s="15"/>
      <c r="G136" s="422"/>
      <c r="H136" s="17"/>
      <c r="I136" s="18"/>
      <c r="J136" s="62"/>
      <c r="K136" s="62"/>
      <c r="L136" s="420" t="str">
        <f t="shared" si="10"/>
        <v/>
      </c>
      <c r="M136" s="401" t="str">
        <f t="shared" si="11"/>
        <v/>
      </c>
    </row>
    <row r="137" spans="2:13" x14ac:dyDescent="0.25">
      <c r="B137" s="46"/>
      <c r="C137" s="14"/>
      <c r="D137" s="15"/>
      <c r="E137" s="15"/>
      <c r="F137" s="15"/>
      <c r="G137" s="422"/>
      <c r="H137" s="17"/>
      <c r="I137" s="18"/>
      <c r="J137" s="62"/>
      <c r="K137" s="62"/>
      <c r="L137" s="420" t="str">
        <f t="shared" si="10"/>
        <v/>
      </c>
      <c r="M137" s="401" t="str">
        <f t="shared" si="11"/>
        <v/>
      </c>
    </row>
    <row r="138" spans="2:13" x14ac:dyDescent="0.25">
      <c r="B138" s="46"/>
      <c r="C138" s="14"/>
      <c r="D138" s="15"/>
      <c r="E138" s="15"/>
      <c r="F138" s="15"/>
      <c r="G138" s="422"/>
      <c r="H138" s="17"/>
      <c r="I138" s="18"/>
      <c r="J138" s="62"/>
      <c r="K138" s="62"/>
      <c r="L138" s="420" t="str">
        <f t="shared" si="10"/>
        <v/>
      </c>
      <c r="M138" s="401" t="str">
        <f t="shared" si="11"/>
        <v/>
      </c>
    </row>
    <row r="139" spans="2:13" x14ac:dyDescent="0.25">
      <c r="B139" s="46"/>
      <c r="C139" s="14"/>
      <c r="D139" s="15"/>
      <c r="E139" s="15"/>
      <c r="F139" s="15"/>
      <c r="G139" s="422"/>
      <c r="H139" s="17"/>
      <c r="I139" s="18"/>
      <c r="J139" s="62"/>
      <c r="K139" s="62"/>
      <c r="L139" s="420" t="str">
        <f t="shared" si="10"/>
        <v/>
      </c>
      <c r="M139" s="401" t="str">
        <f t="shared" si="11"/>
        <v/>
      </c>
    </row>
    <row r="140" spans="2:13" x14ac:dyDescent="0.25">
      <c r="B140" s="46"/>
      <c r="C140" s="14"/>
      <c r="D140" s="15"/>
      <c r="E140" s="15"/>
      <c r="F140" s="15"/>
      <c r="G140" s="422"/>
      <c r="H140" s="17"/>
      <c r="I140" s="18"/>
      <c r="J140" s="62"/>
      <c r="K140" s="62"/>
      <c r="L140" s="420" t="str">
        <f t="shared" si="10"/>
        <v/>
      </c>
      <c r="M140" s="401" t="str">
        <f t="shared" si="11"/>
        <v/>
      </c>
    </row>
    <row r="141" spans="2:13" x14ac:dyDescent="0.25">
      <c r="B141" s="46"/>
      <c r="C141" s="14"/>
      <c r="D141" s="15"/>
      <c r="E141" s="15"/>
      <c r="F141" s="15"/>
      <c r="G141" s="422"/>
      <c r="H141" s="17"/>
      <c r="I141" s="18"/>
      <c r="J141" s="61"/>
      <c r="K141" s="62"/>
      <c r="L141" s="420" t="str">
        <f t="shared" si="10"/>
        <v/>
      </c>
      <c r="M141" s="401" t="str">
        <f t="shared" si="11"/>
        <v/>
      </c>
    </row>
    <row r="142" spans="2:13" x14ac:dyDescent="0.25">
      <c r="B142" s="46"/>
      <c r="C142" s="14"/>
      <c r="D142" s="15"/>
      <c r="E142" s="15"/>
      <c r="F142" s="15"/>
      <c r="G142" s="422"/>
      <c r="H142" s="17"/>
      <c r="I142" s="18"/>
      <c r="J142" s="61"/>
      <c r="K142" s="695"/>
      <c r="L142" s="420" t="str">
        <f t="shared" si="10"/>
        <v/>
      </c>
      <c r="M142" s="401" t="str">
        <f t="shared" si="11"/>
        <v/>
      </c>
    </row>
    <row r="143" spans="2:13" x14ac:dyDescent="0.25">
      <c r="B143" s="46"/>
      <c r="C143" s="14"/>
      <c r="D143" s="15"/>
      <c r="E143" s="15"/>
      <c r="F143" s="15"/>
      <c r="G143" s="422"/>
      <c r="H143" s="17"/>
      <c r="I143" s="18"/>
      <c r="J143" s="61"/>
      <c r="K143" s="696"/>
      <c r="L143" s="420" t="str">
        <f t="shared" si="10"/>
        <v/>
      </c>
      <c r="M143" s="401" t="str">
        <f t="shared" si="11"/>
        <v/>
      </c>
    </row>
    <row r="144" spans="2:13" s="28" customFormat="1" ht="24.75" customHeight="1" x14ac:dyDescent="0.25">
      <c r="B144" s="144" t="str">
        <f>$B$12</f>
        <v>C13.7</v>
      </c>
      <c r="C144" s="30" t="s">
        <v>791</v>
      </c>
      <c r="D144" s="31"/>
      <c r="E144" s="31"/>
      <c r="F144" s="32"/>
      <c r="G144" s="31"/>
      <c r="H144" s="33">
        <f>SUM(H78:H143)</f>
        <v>29160</v>
      </c>
      <c r="I144" s="34"/>
      <c r="J144" s="408"/>
      <c r="K144" s="406"/>
      <c r="L144" s="418">
        <f>SUM(L78:L143)</f>
        <v>1749.6</v>
      </c>
      <c r="M144" s="407" t="str">
        <f t="shared" si="11"/>
        <v/>
      </c>
    </row>
  </sheetData>
  <mergeCells count="13">
    <mergeCell ref="B73:G73"/>
    <mergeCell ref="H73:H76"/>
    <mergeCell ref="F3:H3"/>
    <mergeCell ref="B6:G6"/>
    <mergeCell ref="H6:H9"/>
    <mergeCell ref="B70:D70"/>
    <mergeCell ref="F70:H72"/>
    <mergeCell ref="B71:D71"/>
    <mergeCell ref="B72:D72"/>
    <mergeCell ref="B7:G7"/>
    <mergeCell ref="B8:G8"/>
    <mergeCell ref="B74:G74"/>
    <mergeCell ref="B75:G75"/>
  </mergeCells>
  <conditionalFormatting sqref="G11:H69 G78:H144">
    <cfRule type="expression" dxfId="7"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25">
    <tabColor rgb="FFFFFF00"/>
  </sheetPr>
  <dimension ref="A1:N137"/>
  <sheetViews>
    <sheetView view="pageBreakPreview" zoomScaleNormal="125" zoomScaleSheetLayoutView="100" zoomScalePageLayoutView="125" workbookViewId="0">
      <pane ySplit="2" topLeftCell="A3"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6.81640625" style="4"/>
    <col min="11" max="11" width="13.54296875" style="1" customWidth="1"/>
    <col min="12" max="12" width="14.1796875" style="1" customWidth="1"/>
    <col min="13" max="13" width="13.7265625" style="1" customWidth="1"/>
    <col min="14" max="14" width="13.54296875" style="1" customWidth="1"/>
    <col min="15" max="16384" width="6.81640625" style="1"/>
  </cols>
  <sheetData>
    <row r="1" spans="1:14" s="250" customFormat="1" ht="11.5" x14ac:dyDescent="0.25">
      <c r="A1" s="242"/>
      <c r="B1" s="243"/>
      <c r="C1" s="244" t="s">
        <v>993</v>
      </c>
      <c r="D1" s="245"/>
      <c r="E1" s="245"/>
      <c r="F1" s="246" t="s">
        <v>994</v>
      </c>
      <c r="G1" s="244">
        <v>1</v>
      </c>
      <c r="H1" s="247">
        <f>MAX(H2:H198)</f>
        <v>144160</v>
      </c>
      <c r="I1" s="247">
        <f>MAX(I2:I198)</f>
        <v>0</v>
      </c>
      <c r="J1" s="977"/>
      <c r="K1" s="249"/>
      <c r="L1" s="247">
        <f>MAX(L2:L198)</f>
        <v>19996</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1773</v>
      </c>
      <c r="C6" s="1113"/>
      <c r="D6" s="1113"/>
      <c r="E6" s="1113"/>
      <c r="F6" s="1113"/>
      <c r="G6" s="1113"/>
      <c r="H6" s="1121" t="str">
        <f>"CHAPTER "&amp;B12</f>
        <v>CHAPTER C13.8</v>
      </c>
      <c r="I6" s="6"/>
    </row>
    <row r="7" spans="1:14" ht="33"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51"/>
      <c r="H7" s="1122"/>
      <c r="I7" s="8"/>
    </row>
    <row r="8" spans="1:14" ht="24" customHeight="1" x14ac:dyDescent="0.25">
      <c r="B8" s="1152" t="s">
        <v>1775</v>
      </c>
      <c r="C8" s="1153"/>
      <c r="D8" s="1153"/>
      <c r="E8" s="1153"/>
      <c r="F8" s="1153"/>
      <c r="G8" s="1153"/>
      <c r="H8" s="1122"/>
      <c r="I8" s="8"/>
    </row>
    <row r="9" spans="1:14" ht="7.5" customHeight="1" x14ac:dyDescent="0.25">
      <c r="B9" s="611"/>
      <c r="C9" s="612"/>
      <c r="D9" s="612"/>
      <c r="E9" s="612"/>
      <c r="F9" s="612"/>
      <c r="G9" s="612"/>
      <c r="H9" s="1123"/>
      <c r="I9" s="8"/>
    </row>
    <row r="10" spans="1:14" s="9" customFormat="1" ht="25" customHeight="1" x14ac:dyDescent="0.25">
      <c r="B10" s="10" t="s">
        <v>0</v>
      </c>
      <c r="C10" s="11" t="s">
        <v>1</v>
      </c>
      <c r="D10" s="11" t="s">
        <v>2</v>
      </c>
      <c r="E10" s="11"/>
      <c r="F10" s="11" t="s">
        <v>3</v>
      </c>
      <c r="G10" s="11" t="s">
        <v>4</v>
      </c>
      <c r="H10" s="11" t="s">
        <v>5</v>
      </c>
      <c r="I10" s="12"/>
      <c r="J10" s="408" t="s">
        <v>996</v>
      </c>
      <c r="K10" s="253" t="s">
        <v>997</v>
      </c>
      <c r="L10" s="253" t="s">
        <v>998</v>
      </c>
      <c r="M10" s="253" t="s">
        <v>999</v>
      </c>
    </row>
    <row r="11" spans="1:14" x14ac:dyDescent="0.25">
      <c r="A11" s="5"/>
      <c r="B11" s="58"/>
      <c r="C11" s="65"/>
      <c r="D11" s="15"/>
      <c r="E11" s="15"/>
      <c r="F11" s="15"/>
      <c r="G11" s="411"/>
      <c r="H11" s="17" t="str">
        <f t="shared" ref="H11:H61" si="0">IF(D11="","",F11*G11)</f>
        <v/>
      </c>
      <c r="I11" s="18"/>
      <c r="J11" s="61"/>
      <c r="K11" s="399"/>
      <c r="L11" s="420" t="str">
        <f t="shared" ref="L11" si="1">IF(J11="","",F11*K11)</f>
        <v/>
      </c>
      <c r="M11" s="401" t="str">
        <f>IF(J11="","",IF(SUM(H11)=0,"",L11/H11))</f>
        <v/>
      </c>
    </row>
    <row r="12" spans="1:14" ht="13" x14ac:dyDescent="0.25">
      <c r="A12" s="5"/>
      <c r="B12" s="146" t="s">
        <v>359</v>
      </c>
      <c r="C12" s="672" t="s">
        <v>360</v>
      </c>
      <c r="D12" s="15"/>
      <c r="E12" s="15"/>
      <c r="F12" s="15"/>
      <c r="G12" s="411"/>
      <c r="H12" s="17" t="str">
        <f t="shared" si="0"/>
        <v/>
      </c>
      <c r="I12" s="18"/>
      <c r="J12" s="61"/>
      <c r="K12" s="399"/>
      <c r="L12" s="420" t="str">
        <f t="shared" ref="L12:L61" si="2">IF(J12="","",F12*K12)</f>
        <v/>
      </c>
      <c r="M12" s="401" t="str">
        <f t="shared" ref="M12:M61" si="3">IF(J12="","",IF(SUM(H12)=0,"",L12/H12))</f>
        <v/>
      </c>
    </row>
    <row r="13" spans="1:14" ht="13" x14ac:dyDescent="0.25">
      <c r="A13" s="5"/>
      <c r="B13" s="146"/>
      <c r="C13" s="65"/>
      <c r="D13" s="15"/>
      <c r="E13" s="15"/>
      <c r="F13" s="15"/>
      <c r="G13" s="411"/>
      <c r="H13" s="17" t="str">
        <f t="shared" si="0"/>
        <v/>
      </c>
      <c r="I13" s="18"/>
      <c r="J13" s="61"/>
      <c r="K13" s="399"/>
      <c r="L13" s="420" t="str">
        <f t="shared" si="2"/>
        <v/>
      </c>
      <c r="M13" s="401" t="str">
        <f t="shared" si="3"/>
        <v/>
      </c>
    </row>
    <row r="14" spans="1:14" ht="13" x14ac:dyDescent="0.25">
      <c r="A14" s="5"/>
      <c r="B14" s="146" t="s">
        <v>1896</v>
      </c>
      <c r="C14" s="672" t="s">
        <v>363</v>
      </c>
      <c r="D14" s="15"/>
      <c r="E14" s="15"/>
      <c r="F14" s="24"/>
      <c r="G14" s="422"/>
      <c r="H14" s="17" t="str">
        <f t="shared" si="0"/>
        <v/>
      </c>
      <c r="I14" s="57"/>
      <c r="J14" s="61"/>
      <c r="K14" s="399"/>
      <c r="L14" s="420" t="str">
        <f t="shared" si="2"/>
        <v/>
      </c>
      <c r="M14" s="401" t="str">
        <f t="shared" si="3"/>
        <v/>
      </c>
    </row>
    <row r="15" spans="1:14" x14ac:dyDescent="0.25">
      <c r="A15" s="5"/>
      <c r="B15" s="58"/>
      <c r="C15" s="65"/>
      <c r="D15" s="15"/>
      <c r="E15" s="15"/>
      <c r="F15" s="24"/>
      <c r="G15" s="411"/>
      <c r="H15" s="17" t="str">
        <f t="shared" si="0"/>
        <v/>
      </c>
      <c r="I15" s="18"/>
      <c r="J15" s="61"/>
      <c r="K15" s="399"/>
      <c r="L15" s="420" t="str">
        <f t="shared" si="2"/>
        <v/>
      </c>
      <c r="M15" s="401" t="str">
        <f t="shared" si="3"/>
        <v/>
      </c>
    </row>
    <row r="16" spans="1:14" ht="25" x14ac:dyDescent="0.25">
      <c r="A16" s="5"/>
      <c r="B16" s="58" t="s">
        <v>369</v>
      </c>
      <c r="C16" s="65" t="s">
        <v>1731</v>
      </c>
      <c r="D16" s="15" t="s">
        <v>6</v>
      </c>
      <c r="E16" s="15" t="s">
        <v>996</v>
      </c>
      <c r="F16" s="24">
        <v>90</v>
      </c>
      <c r="G16" s="411">
        <v>200</v>
      </c>
      <c r="H16" s="17">
        <f t="shared" si="0"/>
        <v>18000</v>
      </c>
      <c r="I16" s="18"/>
      <c r="J16" s="61" t="s">
        <v>996</v>
      </c>
      <c r="K16" s="605">
        <f>IF(D16="","",ROUND(12%*G16,1))</f>
        <v>24</v>
      </c>
      <c r="L16" s="420">
        <f t="shared" si="2"/>
        <v>2160</v>
      </c>
      <c r="M16" s="401">
        <f t="shared" si="3"/>
        <v>0.12</v>
      </c>
    </row>
    <row r="17" spans="1:13" x14ac:dyDescent="0.25">
      <c r="A17" s="5"/>
      <c r="B17" s="58"/>
      <c r="C17" s="65"/>
      <c r="D17" s="15"/>
      <c r="E17" s="15"/>
      <c r="F17" s="24"/>
      <c r="G17" s="703"/>
      <c r="H17" s="17" t="str">
        <f t="shared" si="0"/>
        <v/>
      </c>
      <c r="I17" s="57"/>
      <c r="J17" s="61"/>
      <c r="K17" s="399"/>
      <c r="L17" s="420" t="str">
        <f t="shared" si="2"/>
        <v/>
      </c>
      <c r="M17" s="401" t="str">
        <f t="shared" si="3"/>
        <v/>
      </c>
    </row>
    <row r="18" spans="1:13" ht="13" x14ac:dyDescent="0.25">
      <c r="A18" s="5"/>
      <c r="B18" s="146" t="s">
        <v>371</v>
      </c>
      <c r="C18" s="672" t="s">
        <v>365</v>
      </c>
      <c r="D18" s="15"/>
      <c r="E18" s="15"/>
      <c r="F18" s="15"/>
      <c r="G18" s="424"/>
      <c r="H18" s="17" t="str">
        <f t="shared" si="0"/>
        <v/>
      </c>
      <c r="I18" s="18"/>
      <c r="J18" s="61"/>
      <c r="K18" s="62"/>
      <c r="L18" s="420" t="str">
        <f t="shared" si="2"/>
        <v/>
      </c>
      <c r="M18" s="401" t="str">
        <f t="shared" si="3"/>
        <v/>
      </c>
    </row>
    <row r="19" spans="1:13" x14ac:dyDescent="0.25">
      <c r="A19" s="5"/>
      <c r="B19" s="58"/>
      <c r="C19" s="65"/>
      <c r="D19" s="15"/>
      <c r="E19" s="15"/>
      <c r="F19" s="15"/>
      <c r="G19" s="422"/>
      <c r="H19" s="17" t="str">
        <f t="shared" si="0"/>
        <v/>
      </c>
      <c r="I19" s="18"/>
      <c r="J19" s="61"/>
      <c r="K19" s="62"/>
      <c r="L19" s="420" t="str">
        <f t="shared" si="2"/>
        <v/>
      </c>
      <c r="M19" s="401" t="str">
        <f t="shared" si="3"/>
        <v/>
      </c>
    </row>
    <row r="20" spans="1:13" x14ac:dyDescent="0.25">
      <c r="A20" s="5"/>
      <c r="B20" s="58" t="s">
        <v>372</v>
      </c>
      <c r="C20" s="65" t="s">
        <v>366</v>
      </c>
      <c r="D20" s="15"/>
      <c r="E20" s="15"/>
      <c r="F20" s="15"/>
      <c r="G20" s="422"/>
      <c r="H20" s="17" t="str">
        <f t="shared" si="0"/>
        <v/>
      </c>
      <c r="I20" s="18"/>
      <c r="J20" s="61"/>
      <c r="K20" s="62"/>
      <c r="L20" s="420" t="str">
        <f t="shared" si="2"/>
        <v/>
      </c>
      <c r="M20" s="401" t="str">
        <f t="shared" si="3"/>
        <v/>
      </c>
    </row>
    <row r="21" spans="1:13" x14ac:dyDescent="0.25">
      <c r="A21" s="5"/>
      <c r="B21" s="58"/>
      <c r="C21" s="65"/>
      <c r="D21" s="15"/>
      <c r="E21" s="15"/>
      <c r="F21" s="15"/>
      <c r="G21" s="422"/>
      <c r="H21" s="17" t="str">
        <f t="shared" si="0"/>
        <v/>
      </c>
      <c r="I21" s="18"/>
      <c r="J21" s="61"/>
      <c r="K21" s="62"/>
      <c r="L21" s="420" t="str">
        <f t="shared" si="2"/>
        <v/>
      </c>
      <c r="M21" s="401" t="str">
        <f t="shared" si="3"/>
        <v/>
      </c>
    </row>
    <row r="22" spans="1:13" ht="25" x14ac:dyDescent="0.25">
      <c r="A22" s="5"/>
      <c r="B22" s="58" t="s">
        <v>217</v>
      </c>
      <c r="C22" s="65" t="s">
        <v>1725</v>
      </c>
      <c r="D22" s="15" t="s">
        <v>34</v>
      </c>
      <c r="E22" s="15" t="s">
        <v>996</v>
      </c>
      <c r="F22" s="15">
        <v>70</v>
      </c>
      <c r="G22" s="422">
        <v>250</v>
      </c>
      <c r="H22" s="17">
        <f t="shared" si="0"/>
        <v>17500</v>
      </c>
      <c r="I22" s="18"/>
      <c r="J22" s="61" t="s">
        <v>996</v>
      </c>
      <c r="K22" s="605">
        <f>IF(D22="","",ROUND(12%*G22,1))</f>
        <v>30</v>
      </c>
      <c r="L22" s="420">
        <f t="shared" si="2"/>
        <v>2100</v>
      </c>
      <c r="M22" s="401">
        <f t="shared" si="3"/>
        <v>0.12</v>
      </c>
    </row>
    <row r="23" spans="1:13" x14ac:dyDescent="0.25">
      <c r="A23" s="5"/>
      <c r="B23" s="58"/>
      <c r="C23" s="65"/>
      <c r="D23" s="15"/>
      <c r="E23" s="15"/>
      <c r="F23" s="15"/>
      <c r="G23" s="422"/>
      <c r="H23" s="17" t="str">
        <f t="shared" si="0"/>
        <v/>
      </c>
      <c r="I23" s="18"/>
      <c r="J23" s="61"/>
      <c r="K23" s="399" t="str">
        <f t="shared" ref="K23" si="4">IF(D23="","",ROUND(Labour_perc_structures*H23,1))</f>
        <v/>
      </c>
      <c r="L23" s="420" t="str">
        <f t="shared" si="2"/>
        <v/>
      </c>
      <c r="M23" s="401" t="str">
        <f t="shared" si="3"/>
        <v/>
      </c>
    </row>
    <row r="24" spans="1:13" ht="25" x14ac:dyDescent="0.25">
      <c r="A24" s="5"/>
      <c r="B24" s="58" t="s">
        <v>218</v>
      </c>
      <c r="C24" s="65" t="s">
        <v>1726</v>
      </c>
      <c r="D24" s="15" t="s">
        <v>34</v>
      </c>
      <c r="E24" s="15" t="s">
        <v>996</v>
      </c>
      <c r="F24" s="15">
        <v>35</v>
      </c>
      <c r="G24" s="422">
        <v>220</v>
      </c>
      <c r="H24" s="17">
        <f t="shared" si="0"/>
        <v>7700</v>
      </c>
      <c r="I24" s="18"/>
      <c r="J24" s="61" t="s">
        <v>996</v>
      </c>
      <c r="K24" s="605">
        <f>IF(D24="","",ROUND(12%*G24,1))</f>
        <v>26.4</v>
      </c>
      <c r="L24" s="420">
        <f t="shared" si="2"/>
        <v>924</v>
      </c>
      <c r="M24" s="401">
        <f t="shared" si="3"/>
        <v>0.12</v>
      </c>
    </row>
    <row r="25" spans="1:13" x14ac:dyDescent="0.25">
      <c r="A25" s="5"/>
      <c r="B25" s="58"/>
      <c r="C25" s="65"/>
      <c r="D25" s="15"/>
      <c r="E25" s="15"/>
      <c r="F25" s="15"/>
      <c r="G25" s="422"/>
      <c r="H25" s="17" t="str">
        <f t="shared" si="0"/>
        <v/>
      </c>
      <c r="I25" s="18"/>
      <c r="J25" s="61"/>
      <c r="K25" s="399" t="str">
        <f t="shared" ref="K25" si="5">IF(D25="","",ROUND(Labour_perc_structures*H25,1))</f>
        <v/>
      </c>
      <c r="L25" s="420" t="str">
        <f t="shared" si="2"/>
        <v/>
      </c>
      <c r="M25" s="401" t="str">
        <f t="shared" si="3"/>
        <v/>
      </c>
    </row>
    <row r="26" spans="1:13" x14ac:dyDescent="0.25">
      <c r="A26" s="5"/>
      <c r="B26" s="58" t="s">
        <v>373</v>
      </c>
      <c r="C26" s="65" t="s">
        <v>367</v>
      </c>
      <c r="D26" s="61"/>
      <c r="E26" s="61"/>
      <c r="F26" s="15"/>
      <c r="G26" s="422"/>
      <c r="H26" s="17" t="str">
        <f t="shared" si="0"/>
        <v/>
      </c>
      <c r="I26" s="18"/>
      <c r="J26" s="61"/>
      <c r="K26" s="62"/>
      <c r="L26" s="420" t="str">
        <f t="shared" si="2"/>
        <v/>
      </c>
      <c r="M26" s="401" t="str">
        <f t="shared" si="3"/>
        <v/>
      </c>
    </row>
    <row r="27" spans="1:13" x14ac:dyDescent="0.25">
      <c r="A27" s="5"/>
      <c r="B27" s="58"/>
      <c r="C27" s="65"/>
      <c r="D27" s="15"/>
      <c r="E27" s="15"/>
      <c r="F27" s="61"/>
      <c r="G27" s="422"/>
      <c r="H27" s="17" t="str">
        <f t="shared" si="0"/>
        <v/>
      </c>
      <c r="I27" s="63"/>
      <c r="J27" s="61"/>
      <c r="K27" s="62"/>
      <c r="L27" s="420" t="str">
        <f t="shared" si="2"/>
        <v/>
      </c>
      <c r="M27" s="401" t="str">
        <f t="shared" si="3"/>
        <v/>
      </c>
    </row>
    <row r="28" spans="1:13" x14ac:dyDescent="0.25">
      <c r="A28" s="5"/>
      <c r="B28" s="58" t="s">
        <v>39</v>
      </c>
      <c r="C28" s="65" t="s">
        <v>1727</v>
      </c>
      <c r="D28" s="61" t="s">
        <v>6</v>
      </c>
      <c r="E28" s="61" t="s">
        <v>996</v>
      </c>
      <c r="F28" s="15">
        <v>25</v>
      </c>
      <c r="G28" s="422">
        <v>150</v>
      </c>
      <c r="H28" s="17">
        <f t="shared" si="0"/>
        <v>3750</v>
      </c>
      <c r="I28" s="18"/>
      <c r="J28" s="61" t="s">
        <v>996</v>
      </c>
      <c r="K28" s="605">
        <f>IF(D28="","",ROUND(12%*G28,1))</f>
        <v>18</v>
      </c>
      <c r="L28" s="420">
        <f t="shared" si="2"/>
        <v>450</v>
      </c>
      <c r="M28" s="401">
        <f t="shared" si="3"/>
        <v>0.12</v>
      </c>
    </row>
    <row r="29" spans="1:13" x14ac:dyDescent="0.25">
      <c r="A29" s="5"/>
      <c r="B29" s="58"/>
      <c r="C29" s="803"/>
      <c r="D29" s="15"/>
      <c r="E29" s="15"/>
      <c r="F29" s="24"/>
      <c r="G29" s="423"/>
      <c r="H29" s="17" t="str">
        <f t="shared" si="0"/>
        <v/>
      </c>
      <c r="I29" s="18"/>
      <c r="J29" s="61"/>
      <c r="K29" s="399"/>
      <c r="L29" s="420" t="str">
        <f t="shared" si="2"/>
        <v/>
      </c>
      <c r="M29" s="401" t="str">
        <f t="shared" si="3"/>
        <v/>
      </c>
    </row>
    <row r="30" spans="1:13" ht="13" x14ac:dyDescent="0.25">
      <c r="A30" s="5"/>
      <c r="B30" s="146" t="s">
        <v>1897</v>
      </c>
      <c r="C30" s="672" t="s">
        <v>1728</v>
      </c>
      <c r="D30" s="15"/>
      <c r="E30" s="15"/>
      <c r="F30" s="15"/>
      <c r="G30" s="422"/>
      <c r="H30" s="17" t="str">
        <f t="shared" si="0"/>
        <v/>
      </c>
      <c r="I30" s="18"/>
      <c r="J30" s="61"/>
      <c r="K30" s="62"/>
      <c r="L30" s="420" t="str">
        <f t="shared" si="2"/>
        <v/>
      </c>
      <c r="M30" s="401" t="str">
        <f t="shared" si="3"/>
        <v/>
      </c>
    </row>
    <row r="31" spans="1:13" x14ac:dyDescent="0.25">
      <c r="A31" s="5"/>
      <c r="B31" s="58"/>
      <c r="C31" s="65"/>
      <c r="D31" s="15"/>
      <c r="E31" s="15"/>
      <c r="F31" s="15"/>
      <c r="G31" s="422"/>
      <c r="H31" s="17" t="str">
        <f t="shared" si="0"/>
        <v/>
      </c>
      <c r="I31" s="18"/>
      <c r="J31" s="61"/>
      <c r="K31" s="62"/>
      <c r="L31" s="420" t="str">
        <f t="shared" si="2"/>
        <v/>
      </c>
      <c r="M31" s="401" t="str">
        <f t="shared" si="3"/>
        <v/>
      </c>
    </row>
    <row r="32" spans="1:13" ht="25" x14ac:dyDescent="0.25">
      <c r="A32" s="5"/>
      <c r="B32" s="58" t="s">
        <v>39</v>
      </c>
      <c r="C32" s="65" t="s">
        <v>1729</v>
      </c>
      <c r="D32" s="15" t="s">
        <v>61</v>
      </c>
      <c r="E32" s="15" t="s">
        <v>996</v>
      </c>
      <c r="F32" s="15">
        <v>750</v>
      </c>
      <c r="G32" s="422">
        <v>20</v>
      </c>
      <c r="H32" s="17">
        <f t="shared" si="0"/>
        <v>15000</v>
      </c>
      <c r="I32" s="18"/>
      <c r="J32" s="61" t="s">
        <v>996</v>
      </c>
      <c r="K32" s="400">
        <f>_Geofabric</f>
        <v>6</v>
      </c>
      <c r="L32" s="420">
        <f t="shared" si="2"/>
        <v>4500</v>
      </c>
      <c r="M32" s="401">
        <f t="shared" si="3"/>
        <v>0.3</v>
      </c>
    </row>
    <row r="33" spans="1:13" x14ac:dyDescent="0.25">
      <c r="A33" s="5"/>
      <c r="B33" s="58"/>
      <c r="C33" s="65"/>
      <c r="D33" s="15"/>
      <c r="E33" s="15"/>
      <c r="F33" s="15"/>
      <c r="G33" s="422"/>
      <c r="H33" s="17" t="str">
        <f t="shared" si="0"/>
        <v/>
      </c>
      <c r="I33" s="18"/>
      <c r="J33" s="61"/>
      <c r="K33" s="62"/>
      <c r="L33" s="420" t="str">
        <f t="shared" si="2"/>
        <v/>
      </c>
      <c r="M33" s="401" t="str">
        <f t="shared" si="3"/>
        <v/>
      </c>
    </row>
    <row r="34" spans="1:13" ht="37.5" x14ac:dyDescent="0.25">
      <c r="A34" s="5"/>
      <c r="B34" s="58" t="s">
        <v>41</v>
      </c>
      <c r="C34" s="65" t="s">
        <v>1730</v>
      </c>
      <c r="D34" s="15" t="s">
        <v>6</v>
      </c>
      <c r="E34" s="15" t="s">
        <v>996</v>
      </c>
      <c r="F34" s="15">
        <v>80</v>
      </c>
      <c r="G34" s="422">
        <v>62</v>
      </c>
      <c r="H34" s="17">
        <f t="shared" si="0"/>
        <v>4960</v>
      </c>
      <c r="I34" s="18"/>
      <c r="J34" s="61" t="s">
        <v>996</v>
      </c>
      <c r="K34" s="605">
        <f>IF(D34="","",ROUND(12%*G34,1))</f>
        <v>7.4</v>
      </c>
      <c r="L34" s="420">
        <f t="shared" si="2"/>
        <v>592</v>
      </c>
      <c r="M34" s="401">
        <f t="shared" si="3"/>
        <v>0.11935483870967742</v>
      </c>
    </row>
    <row r="35" spans="1:13" x14ac:dyDescent="0.25">
      <c r="A35" s="5"/>
      <c r="B35" s="58"/>
      <c r="C35" s="65"/>
      <c r="D35" s="15"/>
      <c r="E35" s="15"/>
      <c r="F35" s="24"/>
      <c r="G35" s="421"/>
      <c r="H35" s="17" t="str">
        <f t="shared" si="0"/>
        <v/>
      </c>
      <c r="I35" s="63"/>
      <c r="J35" s="61"/>
      <c r="K35" s="399"/>
      <c r="L35" s="420" t="str">
        <f t="shared" si="2"/>
        <v/>
      </c>
      <c r="M35" s="401" t="str">
        <f t="shared" si="3"/>
        <v/>
      </c>
    </row>
    <row r="36" spans="1:13" ht="13" x14ac:dyDescent="0.25">
      <c r="A36" s="5"/>
      <c r="B36" s="146" t="s">
        <v>1898</v>
      </c>
      <c r="C36" s="672" t="s">
        <v>368</v>
      </c>
      <c r="D36" s="15"/>
      <c r="E36" s="15"/>
      <c r="F36" s="15"/>
      <c r="G36" s="64"/>
      <c r="H36" s="17" t="str">
        <f t="shared" si="0"/>
        <v/>
      </c>
      <c r="I36" s="18"/>
      <c r="J36" s="61"/>
      <c r="K36" s="399"/>
      <c r="L36" s="420" t="str">
        <f t="shared" si="2"/>
        <v/>
      </c>
      <c r="M36" s="401" t="str">
        <f t="shared" si="3"/>
        <v/>
      </c>
    </row>
    <row r="37" spans="1:13" x14ac:dyDescent="0.25">
      <c r="A37" s="5"/>
      <c r="B37" s="58"/>
      <c r="C37" s="65"/>
      <c r="D37" s="15"/>
      <c r="E37" s="15"/>
      <c r="F37" s="15"/>
      <c r="G37" s="64"/>
      <c r="H37" s="17" t="str">
        <f t="shared" si="0"/>
        <v/>
      </c>
      <c r="I37" s="18"/>
      <c r="J37" s="61"/>
      <c r="K37" s="399"/>
      <c r="L37" s="420" t="str">
        <f t="shared" si="2"/>
        <v/>
      </c>
      <c r="M37" s="401" t="str">
        <f t="shared" si="3"/>
        <v/>
      </c>
    </row>
    <row r="38" spans="1:13" s="36" customFormat="1" ht="50" x14ac:dyDescent="0.25">
      <c r="A38" s="63"/>
      <c r="B38" s="58" t="s">
        <v>375</v>
      </c>
      <c r="C38" s="65" t="s">
        <v>1732</v>
      </c>
      <c r="D38" s="15" t="s">
        <v>6</v>
      </c>
      <c r="E38" s="15" t="s">
        <v>996</v>
      </c>
      <c r="F38" s="15">
        <v>40</v>
      </c>
      <c r="G38" s="64">
        <v>150</v>
      </c>
      <c r="H38" s="17">
        <f t="shared" si="0"/>
        <v>6000</v>
      </c>
      <c r="I38" s="18"/>
      <c r="J38" s="61" t="s">
        <v>996</v>
      </c>
      <c r="K38" s="605">
        <f>IF(D38="","",ROUND(12%*G38,1))</f>
        <v>18</v>
      </c>
      <c r="L38" s="420">
        <f t="shared" si="2"/>
        <v>720</v>
      </c>
      <c r="M38" s="401">
        <f t="shared" si="3"/>
        <v>0.12</v>
      </c>
    </row>
    <row r="39" spans="1:13" x14ac:dyDescent="0.25">
      <c r="A39" s="5"/>
      <c r="B39" s="58"/>
      <c r="C39" s="65"/>
      <c r="D39" s="15"/>
      <c r="E39" s="15"/>
      <c r="F39" s="24"/>
      <c r="G39" s="422"/>
      <c r="H39" s="17" t="str">
        <f t="shared" si="0"/>
        <v/>
      </c>
      <c r="I39" s="57"/>
      <c r="J39" s="61"/>
      <c r="K39" s="399"/>
      <c r="L39" s="420" t="str">
        <f t="shared" ref="L39:L43" si="6">IF(J39="","",F39*K39)</f>
        <v/>
      </c>
      <c r="M39" s="401" t="str">
        <f t="shared" ref="M39:M43" si="7">IF(J39="","",IF(SUM(H39)=0,"",L39/H39))</f>
        <v/>
      </c>
    </row>
    <row r="40" spans="1:13" ht="26" x14ac:dyDescent="0.25">
      <c r="A40" s="5"/>
      <c r="B40" s="73" t="s">
        <v>2043</v>
      </c>
      <c r="C40" s="865" t="s">
        <v>612</v>
      </c>
      <c r="D40" s="15"/>
      <c r="E40" s="15"/>
      <c r="F40" s="15"/>
      <c r="G40" s="64"/>
      <c r="H40" s="17" t="str">
        <f t="shared" si="0"/>
        <v/>
      </c>
      <c r="I40" s="18"/>
      <c r="J40" s="61"/>
      <c r="K40" s="605"/>
      <c r="L40" s="420" t="str">
        <f t="shared" si="6"/>
        <v/>
      </c>
      <c r="M40" s="401" t="str">
        <f t="shared" si="7"/>
        <v/>
      </c>
    </row>
    <row r="41" spans="1:13" x14ac:dyDescent="0.25">
      <c r="A41" s="5"/>
      <c r="B41" s="58"/>
      <c r="C41" s="65"/>
      <c r="D41" s="15"/>
      <c r="E41" s="15"/>
      <c r="F41" s="15"/>
      <c r="G41" s="64"/>
      <c r="H41" s="17" t="str">
        <f t="shared" si="0"/>
        <v/>
      </c>
      <c r="I41" s="18"/>
      <c r="J41" s="61"/>
      <c r="K41" s="402"/>
      <c r="L41" s="420" t="str">
        <f t="shared" si="6"/>
        <v/>
      </c>
      <c r="M41" s="401" t="str">
        <f t="shared" si="7"/>
        <v/>
      </c>
    </row>
    <row r="42" spans="1:13" x14ac:dyDescent="0.25">
      <c r="A42" s="5"/>
      <c r="B42" s="46" t="s">
        <v>611</v>
      </c>
      <c r="C42" s="14" t="s">
        <v>610</v>
      </c>
      <c r="D42" s="21"/>
      <c r="E42" s="21"/>
      <c r="F42" s="15"/>
      <c r="G42" s="64"/>
      <c r="H42" s="17" t="str">
        <f t="shared" si="0"/>
        <v/>
      </c>
      <c r="I42" s="18"/>
      <c r="J42" s="61"/>
      <c r="K42" s="402"/>
      <c r="L42" s="420" t="str">
        <f t="shared" si="6"/>
        <v/>
      </c>
      <c r="M42" s="401" t="str">
        <f t="shared" si="7"/>
        <v/>
      </c>
    </row>
    <row r="43" spans="1:13" x14ac:dyDescent="0.25">
      <c r="A43" s="5"/>
      <c r="B43" s="46"/>
      <c r="C43" s="14"/>
      <c r="D43" s="15"/>
      <c r="E43" s="15"/>
      <c r="F43" s="15"/>
      <c r="G43" s="64"/>
      <c r="H43" s="17" t="str">
        <f t="shared" si="0"/>
        <v/>
      </c>
      <c r="I43" s="18"/>
      <c r="J43" s="61"/>
      <c r="K43" s="402"/>
      <c r="L43" s="420" t="str">
        <f t="shared" si="6"/>
        <v/>
      </c>
      <c r="M43" s="401" t="str">
        <f t="shared" si="7"/>
        <v/>
      </c>
    </row>
    <row r="44" spans="1:13" ht="13" x14ac:dyDescent="0.25">
      <c r="A44" s="5"/>
      <c r="B44" s="46" t="s">
        <v>39</v>
      </c>
      <c r="C44" s="14" t="s">
        <v>2042</v>
      </c>
      <c r="D44" s="21" t="s">
        <v>512</v>
      </c>
      <c r="E44" s="21" t="s">
        <v>996</v>
      </c>
      <c r="F44" s="15">
        <v>25</v>
      </c>
      <c r="G44" s="64">
        <v>450</v>
      </c>
      <c r="H44" s="17">
        <f t="shared" ref="H44:H45" si="8">IF(D44="","",F44*G44)</f>
        <v>11250</v>
      </c>
      <c r="I44" s="18"/>
      <c r="J44" s="61" t="s">
        <v>996</v>
      </c>
      <c r="K44" s="605">
        <f>IF(D44="","",ROUND(12%*G44,1))</f>
        <v>54</v>
      </c>
      <c r="L44" s="420">
        <f t="shared" ref="L44" si="9">IF(J44="","",F44*K44)</f>
        <v>1350</v>
      </c>
      <c r="M44" s="401">
        <f t="shared" ref="M44:M45" si="10">IF(J44="","",IF(SUM(H44)=0,"",L44/H44))</f>
        <v>0.12</v>
      </c>
    </row>
    <row r="45" spans="1:13" x14ac:dyDescent="0.25">
      <c r="A45" s="5"/>
      <c r="B45" s="46"/>
      <c r="C45" s="14"/>
      <c r="D45" s="21"/>
      <c r="E45" s="21"/>
      <c r="F45" s="15"/>
      <c r="G45" s="64"/>
      <c r="H45" s="17" t="str">
        <f t="shared" si="8"/>
        <v/>
      </c>
      <c r="I45" s="18"/>
      <c r="J45" s="61"/>
      <c r="K45" s="402"/>
      <c r="L45" s="420"/>
      <c r="M45" s="401" t="str">
        <f t="shared" si="10"/>
        <v/>
      </c>
    </row>
    <row r="46" spans="1:13" ht="62.5" x14ac:dyDescent="0.25">
      <c r="A46" s="5"/>
      <c r="B46" s="58" t="s">
        <v>1899</v>
      </c>
      <c r="C46" s="134" t="s">
        <v>2051</v>
      </c>
      <c r="D46" s="15" t="s">
        <v>6</v>
      </c>
      <c r="E46" s="15" t="s">
        <v>996</v>
      </c>
      <c r="F46" s="15">
        <v>50</v>
      </c>
      <c r="G46" s="64">
        <v>1200</v>
      </c>
      <c r="H46" s="17">
        <f t="shared" si="0"/>
        <v>60000</v>
      </c>
      <c r="I46" s="18"/>
      <c r="J46" s="61" t="s">
        <v>996</v>
      </c>
      <c r="K46" s="605">
        <f>IF(D46="","",ROUND(12%*G46,1))</f>
        <v>144</v>
      </c>
      <c r="L46" s="420">
        <f t="shared" si="2"/>
        <v>7200</v>
      </c>
      <c r="M46" s="401">
        <f t="shared" si="3"/>
        <v>0.12</v>
      </c>
    </row>
    <row r="47" spans="1:13" x14ac:dyDescent="0.25">
      <c r="A47" s="5"/>
      <c r="B47" s="58"/>
      <c r="C47" s="65"/>
      <c r="D47" s="15"/>
      <c r="E47" s="15"/>
      <c r="F47" s="24"/>
      <c r="G47" s="423"/>
      <c r="H47" s="17" t="str">
        <f t="shared" si="0"/>
        <v/>
      </c>
      <c r="I47" s="18"/>
      <c r="J47" s="61"/>
      <c r="K47" s="399"/>
      <c r="L47" s="420" t="str">
        <f t="shared" si="2"/>
        <v/>
      </c>
      <c r="M47" s="401" t="str">
        <f t="shared" si="3"/>
        <v/>
      </c>
    </row>
    <row r="48" spans="1:13" x14ac:dyDescent="0.25">
      <c r="A48" s="5"/>
      <c r="B48" s="58"/>
      <c r="C48" s="65"/>
      <c r="D48" s="15"/>
      <c r="E48" s="15"/>
      <c r="F48" s="24"/>
      <c r="G48" s="423"/>
      <c r="H48" s="17" t="str">
        <f t="shared" si="0"/>
        <v/>
      </c>
      <c r="I48" s="18"/>
      <c r="J48" s="61"/>
      <c r="K48" s="399"/>
      <c r="L48" s="420" t="str">
        <f t="shared" si="2"/>
        <v/>
      </c>
      <c r="M48" s="401" t="str">
        <f t="shared" si="3"/>
        <v/>
      </c>
    </row>
    <row r="49" spans="1:13" x14ac:dyDescent="0.25">
      <c r="A49" s="5"/>
      <c r="B49" s="58"/>
      <c r="C49" s="805"/>
      <c r="D49" s="15"/>
      <c r="E49" s="15"/>
      <c r="F49" s="15"/>
      <c r="G49" s="411"/>
      <c r="H49" s="17" t="str">
        <f t="shared" si="0"/>
        <v/>
      </c>
      <c r="I49" s="18"/>
      <c r="J49" s="61"/>
      <c r="K49" s="399"/>
      <c r="L49" s="420" t="str">
        <f t="shared" si="2"/>
        <v/>
      </c>
      <c r="M49" s="401" t="str">
        <f t="shared" si="3"/>
        <v/>
      </c>
    </row>
    <row r="50" spans="1:13" x14ac:dyDescent="0.25">
      <c r="A50" s="5"/>
      <c r="B50" s="58"/>
      <c r="C50" s="806"/>
      <c r="D50" s="15"/>
      <c r="E50" s="15"/>
      <c r="F50" s="15"/>
      <c r="G50" s="411"/>
      <c r="H50" s="17" t="str">
        <f t="shared" si="0"/>
        <v/>
      </c>
      <c r="I50" s="18"/>
      <c r="J50" s="61"/>
      <c r="K50" s="402"/>
      <c r="L50" s="420" t="str">
        <f t="shared" si="2"/>
        <v/>
      </c>
      <c r="M50" s="401" t="str">
        <f t="shared" si="3"/>
        <v/>
      </c>
    </row>
    <row r="51" spans="1:13" x14ac:dyDescent="0.25">
      <c r="A51" s="5"/>
      <c r="B51" s="46"/>
      <c r="C51" s="134"/>
      <c r="D51" s="15"/>
      <c r="E51" s="15"/>
      <c r="F51" s="15"/>
      <c r="G51" s="422"/>
      <c r="H51" s="17" t="str">
        <f t="shared" si="0"/>
        <v/>
      </c>
      <c r="I51" s="18"/>
      <c r="J51" s="61"/>
      <c r="K51" s="399"/>
      <c r="L51" s="420" t="str">
        <f t="shared" si="2"/>
        <v/>
      </c>
      <c r="M51" s="401" t="str">
        <f t="shared" si="3"/>
        <v/>
      </c>
    </row>
    <row r="52" spans="1:13" x14ac:dyDescent="0.25">
      <c r="A52" s="5"/>
      <c r="B52" s="46"/>
      <c r="C52" s="14"/>
      <c r="D52" s="15"/>
      <c r="E52" s="15"/>
      <c r="F52" s="15"/>
      <c r="G52" s="422"/>
      <c r="H52" s="17" t="str">
        <f t="shared" si="0"/>
        <v/>
      </c>
      <c r="I52" s="18"/>
      <c r="J52" s="61"/>
      <c r="K52" s="402"/>
      <c r="L52" s="420" t="str">
        <f t="shared" si="2"/>
        <v/>
      </c>
      <c r="M52" s="401" t="str">
        <f t="shared" si="3"/>
        <v/>
      </c>
    </row>
    <row r="53" spans="1:13" x14ac:dyDescent="0.25">
      <c r="A53" s="5"/>
      <c r="B53" s="46"/>
      <c r="C53" s="14"/>
      <c r="D53" s="21"/>
      <c r="E53" s="21"/>
      <c r="F53" s="15"/>
      <c r="G53" s="422"/>
      <c r="H53" s="17" t="str">
        <f t="shared" si="0"/>
        <v/>
      </c>
      <c r="I53" s="18"/>
      <c r="J53" s="61"/>
      <c r="K53" s="402"/>
      <c r="L53" s="420" t="str">
        <f t="shared" si="2"/>
        <v/>
      </c>
      <c r="M53" s="401" t="str">
        <f t="shared" si="3"/>
        <v/>
      </c>
    </row>
    <row r="54" spans="1:13" x14ac:dyDescent="0.25">
      <c r="A54" s="5"/>
      <c r="B54" s="46"/>
      <c r="C54" s="14"/>
      <c r="D54" s="15"/>
      <c r="E54" s="15"/>
      <c r="F54" s="15"/>
      <c r="G54" s="422"/>
      <c r="H54" s="17" t="str">
        <f t="shared" si="0"/>
        <v/>
      </c>
      <c r="I54" s="18"/>
      <c r="J54" s="61"/>
      <c r="K54" s="399"/>
      <c r="L54" s="420" t="str">
        <f t="shared" si="2"/>
        <v/>
      </c>
      <c r="M54" s="401" t="str">
        <f t="shared" si="3"/>
        <v/>
      </c>
    </row>
    <row r="55" spans="1:13" x14ac:dyDescent="0.25">
      <c r="A55" s="5"/>
      <c r="B55" s="46"/>
      <c r="C55" s="14"/>
      <c r="D55" s="15"/>
      <c r="E55" s="15"/>
      <c r="F55" s="15"/>
      <c r="G55" s="422"/>
      <c r="H55" s="17" t="str">
        <f t="shared" si="0"/>
        <v/>
      </c>
      <c r="I55" s="18"/>
      <c r="J55" s="61"/>
      <c r="K55" s="399"/>
      <c r="L55" s="420" t="str">
        <f t="shared" si="2"/>
        <v/>
      </c>
      <c r="M55" s="401" t="str">
        <f t="shared" si="3"/>
        <v/>
      </c>
    </row>
    <row r="56" spans="1:13" x14ac:dyDescent="0.25">
      <c r="A56" s="5"/>
      <c r="B56" s="46"/>
      <c r="C56" s="14"/>
      <c r="D56" s="15"/>
      <c r="E56" s="15"/>
      <c r="F56" s="15"/>
      <c r="G56" s="422"/>
      <c r="H56" s="17" t="str">
        <f t="shared" si="0"/>
        <v/>
      </c>
      <c r="I56" s="18"/>
      <c r="J56" s="61"/>
      <c r="K56" s="399"/>
      <c r="L56" s="420" t="str">
        <f t="shared" si="2"/>
        <v/>
      </c>
      <c r="M56" s="401" t="str">
        <f t="shared" si="3"/>
        <v/>
      </c>
    </row>
    <row r="57" spans="1:13" x14ac:dyDescent="0.25">
      <c r="A57" s="5"/>
      <c r="B57" s="46"/>
      <c r="C57" s="134"/>
      <c r="D57" s="21"/>
      <c r="E57" s="21"/>
      <c r="F57" s="15"/>
      <c r="G57" s="422"/>
      <c r="H57" s="17" t="str">
        <f t="shared" si="0"/>
        <v/>
      </c>
      <c r="I57" s="18"/>
      <c r="J57" s="61"/>
      <c r="K57" s="399"/>
      <c r="L57" s="420" t="str">
        <f t="shared" si="2"/>
        <v/>
      </c>
      <c r="M57" s="401" t="str">
        <f t="shared" si="3"/>
        <v/>
      </c>
    </row>
    <row r="58" spans="1:13" x14ac:dyDescent="0.25">
      <c r="A58" s="5"/>
      <c r="B58" s="46"/>
      <c r="C58" s="14"/>
      <c r="D58" s="15"/>
      <c r="E58" s="15"/>
      <c r="F58" s="15"/>
      <c r="G58" s="422"/>
      <c r="H58" s="17" t="str">
        <f t="shared" si="0"/>
        <v/>
      </c>
      <c r="I58" s="18"/>
      <c r="J58" s="61"/>
      <c r="K58" s="62"/>
      <c r="L58" s="420" t="str">
        <f t="shared" si="2"/>
        <v/>
      </c>
      <c r="M58" s="401" t="str">
        <f t="shared" si="3"/>
        <v/>
      </c>
    </row>
    <row r="59" spans="1:13" x14ac:dyDescent="0.25">
      <c r="A59" s="5"/>
      <c r="B59" s="58"/>
      <c r="C59" s="65"/>
      <c r="D59" s="15"/>
      <c r="E59" s="15"/>
      <c r="F59" s="15"/>
      <c r="G59" s="422"/>
      <c r="H59" s="17" t="str">
        <f t="shared" si="0"/>
        <v/>
      </c>
      <c r="I59" s="18"/>
      <c r="J59" s="61"/>
      <c r="K59" s="62"/>
      <c r="L59" s="420" t="str">
        <f t="shared" si="2"/>
        <v/>
      </c>
      <c r="M59" s="401" t="str">
        <f t="shared" si="3"/>
        <v/>
      </c>
    </row>
    <row r="60" spans="1:13" x14ac:dyDescent="0.25">
      <c r="A60" s="5"/>
      <c r="B60" s="58"/>
      <c r="C60" s="65"/>
      <c r="D60" s="15"/>
      <c r="E60" s="15"/>
      <c r="F60" s="15"/>
      <c r="G60" s="422"/>
      <c r="H60" s="17" t="str">
        <f t="shared" si="0"/>
        <v/>
      </c>
      <c r="I60" s="18"/>
      <c r="J60" s="61"/>
      <c r="K60" s="62"/>
      <c r="L60" s="420" t="str">
        <f t="shared" si="2"/>
        <v/>
      </c>
      <c r="M60" s="401" t="str">
        <f t="shared" si="3"/>
        <v/>
      </c>
    </row>
    <row r="61" spans="1:13" x14ac:dyDescent="0.25">
      <c r="A61" s="5"/>
      <c r="B61" s="58"/>
      <c r="C61" s="65"/>
      <c r="D61" s="15"/>
      <c r="E61" s="15"/>
      <c r="F61" s="15"/>
      <c r="G61" s="422"/>
      <c r="H61" s="17" t="str">
        <f t="shared" si="0"/>
        <v/>
      </c>
      <c r="I61" s="18"/>
      <c r="J61" s="61"/>
      <c r="K61" s="696"/>
      <c r="L61" s="420" t="str">
        <f t="shared" si="2"/>
        <v/>
      </c>
      <c r="M61" s="401" t="str">
        <f t="shared" si="3"/>
        <v/>
      </c>
    </row>
    <row r="62" spans="1:13" s="28" customFormat="1" ht="19.5" customHeight="1" x14ac:dyDescent="0.25">
      <c r="B62" s="135" t="str">
        <f>$B$12</f>
        <v>C13.8</v>
      </c>
      <c r="C62" s="30" t="s">
        <v>12</v>
      </c>
      <c r="D62" s="31"/>
      <c r="E62" s="31"/>
      <c r="F62" s="32"/>
      <c r="G62" s="31"/>
      <c r="H62" s="33">
        <f>SUM(H11:H61)</f>
        <v>144160</v>
      </c>
      <c r="I62" s="34"/>
      <c r="J62" s="408"/>
      <c r="K62" s="406"/>
      <c r="L62" s="418">
        <f>SUM(L11:L61)</f>
        <v>19996</v>
      </c>
      <c r="M62" s="407" t="str">
        <f t="shared" ref="M62" si="11">IF(J62="","",IF(SUM(H62)=0,"",L62/H62))</f>
        <v/>
      </c>
    </row>
    <row r="63" spans="1:13" ht="13" x14ac:dyDescent="0.25">
      <c r="B63" s="1108" t="str">
        <f>Client1</f>
        <v>Province of KwaZulu-Natal</v>
      </c>
      <c r="C63" s="1108"/>
      <c r="D63" s="1108"/>
      <c r="E63" s="87"/>
      <c r="F63" s="1109" t="str">
        <f>"Contract No. "&amp;ContractNo</f>
        <v>Contract No. ZNB 00399/00000/HOD/INF/21/T</v>
      </c>
      <c r="G63" s="1109"/>
      <c r="H63" s="1109"/>
    </row>
    <row r="64" spans="1:13" ht="13" x14ac:dyDescent="0.25">
      <c r="B64" s="1108" t="str">
        <f>Client2</f>
        <v>Department of Transport</v>
      </c>
      <c r="C64" s="1108"/>
      <c r="D64" s="1108"/>
      <c r="E64" s="87"/>
      <c r="F64" s="1109"/>
      <c r="G64" s="1109"/>
      <c r="H64" s="1109"/>
    </row>
    <row r="65" spans="1:13" x14ac:dyDescent="0.25">
      <c r="B65" s="1111"/>
      <c r="C65" s="1111"/>
      <c r="D65" s="1111"/>
      <c r="E65" s="78"/>
      <c r="F65" s="1110"/>
      <c r="G65" s="1110"/>
      <c r="H65" s="1110"/>
    </row>
    <row r="66" spans="1:13" ht="13" x14ac:dyDescent="0.25">
      <c r="B66" s="1112" t="s">
        <v>1773</v>
      </c>
      <c r="C66" s="1113"/>
      <c r="D66" s="1113"/>
      <c r="E66" s="1113"/>
      <c r="F66" s="1113"/>
      <c r="G66" s="1113"/>
      <c r="H66" s="1125" t="str">
        <f>$H$6</f>
        <v>CHAPTER C13.8</v>
      </c>
      <c r="I66" s="6"/>
    </row>
    <row r="67" spans="1:13" ht="39" customHeight="1" x14ac:dyDescent="0.25">
      <c r="B67" s="1117" t="str">
        <f>ContractDescription</f>
        <v>THE CONSTRUCTION OF EARTHWORKS, LAYERWORKS, SURFACING, CULVERTS AND CWAKA RIVER BRIDGE FROM KM 11.600 TO KM 14.000 ON MAIN ROAD P494 IN THE KING CETSHWAYO DISTRICT UNDER EMPANGENI REGION</v>
      </c>
      <c r="C67" s="1148"/>
      <c r="D67" s="1148"/>
      <c r="E67" s="1148"/>
      <c r="F67" s="1148"/>
      <c r="G67" s="1148"/>
      <c r="H67" s="1126"/>
      <c r="I67" s="8"/>
    </row>
    <row r="68" spans="1:13" ht="27.75" customHeight="1" x14ac:dyDescent="0.25">
      <c r="B68" s="1149" t="s">
        <v>1775</v>
      </c>
      <c r="C68" s="1150"/>
      <c r="D68" s="1150"/>
      <c r="E68" s="1150"/>
      <c r="F68" s="1150"/>
      <c r="G68" s="1150"/>
      <c r="H68" s="1126"/>
      <c r="I68" s="8"/>
    </row>
    <row r="69" spans="1:13" ht="13" x14ac:dyDescent="0.25">
      <c r="B69" s="611"/>
      <c r="C69" s="612"/>
      <c r="D69" s="612"/>
      <c r="E69" s="612"/>
      <c r="F69" s="612"/>
      <c r="G69" s="612"/>
      <c r="H69" s="1127"/>
      <c r="I69" s="8"/>
    </row>
    <row r="70" spans="1:13" s="9" customFormat="1" ht="25" customHeight="1" x14ac:dyDescent="0.25">
      <c r="B70" s="74" t="s">
        <v>0</v>
      </c>
      <c r="C70" s="11" t="s">
        <v>1</v>
      </c>
      <c r="D70" s="11" t="s">
        <v>2</v>
      </c>
      <c r="E70" s="11"/>
      <c r="F70" s="11" t="s">
        <v>3</v>
      </c>
      <c r="G70" s="11" t="s">
        <v>4</v>
      </c>
      <c r="H70" s="11" t="s">
        <v>5</v>
      </c>
      <c r="I70" s="12"/>
      <c r="J70" s="408" t="s">
        <v>996</v>
      </c>
      <c r="K70" s="253" t="s">
        <v>997</v>
      </c>
      <c r="L70" s="253" t="s">
        <v>998</v>
      </c>
      <c r="M70" s="253" t="s">
        <v>999</v>
      </c>
    </row>
    <row r="71" spans="1:13" s="28" customFormat="1" ht="19.5" customHeight="1" x14ac:dyDescent="0.25">
      <c r="B71" s="80"/>
      <c r="C71" s="30" t="s">
        <v>27</v>
      </c>
      <c r="D71" s="31"/>
      <c r="E71" s="31"/>
      <c r="F71" s="32"/>
      <c r="G71" s="31"/>
      <c r="H71" s="33">
        <f>H62</f>
        <v>144160</v>
      </c>
      <c r="I71" s="34"/>
      <c r="J71" s="416"/>
      <c r="K71" s="409"/>
      <c r="L71" s="419">
        <f>L62</f>
        <v>19996</v>
      </c>
      <c r="M71" s="410"/>
    </row>
    <row r="72" spans="1:13" x14ac:dyDescent="0.25">
      <c r="A72" s="5"/>
      <c r="B72" s="46"/>
      <c r="C72" s="14"/>
      <c r="D72" s="15"/>
      <c r="E72" s="15"/>
      <c r="F72" s="15"/>
      <c r="G72" s="64"/>
      <c r="H72" s="17" t="str">
        <f t="shared" ref="H72" si="12">IF(D72="","",F72*G72)</f>
        <v/>
      </c>
      <c r="I72" s="18"/>
      <c r="J72" s="61"/>
      <c r="K72" s="399"/>
      <c r="L72" s="420" t="str">
        <f t="shared" ref="L72" si="13">IF(J72="","",F72*K72)</f>
        <v/>
      </c>
      <c r="M72" s="401" t="str">
        <f t="shared" ref="M72" si="14">IF(J72="","",IF(SUM(H72)=0,"",L72/H72))</f>
        <v/>
      </c>
    </row>
    <row r="73" spans="1:13" x14ac:dyDescent="0.25">
      <c r="A73" s="5"/>
      <c r="B73" s="46"/>
      <c r="C73" s="14"/>
      <c r="D73" s="15"/>
      <c r="E73" s="15"/>
      <c r="F73" s="15"/>
      <c r="G73" s="64"/>
      <c r="H73" s="17" t="str">
        <f t="shared" ref="H73" si="15">IF(D73="","",F73*G73)</f>
        <v/>
      </c>
      <c r="I73" s="18"/>
      <c r="J73" s="61"/>
      <c r="K73" s="399"/>
      <c r="L73" s="420" t="str">
        <f t="shared" ref="L73" si="16">IF(J73="","",F73*K73)</f>
        <v/>
      </c>
      <c r="M73" s="401" t="str">
        <f t="shared" ref="M73:M137" si="17">IF(J73="","",IF(SUM(H73)=0,"",L73/H73))</f>
        <v/>
      </c>
    </row>
    <row r="74" spans="1:13" x14ac:dyDescent="0.25">
      <c r="A74" s="5"/>
      <c r="B74" s="46"/>
      <c r="C74" s="14"/>
      <c r="D74" s="15"/>
      <c r="E74" s="15"/>
      <c r="F74" s="15"/>
      <c r="G74" s="64"/>
      <c r="H74" s="17" t="str">
        <f t="shared" ref="H74:H136" si="18">IF(D74="","",F74*G74)</f>
        <v/>
      </c>
      <c r="I74" s="18"/>
      <c r="J74" s="61"/>
      <c r="K74" s="399"/>
      <c r="L74" s="420" t="str">
        <f t="shared" ref="L74:L136" si="19">IF(J74="","",F74*K74)</f>
        <v/>
      </c>
      <c r="M74" s="401" t="str">
        <f t="shared" ref="M74:M136" si="20">IF(J74="","",IF(SUM(H74)=0,"",L74/H74))</f>
        <v/>
      </c>
    </row>
    <row r="75" spans="1:13" x14ac:dyDescent="0.25">
      <c r="A75" s="5"/>
      <c r="B75" s="46"/>
      <c r="C75" s="238"/>
      <c r="D75" s="15"/>
      <c r="E75" s="15"/>
      <c r="F75" s="15"/>
      <c r="G75" s="64"/>
      <c r="H75" s="17" t="str">
        <f t="shared" si="18"/>
        <v/>
      </c>
      <c r="I75" s="18"/>
      <c r="J75" s="61"/>
      <c r="K75" s="399"/>
      <c r="L75" s="420" t="str">
        <f t="shared" si="19"/>
        <v/>
      </c>
      <c r="M75" s="401" t="str">
        <f t="shared" si="20"/>
        <v/>
      </c>
    </row>
    <row r="76" spans="1:13" x14ac:dyDescent="0.25">
      <c r="A76" s="5"/>
      <c r="B76" s="46"/>
      <c r="C76" s="14"/>
      <c r="D76" s="15"/>
      <c r="E76" s="15"/>
      <c r="F76" s="15"/>
      <c r="G76" s="64"/>
      <c r="H76" s="17" t="str">
        <f t="shared" si="18"/>
        <v/>
      </c>
      <c r="I76" s="18"/>
      <c r="J76" s="61"/>
      <c r="K76" s="400"/>
      <c r="L76" s="420" t="str">
        <f t="shared" si="19"/>
        <v/>
      </c>
      <c r="M76" s="401" t="str">
        <f t="shared" si="20"/>
        <v/>
      </c>
    </row>
    <row r="77" spans="1:13" x14ac:dyDescent="0.25">
      <c r="A77" s="5"/>
      <c r="B77" s="46"/>
      <c r="C77" s="14"/>
      <c r="D77" s="15"/>
      <c r="E77" s="15"/>
      <c r="F77" s="15"/>
      <c r="G77" s="64"/>
      <c r="H77" s="17" t="str">
        <f t="shared" si="18"/>
        <v/>
      </c>
      <c r="I77" s="18"/>
      <c r="J77" s="61"/>
      <c r="K77" s="399"/>
      <c r="L77" s="420" t="str">
        <f t="shared" si="19"/>
        <v/>
      </c>
      <c r="M77" s="401" t="str">
        <f t="shared" si="20"/>
        <v/>
      </c>
    </row>
    <row r="78" spans="1:13" x14ac:dyDescent="0.25">
      <c r="A78" s="5"/>
      <c r="B78" s="46"/>
      <c r="C78" s="14"/>
      <c r="D78" s="15"/>
      <c r="E78" s="15"/>
      <c r="F78" s="15"/>
      <c r="G78" s="64"/>
      <c r="H78" s="17" t="str">
        <f t="shared" si="18"/>
        <v/>
      </c>
      <c r="I78" s="18"/>
      <c r="J78" s="61"/>
      <c r="K78" s="400"/>
      <c r="L78" s="420" t="str">
        <f t="shared" si="19"/>
        <v/>
      </c>
      <c r="M78" s="401" t="str">
        <f t="shared" si="20"/>
        <v/>
      </c>
    </row>
    <row r="79" spans="1:13" x14ac:dyDescent="0.25">
      <c r="A79" s="5"/>
      <c r="B79" s="46"/>
      <c r="C79" s="14"/>
      <c r="D79" s="15"/>
      <c r="E79" s="15"/>
      <c r="F79" s="15"/>
      <c r="G79" s="64"/>
      <c r="H79" s="17" t="str">
        <f t="shared" si="18"/>
        <v/>
      </c>
      <c r="I79" s="18"/>
      <c r="J79" s="61"/>
      <c r="K79" s="399"/>
      <c r="L79" s="420" t="str">
        <f t="shared" si="19"/>
        <v/>
      </c>
      <c r="M79" s="401" t="str">
        <f t="shared" si="20"/>
        <v/>
      </c>
    </row>
    <row r="80" spans="1:13" x14ac:dyDescent="0.25">
      <c r="A80" s="5"/>
      <c r="B80" s="46"/>
      <c r="C80" s="14"/>
      <c r="D80" s="15"/>
      <c r="E80" s="15"/>
      <c r="F80" s="15"/>
      <c r="G80" s="64"/>
      <c r="H80" s="17" t="str">
        <f t="shared" si="18"/>
        <v/>
      </c>
      <c r="I80" s="18"/>
      <c r="J80" s="61"/>
      <c r="K80" s="402"/>
      <c r="L80" s="420" t="str">
        <f t="shared" si="19"/>
        <v/>
      </c>
      <c r="M80" s="401" t="str">
        <f t="shared" si="20"/>
        <v/>
      </c>
    </row>
    <row r="81" spans="1:13" x14ac:dyDescent="0.25">
      <c r="A81" s="5"/>
      <c r="B81" s="46"/>
      <c r="C81" s="14"/>
      <c r="D81" s="15"/>
      <c r="E81" s="15"/>
      <c r="F81" s="15"/>
      <c r="G81" s="64"/>
      <c r="H81" s="17" t="str">
        <f t="shared" si="18"/>
        <v/>
      </c>
      <c r="I81" s="18"/>
      <c r="J81" s="61"/>
      <c r="K81" s="402"/>
      <c r="L81" s="420" t="str">
        <f t="shared" si="19"/>
        <v/>
      </c>
      <c r="M81" s="401" t="str">
        <f t="shared" si="20"/>
        <v/>
      </c>
    </row>
    <row r="82" spans="1:13" x14ac:dyDescent="0.25">
      <c r="A82" s="5"/>
      <c r="B82" s="46"/>
      <c r="C82" s="14"/>
      <c r="D82" s="15"/>
      <c r="E82" s="15"/>
      <c r="F82" s="15"/>
      <c r="G82" s="64"/>
      <c r="H82" s="17" t="str">
        <f t="shared" si="18"/>
        <v/>
      </c>
      <c r="I82" s="18"/>
      <c r="J82" s="61"/>
      <c r="K82" s="400"/>
      <c r="L82" s="420" t="str">
        <f t="shared" si="19"/>
        <v/>
      </c>
      <c r="M82" s="401" t="str">
        <f t="shared" si="20"/>
        <v/>
      </c>
    </row>
    <row r="83" spans="1:13" x14ac:dyDescent="0.25">
      <c r="A83" s="5"/>
      <c r="B83" s="46"/>
      <c r="C83" s="566"/>
      <c r="D83" s="15"/>
      <c r="E83" s="15"/>
      <c r="F83" s="15"/>
      <c r="G83" s="64"/>
      <c r="H83" s="17" t="str">
        <f t="shared" si="18"/>
        <v/>
      </c>
      <c r="I83" s="18"/>
      <c r="J83" s="61"/>
      <c r="K83" s="605"/>
      <c r="L83" s="420" t="str">
        <f t="shared" si="19"/>
        <v/>
      </c>
      <c r="M83" s="401" t="str">
        <f t="shared" si="20"/>
        <v/>
      </c>
    </row>
    <row r="84" spans="1:13" x14ac:dyDescent="0.25">
      <c r="A84" s="5"/>
      <c r="B84" s="46"/>
      <c r="C84" s="14"/>
      <c r="D84" s="15"/>
      <c r="E84" s="15"/>
      <c r="F84" s="15"/>
      <c r="G84" s="64"/>
      <c r="H84" s="17" t="str">
        <f t="shared" si="18"/>
        <v/>
      </c>
      <c r="I84" s="18"/>
      <c r="J84" s="61"/>
      <c r="K84" s="402"/>
      <c r="L84" s="420" t="str">
        <f t="shared" si="19"/>
        <v/>
      </c>
      <c r="M84" s="401" t="str">
        <f t="shared" si="20"/>
        <v/>
      </c>
    </row>
    <row r="85" spans="1:13" x14ac:dyDescent="0.25">
      <c r="A85" s="5"/>
      <c r="B85" s="46"/>
      <c r="C85" s="566"/>
      <c r="D85" s="15"/>
      <c r="E85" s="15"/>
      <c r="F85" s="15"/>
      <c r="G85" s="64"/>
      <c r="H85" s="17" t="str">
        <f t="shared" si="18"/>
        <v/>
      </c>
      <c r="I85" s="18"/>
      <c r="J85" s="61"/>
      <c r="K85" s="399"/>
      <c r="L85" s="420" t="str">
        <f t="shared" si="19"/>
        <v/>
      </c>
      <c r="M85" s="401" t="str">
        <f t="shared" si="20"/>
        <v/>
      </c>
    </row>
    <row r="86" spans="1:13" x14ac:dyDescent="0.25">
      <c r="A86" s="5"/>
      <c r="B86" s="46"/>
      <c r="C86" s="14"/>
      <c r="D86" s="15"/>
      <c r="E86" s="15"/>
      <c r="F86" s="15"/>
      <c r="G86" s="64"/>
      <c r="H86" s="17" t="str">
        <f t="shared" si="18"/>
        <v/>
      </c>
      <c r="I86" s="18"/>
      <c r="J86" s="61"/>
      <c r="K86" s="399"/>
      <c r="L86" s="420" t="str">
        <f t="shared" si="19"/>
        <v/>
      </c>
      <c r="M86" s="401" t="str">
        <f t="shared" si="20"/>
        <v/>
      </c>
    </row>
    <row r="87" spans="1:13" x14ac:dyDescent="0.25">
      <c r="A87" s="5"/>
      <c r="B87" s="46"/>
      <c r="C87" s="14"/>
      <c r="D87" s="15"/>
      <c r="E87" s="15"/>
      <c r="F87" s="15"/>
      <c r="G87" s="64"/>
      <c r="H87" s="17" t="str">
        <f t="shared" si="18"/>
        <v/>
      </c>
      <c r="I87" s="18"/>
      <c r="J87" s="61"/>
      <c r="K87" s="399"/>
      <c r="L87" s="420" t="str">
        <f t="shared" si="19"/>
        <v/>
      </c>
      <c r="M87" s="401" t="str">
        <f t="shared" si="20"/>
        <v/>
      </c>
    </row>
    <row r="88" spans="1:13" x14ac:dyDescent="0.25">
      <c r="A88" s="5"/>
      <c r="B88" s="46"/>
      <c r="C88" s="14"/>
      <c r="D88" s="15"/>
      <c r="E88" s="15"/>
      <c r="F88" s="15"/>
      <c r="G88" s="64"/>
      <c r="H88" s="17" t="str">
        <f t="shared" si="18"/>
        <v/>
      </c>
      <c r="I88" s="18"/>
      <c r="J88" s="61"/>
      <c r="K88" s="400"/>
      <c r="L88" s="420" t="str">
        <f t="shared" si="19"/>
        <v/>
      </c>
      <c r="M88" s="401" t="str">
        <f t="shared" si="20"/>
        <v/>
      </c>
    </row>
    <row r="89" spans="1:13" x14ac:dyDescent="0.25">
      <c r="A89" s="5"/>
      <c r="B89" s="46"/>
      <c r="C89" s="14"/>
      <c r="D89" s="15"/>
      <c r="E89" s="15"/>
      <c r="F89" s="15"/>
      <c r="G89" s="64"/>
      <c r="H89" s="17" t="str">
        <f t="shared" si="18"/>
        <v/>
      </c>
      <c r="I89" s="18"/>
      <c r="J89" s="61"/>
      <c r="K89" s="399"/>
      <c r="L89" s="420" t="str">
        <f t="shared" si="19"/>
        <v/>
      </c>
      <c r="M89" s="401" t="str">
        <f t="shared" si="20"/>
        <v/>
      </c>
    </row>
    <row r="90" spans="1:13" x14ac:dyDescent="0.25">
      <c r="A90" s="5"/>
      <c r="B90" s="46"/>
      <c r="C90" s="14"/>
      <c r="D90" s="15"/>
      <c r="E90" s="15"/>
      <c r="F90" s="15"/>
      <c r="G90" s="64"/>
      <c r="H90" s="17" t="str">
        <f t="shared" si="18"/>
        <v/>
      </c>
      <c r="I90" s="18"/>
      <c r="J90" s="61"/>
      <c r="K90" s="399"/>
      <c r="L90" s="420" t="str">
        <f t="shared" si="19"/>
        <v/>
      </c>
      <c r="M90" s="401" t="str">
        <f t="shared" si="20"/>
        <v/>
      </c>
    </row>
    <row r="91" spans="1:13" x14ac:dyDescent="0.25">
      <c r="A91" s="5"/>
      <c r="B91" s="46"/>
      <c r="C91" s="14"/>
      <c r="D91" s="15"/>
      <c r="E91" s="15"/>
      <c r="F91" s="15"/>
      <c r="G91" s="64"/>
      <c r="H91" s="17" t="str">
        <f t="shared" si="18"/>
        <v/>
      </c>
      <c r="I91" s="18"/>
      <c r="J91" s="61"/>
      <c r="K91" s="399"/>
      <c r="L91" s="420" t="str">
        <f t="shared" si="19"/>
        <v/>
      </c>
      <c r="M91" s="401" t="str">
        <f t="shared" si="20"/>
        <v/>
      </c>
    </row>
    <row r="92" spans="1:13" x14ac:dyDescent="0.25">
      <c r="A92" s="5"/>
      <c r="B92" s="46"/>
      <c r="C92" s="14"/>
      <c r="D92" s="15"/>
      <c r="E92" s="15"/>
      <c r="F92" s="15"/>
      <c r="G92" s="64"/>
      <c r="H92" s="17" t="str">
        <f t="shared" si="18"/>
        <v/>
      </c>
      <c r="I92" s="18"/>
      <c r="J92" s="61"/>
      <c r="K92" s="399"/>
      <c r="L92" s="420" t="str">
        <f t="shared" si="19"/>
        <v/>
      </c>
      <c r="M92" s="401" t="str">
        <f t="shared" si="20"/>
        <v/>
      </c>
    </row>
    <row r="93" spans="1:13" x14ac:dyDescent="0.25">
      <c r="A93" s="5"/>
      <c r="B93" s="46"/>
      <c r="C93" s="14"/>
      <c r="D93" s="15"/>
      <c r="E93" s="15"/>
      <c r="F93" s="15"/>
      <c r="G93" s="64"/>
      <c r="H93" s="17" t="str">
        <f t="shared" si="18"/>
        <v/>
      </c>
      <c r="I93" s="18"/>
      <c r="J93" s="61"/>
      <c r="K93" s="399"/>
      <c r="L93" s="420" t="str">
        <f t="shared" si="19"/>
        <v/>
      </c>
      <c r="M93" s="401" t="str">
        <f t="shared" si="20"/>
        <v/>
      </c>
    </row>
    <row r="94" spans="1:13" x14ac:dyDescent="0.25">
      <c r="A94" s="5"/>
      <c r="B94" s="46"/>
      <c r="C94" s="14"/>
      <c r="D94" s="15"/>
      <c r="E94" s="15"/>
      <c r="F94" s="15"/>
      <c r="G94" s="64"/>
      <c r="H94" s="17" t="str">
        <f t="shared" si="18"/>
        <v/>
      </c>
      <c r="I94" s="18"/>
      <c r="J94" s="61"/>
      <c r="K94" s="400"/>
      <c r="L94" s="420" t="str">
        <f t="shared" si="19"/>
        <v/>
      </c>
      <c r="M94" s="401" t="str">
        <f t="shared" si="20"/>
        <v/>
      </c>
    </row>
    <row r="95" spans="1:13" x14ac:dyDescent="0.25">
      <c r="A95" s="5"/>
      <c r="B95" s="46"/>
      <c r="C95" s="14"/>
      <c r="D95" s="15"/>
      <c r="E95" s="15"/>
      <c r="F95" s="15"/>
      <c r="G95" s="64"/>
      <c r="H95" s="17" t="str">
        <f t="shared" si="18"/>
        <v/>
      </c>
      <c r="I95" s="18"/>
      <c r="J95" s="61"/>
      <c r="K95" s="399"/>
      <c r="L95" s="420" t="str">
        <f t="shared" si="19"/>
        <v/>
      </c>
      <c r="M95" s="401" t="str">
        <f t="shared" si="20"/>
        <v/>
      </c>
    </row>
    <row r="96" spans="1:13" x14ac:dyDescent="0.25">
      <c r="A96" s="5"/>
      <c r="B96" s="46"/>
      <c r="C96" s="14"/>
      <c r="D96" s="15"/>
      <c r="E96" s="15"/>
      <c r="F96" s="15"/>
      <c r="G96" s="64"/>
      <c r="H96" s="17" t="str">
        <f t="shared" si="18"/>
        <v/>
      </c>
      <c r="I96" s="18"/>
      <c r="J96" s="61"/>
      <c r="K96" s="399"/>
      <c r="L96" s="420" t="str">
        <f t="shared" si="19"/>
        <v/>
      </c>
      <c r="M96" s="401" t="str">
        <f t="shared" si="20"/>
        <v/>
      </c>
    </row>
    <row r="97" spans="1:13" x14ac:dyDescent="0.25">
      <c r="A97" s="5"/>
      <c r="B97" s="46"/>
      <c r="C97" s="14"/>
      <c r="D97" s="15"/>
      <c r="E97" s="15"/>
      <c r="F97" s="15"/>
      <c r="G97" s="64"/>
      <c r="H97" s="17" t="str">
        <f t="shared" si="18"/>
        <v/>
      </c>
      <c r="I97" s="18"/>
      <c r="J97" s="61"/>
      <c r="K97" s="399"/>
      <c r="L97" s="420" t="str">
        <f t="shared" si="19"/>
        <v/>
      </c>
      <c r="M97" s="401" t="str">
        <f t="shared" si="20"/>
        <v/>
      </c>
    </row>
    <row r="98" spans="1:13" x14ac:dyDescent="0.25">
      <c r="A98" s="5"/>
      <c r="B98" s="46"/>
      <c r="C98" s="14"/>
      <c r="D98" s="15"/>
      <c r="E98" s="15"/>
      <c r="F98" s="15"/>
      <c r="G98" s="64"/>
      <c r="H98" s="17" t="str">
        <f t="shared" si="18"/>
        <v/>
      </c>
      <c r="I98" s="18"/>
      <c r="J98" s="61"/>
      <c r="K98" s="399"/>
      <c r="L98" s="420" t="str">
        <f t="shared" si="19"/>
        <v/>
      </c>
      <c r="M98" s="401" t="str">
        <f t="shared" si="20"/>
        <v/>
      </c>
    </row>
    <row r="99" spans="1:13" x14ac:dyDescent="0.25">
      <c r="A99" s="5"/>
      <c r="B99" s="46"/>
      <c r="C99" s="14"/>
      <c r="D99" s="15"/>
      <c r="E99" s="15"/>
      <c r="F99" s="15"/>
      <c r="G99" s="64"/>
      <c r="H99" s="17" t="str">
        <f t="shared" si="18"/>
        <v/>
      </c>
      <c r="I99" s="18"/>
      <c r="J99" s="61"/>
      <c r="K99" s="399"/>
      <c r="L99" s="420" t="str">
        <f t="shared" si="19"/>
        <v/>
      </c>
      <c r="M99" s="401" t="str">
        <f t="shared" si="20"/>
        <v/>
      </c>
    </row>
    <row r="100" spans="1:13" x14ac:dyDescent="0.25">
      <c r="A100" s="5"/>
      <c r="B100" s="46"/>
      <c r="C100" s="14"/>
      <c r="D100" s="15"/>
      <c r="E100" s="15"/>
      <c r="F100" s="15"/>
      <c r="G100" s="64"/>
      <c r="H100" s="17" t="str">
        <f t="shared" si="18"/>
        <v/>
      </c>
      <c r="I100" s="18"/>
      <c r="J100" s="61"/>
      <c r="K100" s="399"/>
      <c r="L100" s="420" t="str">
        <f t="shared" si="19"/>
        <v/>
      </c>
      <c r="M100" s="401" t="str">
        <f t="shared" si="20"/>
        <v/>
      </c>
    </row>
    <row r="101" spans="1:13" x14ac:dyDescent="0.25">
      <c r="A101" s="5"/>
      <c r="B101" s="46"/>
      <c r="C101" s="14"/>
      <c r="D101" s="15"/>
      <c r="E101" s="15"/>
      <c r="F101" s="15"/>
      <c r="G101" s="64"/>
      <c r="H101" s="17" t="str">
        <f t="shared" si="18"/>
        <v/>
      </c>
      <c r="I101" s="18"/>
      <c r="J101" s="61"/>
      <c r="K101" s="399"/>
      <c r="L101" s="420" t="str">
        <f t="shared" si="19"/>
        <v/>
      </c>
      <c r="M101" s="401" t="str">
        <f t="shared" si="20"/>
        <v/>
      </c>
    </row>
    <row r="102" spans="1:13" x14ac:dyDescent="0.25">
      <c r="A102" s="5"/>
      <c r="B102" s="46"/>
      <c r="C102" s="14"/>
      <c r="D102" s="15"/>
      <c r="E102" s="15"/>
      <c r="F102" s="15"/>
      <c r="G102" s="64"/>
      <c r="H102" s="17" t="str">
        <f t="shared" si="18"/>
        <v/>
      </c>
      <c r="I102" s="18"/>
      <c r="J102" s="61"/>
      <c r="K102" s="399"/>
      <c r="L102" s="420" t="str">
        <f t="shared" si="19"/>
        <v/>
      </c>
      <c r="M102" s="401" t="str">
        <f t="shared" si="20"/>
        <v/>
      </c>
    </row>
    <row r="103" spans="1:13" x14ac:dyDescent="0.25">
      <c r="A103" s="5"/>
      <c r="B103" s="46"/>
      <c r="C103" s="14"/>
      <c r="D103" s="15"/>
      <c r="E103" s="15"/>
      <c r="F103" s="15"/>
      <c r="G103" s="64"/>
      <c r="H103" s="17" t="str">
        <f t="shared" si="18"/>
        <v/>
      </c>
      <c r="I103" s="18"/>
      <c r="J103" s="61"/>
      <c r="K103" s="399"/>
      <c r="L103" s="420" t="str">
        <f t="shared" si="19"/>
        <v/>
      </c>
      <c r="M103" s="401" t="str">
        <f t="shared" si="20"/>
        <v/>
      </c>
    </row>
    <row r="104" spans="1:13" x14ac:dyDescent="0.25">
      <c r="A104" s="5"/>
      <c r="B104" s="46"/>
      <c r="C104" s="14"/>
      <c r="D104" s="15"/>
      <c r="E104" s="15"/>
      <c r="F104" s="15"/>
      <c r="G104" s="64"/>
      <c r="H104" s="17" t="str">
        <f t="shared" si="18"/>
        <v/>
      </c>
      <c r="I104" s="18"/>
      <c r="J104" s="61"/>
      <c r="K104" s="399"/>
      <c r="L104" s="420" t="str">
        <f t="shared" si="19"/>
        <v/>
      </c>
      <c r="M104" s="401" t="str">
        <f t="shared" si="20"/>
        <v/>
      </c>
    </row>
    <row r="105" spans="1:13" x14ac:dyDescent="0.25">
      <c r="A105" s="5"/>
      <c r="B105" s="46"/>
      <c r="C105" s="14"/>
      <c r="D105" s="15"/>
      <c r="E105" s="15"/>
      <c r="F105" s="15"/>
      <c r="G105" s="64"/>
      <c r="H105" s="17" t="str">
        <f t="shared" si="18"/>
        <v/>
      </c>
      <c r="I105" s="18"/>
      <c r="J105" s="61"/>
      <c r="K105" s="399"/>
      <c r="L105" s="420" t="str">
        <f t="shared" si="19"/>
        <v/>
      </c>
      <c r="M105" s="401" t="str">
        <f t="shared" si="20"/>
        <v/>
      </c>
    </row>
    <row r="106" spans="1:13" x14ac:dyDescent="0.25">
      <c r="A106" s="5"/>
      <c r="B106" s="46"/>
      <c r="C106" s="14"/>
      <c r="D106" s="15"/>
      <c r="E106" s="15"/>
      <c r="F106" s="15"/>
      <c r="G106" s="64"/>
      <c r="H106" s="17" t="str">
        <f t="shared" si="18"/>
        <v/>
      </c>
      <c r="I106" s="18"/>
      <c r="J106" s="61"/>
      <c r="K106" s="402"/>
      <c r="L106" s="420" t="str">
        <f t="shared" si="19"/>
        <v/>
      </c>
      <c r="M106" s="401" t="str">
        <f t="shared" si="20"/>
        <v/>
      </c>
    </row>
    <row r="107" spans="1:13" x14ac:dyDescent="0.25">
      <c r="A107" s="5"/>
      <c r="B107" s="46"/>
      <c r="C107" s="14"/>
      <c r="D107" s="15"/>
      <c r="E107" s="15"/>
      <c r="F107" s="15"/>
      <c r="G107" s="64"/>
      <c r="H107" s="17" t="str">
        <f t="shared" si="18"/>
        <v/>
      </c>
      <c r="I107" s="18"/>
      <c r="J107" s="61"/>
      <c r="K107" s="399"/>
      <c r="L107" s="420" t="str">
        <f t="shared" si="19"/>
        <v/>
      </c>
      <c r="M107" s="401" t="str">
        <f t="shared" si="20"/>
        <v/>
      </c>
    </row>
    <row r="108" spans="1:13" x14ac:dyDescent="0.25">
      <c r="A108" s="5"/>
      <c r="B108" s="46"/>
      <c r="C108" s="14"/>
      <c r="D108" s="15"/>
      <c r="E108" s="15"/>
      <c r="F108" s="15"/>
      <c r="G108" s="64"/>
      <c r="H108" s="17" t="str">
        <f t="shared" si="18"/>
        <v/>
      </c>
      <c r="I108" s="18"/>
      <c r="J108" s="61"/>
      <c r="K108" s="402"/>
      <c r="L108" s="420" t="str">
        <f t="shared" si="19"/>
        <v/>
      </c>
      <c r="M108" s="401" t="str">
        <f t="shared" si="20"/>
        <v/>
      </c>
    </row>
    <row r="109" spans="1:13" x14ac:dyDescent="0.25">
      <c r="A109" s="5"/>
      <c r="B109" s="46"/>
      <c r="C109" s="14"/>
      <c r="D109" s="15"/>
      <c r="E109" s="15"/>
      <c r="F109" s="15"/>
      <c r="G109" s="64"/>
      <c r="H109" s="17" t="str">
        <f t="shared" si="18"/>
        <v/>
      </c>
      <c r="I109" s="18"/>
      <c r="J109" s="61"/>
      <c r="K109" s="402"/>
      <c r="L109" s="420" t="str">
        <f t="shared" si="19"/>
        <v/>
      </c>
      <c r="M109" s="401" t="str">
        <f t="shared" si="20"/>
        <v/>
      </c>
    </row>
    <row r="110" spans="1:13" x14ac:dyDescent="0.25">
      <c r="A110" s="5"/>
      <c r="B110" s="46"/>
      <c r="C110" s="14"/>
      <c r="D110" s="15"/>
      <c r="E110" s="15"/>
      <c r="F110" s="15"/>
      <c r="G110" s="64"/>
      <c r="H110" s="17" t="str">
        <f t="shared" si="18"/>
        <v/>
      </c>
      <c r="I110" s="18"/>
      <c r="J110" s="61"/>
      <c r="K110" s="399"/>
      <c r="L110" s="420" t="str">
        <f t="shared" si="19"/>
        <v/>
      </c>
      <c r="M110" s="401" t="str">
        <f t="shared" si="20"/>
        <v/>
      </c>
    </row>
    <row r="111" spans="1:13" ht="13" x14ac:dyDescent="0.25">
      <c r="A111" s="5"/>
      <c r="B111" s="73"/>
      <c r="C111" s="19"/>
      <c r="D111" s="15"/>
      <c r="E111" s="15"/>
      <c r="F111" s="15"/>
      <c r="G111" s="64"/>
      <c r="H111" s="17" t="str">
        <f t="shared" si="18"/>
        <v/>
      </c>
      <c r="I111" s="18"/>
      <c r="J111" s="61"/>
      <c r="K111" s="399"/>
      <c r="L111" s="420" t="str">
        <f t="shared" si="19"/>
        <v/>
      </c>
      <c r="M111" s="401" t="str">
        <f t="shared" si="20"/>
        <v/>
      </c>
    </row>
    <row r="112" spans="1:13" x14ac:dyDescent="0.25">
      <c r="A112" s="5"/>
      <c r="B112" s="46"/>
      <c r="C112" s="14"/>
      <c r="D112" s="15"/>
      <c r="E112" s="15"/>
      <c r="F112" s="15"/>
      <c r="G112" s="64"/>
      <c r="H112" s="17" t="str">
        <f t="shared" si="18"/>
        <v/>
      </c>
      <c r="I112" s="18"/>
      <c r="J112" s="61"/>
      <c r="K112" s="399"/>
      <c r="L112" s="420" t="str">
        <f t="shared" si="19"/>
        <v/>
      </c>
      <c r="M112" s="401" t="str">
        <f t="shared" si="20"/>
        <v/>
      </c>
    </row>
    <row r="113" spans="1:13" x14ac:dyDescent="0.25">
      <c r="A113" s="5"/>
      <c r="B113" s="46"/>
      <c r="C113" s="14"/>
      <c r="D113" s="15"/>
      <c r="E113" s="15"/>
      <c r="F113" s="15"/>
      <c r="G113" s="64"/>
      <c r="H113" s="17" t="str">
        <f t="shared" si="18"/>
        <v/>
      </c>
      <c r="I113" s="18"/>
      <c r="J113" s="61"/>
      <c r="K113" s="399"/>
      <c r="L113" s="420" t="str">
        <f t="shared" si="19"/>
        <v/>
      </c>
      <c r="M113" s="401" t="str">
        <f t="shared" si="20"/>
        <v/>
      </c>
    </row>
    <row r="114" spans="1:13" x14ac:dyDescent="0.25">
      <c r="A114" s="5"/>
      <c r="B114" s="46"/>
      <c r="C114" s="14"/>
      <c r="D114" s="15"/>
      <c r="E114" s="15"/>
      <c r="F114" s="15"/>
      <c r="G114" s="64"/>
      <c r="H114" s="17" t="str">
        <f t="shared" si="18"/>
        <v/>
      </c>
      <c r="I114" s="18"/>
      <c r="J114" s="61"/>
      <c r="K114" s="62"/>
      <c r="L114" s="420" t="str">
        <f t="shared" si="19"/>
        <v/>
      </c>
      <c r="M114" s="401" t="str">
        <f t="shared" si="20"/>
        <v/>
      </c>
    </row>
    <row r="115" spans="1:13" x14ac:dyDescent="0.25">
      <c r="A115" s="5"/>
      <c r="B115" s="46"/>
      <c r="C115" s="14"/>
      <c r="D115" s="15"/>
      <c r="E115" s="15"/>
      <c r="F115" s="15"/>
      <c r="G115" s="64"/>
      <c r="H115" s="17" t="str">
        <f t="shared" si="18"/>
        <v/>
      </c>
      <c r="I115" s="18"/>
      <c r="J115" s="61"/>
      <c r="K115" s="62"/>
      <c r="L115" s="420" t="str">
        <f t="shared" si="19"/>
        <v/>
      </c>
      <c r="M115" s="401" t="str">
        <f t="shared" si="20"/>
        <v/>
      </c>
    </row>
    <row r="116" spans="1:13" x14ac:dyDescent="0.25">
      <c r="A116" s="5"/>
      <c r="B116" s="46"/>
      <c r="C116" s="14"/>
      <c r="D116" s="15"/>
      <c r="E116" s="15"/>
      <c r="F116" s="15"/>
      <c r="G116" s="64"/>
      <c r="H116" s="17" t="str">
        <f t="shared" si="18"/>
        <v/>
      </c>
      <c r="I116" s="18"/>
      <c r="J116" s="61"/>
      <c r="K116" s="62"/>
      <c r="L116" s="420" t="str">
        <f t="shared" si="19"/>
        <v/>
      </c>
      <c r="M116" s="401" t="str">
        <f t="shared" si="20"/>
        <v/>
      </c>
    </row>
    <row r="117" spans="1:13" x14ac:dyDescent="0.25">
      <c r="A117" s="5"/>
      <c r="B117" s="46"/>
      <c r="C117" s="14"/>
      <c r="D117" s="15"/>
      <c r="E117" s="15"/>
      <c r="F117" s="15"/>
      <c r="G117" s="64"/>
      <c r="H117" s="17" t="str">
        <f t="shared" si="18"/>
        <v/>
      </c>
      <c r="I117" s="18"/>
      <c r="J117" s="61"/>
      <c r="K117" s="62"/>
      <c r="L117" s="420" t="str">
        <f t="shared" si="19"/>
        <v/>
      </c>
      <c r="M117" s="401" t="str">
        <f t="shared" si="20"/>
        <v/>
      </c>
    </row>
    <row r="118" spans="1:13" x14ac:dyDescent="0.25">
      <c r="A118" s="5"/>
      <c r="B118" s="46"/>
      <c r="C118" s="14"/>
      <c r="D118" s="15"/>
      <c r="E118" s="15"/>
      <c r="F118" s="15"/>
      <c r="G118" s="64"/>
      <c r="H118" s="17" t="str">
        <f t="shared" si="18"/>
        <v/>
      </c>
      <c r="I118" s="18"/>
      <c r="J118" s="61"/>
      <c r="K118" s="62"/>
      <c r="L118" s="420" t="str">
        <f t="shared" si="19"/>
        <v/>
      </c>
      <c r="M118" s="401" t="str">
        <f t="shared" si="20"/>
        <v/>
      </c>
    </row>
    <row r="119" spans="1:13" x14ac:dyDescent="0.25">
      <c r="A119" s="5"/>
      <c r="B119" s="46"/>
      <c r="C119" s="14"/>
      <c r="D119" s="15"/>
      <c r="E119" s="15"/>
      <c r="F119" s="15"/>
      <c r="G119" s="64"/>
      <c r="H119" s="17" t="str">
        <f t="shared" si="18"/>
        <v/>
      </c>
      <c r="I119" s="18"/>
      <c r="J119" s="61"/>
      <c r="K119" s="62"/>
      <c r="L119" s="420" t="str">
        <f t="shared" si="19"/>
        <v/>
      </c>
      <c r="M119" s="401" t="str">
        <f t="shared" si="20"/>
        <v/>
      </c>
    </row>
    <row r="120" spans="1:13" x14ac:dyDescent="0.25">
      <c r="A120" s="5"/>
      <c r="B120" s="46"/>
      <c r="C120" s="14"/>
      <c r="D120" s="15"/>
      <c r="E120" s="15"/>
      <c r="F120" s="15"/>
      <c r="G120" s="64"/>
      <c r="H120" s="17" t="str">
        <f t="shared" si="18"/>
        <v/>
      </c>
      <c r="I120" s="18"/>
      <c r="J120" s="61"/>
      <c r="K120" s="62"/>
      <c r="L120" s="420" t="str">
        <f t="shared" si="19"/>
        <v/>
      </c>
      <c r="M120" s="401" t="str">
        <f t="shared" si="20"/>
        <v/>
      </c>
    </row>
    <row r="121" spans="1:13" x14ac:dyDescent="0.25">
      <c r="A121" s="5"/>
      <c r="B121" s="46"/>
      <c r="C121" s="14"/>
      <c r="D121" s="15"/>
      <c r="E121" s="15"/>
      <c r="F121" s="15"/>
      <c r="G121" s="64"/>
      <c r="H121" s="17" t="str">
        <f t="shared" si="18"/>
        <v/>
      </c>
      <c r="I121" s="18"/>
      <c r="J121" s="61"/>
      <c r="K121" s="62"/>
      <c r="L121" s="420" t="str">
        <f t="shared" si="19"/>
        <v/>
      </c>
      <c r="M121" s="401" t="str">
        <f t="shared" si="20"/>
        <v/>
      </c>
    </row>
    <row r="122" spans="1:13" x14ac:dyDescent="0.25">
      <c r="A122" s="5"/>
      <c r="B122" s="46"/>
      <c r="C122" s="14"/>
      <c r="D122" s="15"/>
      <c r="E122" s="15"/>
      <c r="F122" s="15"/>
      <c r="G122" s="64"/>
      <c r="H122" s="17" t="str">
        <f t="shared" si="18"/>
        <v/>
      </c>
      <c r="I122" s="18"/>
      <c r="J122" s="61"/>
      <c r="K122" s="62"/>
      <c r="L122" s="420" t="str">
        <f t="shared" si="19"/>
        <v/>
      </c>
      <c r="M122" s="401" t="str">
        <f t="shared" si="20"/>
        <v/>
      </c>
    </row>
    <row r="123" spans="1:13" x14ac:dyDescent="0.25">
      <c r="A123" s="5"/>
      <c r="B123" s="46"/>
      <c r="C123" s="14"/>
      <c r="D123" s="15"/>
      <c r="E123" s="15"/>
      <c r="F123" s="15"/>
      <c r="G123" s="64"/>
      <c r="H123" s="17" t="str">
        <f t="shared" si="18"/>
        <v/>
      </c>
      <c r="I123" s="18"/>
      <c r="J123" s="61"/>
      <c r="K123" s="62"/>
      <c r="L123" s="420" t="str">
        <f t="shared" si="19"/>
        <v/>
      </c>
      <c r="M123" s="401" t="str">
        <f t="shared" si="20"/>
        <v/>
      </c>
    </row>
    <row r="124" spans="1:13" x14ac:dyDescent="0.25">
      <c r="A124" s="5"/>
      <c r="B124" s="46"/>
      <c r="C124" s="14"/>
      <c r="D124" s="15"/>
      <c r="E124" s="15"/>
      <c r="F124" s="15"/>
      <c r="G124" s="64"/>
      <c r="H124" s="17" t="str">
        <f t="shared" si="18"/>
        <v/>
      </c>
      <c r="I124" s="18"/>
      <c r="J124" s="61"/>
      <c r="K124" s="62"/>
      <c r="L124" s="420" t="str">
        <f t="shared" si="19"/>
        <v/>
      </c>
      <c r="M124" s="401" t="str">
        <f t="shared" si="20"/>
        <v/>
      </c>
    </row>
    <row r="125" spans="1:13" x14ac:dyDescent="0.25">
      <c r="A125" s="5"/>
      <c r="B125" s="46"/>
      <c r="C125" s="14"/>
      <c r="D125" s="15"/>
      <c r="E125" s="15"/>
      <c r="F125" s="15"/>
      <c r="G125" s="64"/>
      <c r="H125" s="17" t="str">
        <f t="shared" si="18"/>
        <v/>
      </c>
      <c r="I125" s="18"/>
      <c r="J125" s="61"/>
      <c r="K125" s="62"/>
      <c r="L125" s="420" t="str">
        <f t="shared" si="19"/>
        <v/>
      </c>
      <c r="M125" s="401" t="str">
        <f t="shared" si="20"/>
        <v/>
      </c>
    </row>
    <row r="126" spans="1:13" x14ac:dyDescent="0.25">
      <c r="A126" s="5"/>
      <c r="B126" s="46"/>
      <c r="C126" s="14"/>
      <c r="D126" s="15"/>
      <c r="E126" s="15"/>
      <c r="F126" s="15"/>
      <c r="G126" s="64"/>
      <c r="H126" s="17" t="str">
        <f t="shared" si="18"/>
        <v/>
      </c>
      <c r="I126" s="18"/>
      <c r="J126" s="61"/>
      <c r="K126" s="62"/>
      <c r="L126" s="420" t="str">
        <f t="shared" si="19"/>
        <v/>
      </c>
      <c r="M126" s="401" t="str">
        <f t="shared" si="20"/>
        <v/>
      </c>
    </row>
    <row r="127" spans="1:13" x14ac:dyDescent="0.25">
      <c r="A127" s="5"/>
      <c r="B127" s="46"/>
      <c r="C127" s="14"/>
      <c r="D127" s="15"/>
      <c r="E127" s="15"/>
      <c r="F127" s="15"/>
      <c r="G127" s="64"/>
      <c r="H127" s="17" t="str">
        <f t="shared" si="18"/>
        <v/>
      </c>
      <c r="I127" s="18"/>
      <c r="J127" s="61"/>
      <c r="K127" s="62"/>
      <c r="L127" s="420" t="str">
        <f t="shared" si="19"/>
        <v/>
      </c>
      <c r="M127" s="401" t="str">
        <f t="shared" si="20"/>
        <v/>
      </c>
    </row>
    <row r="128" spans="1:13" x14ac:dyDescent="0.25">
      <c r="A128" s="5"/>
      <c r="B128" s="46"/>
      <c r="C128" s="14"/>
      <c r="D128" s="15"/>
      <c r="E128" s="15"/>
      <c r="F128" s="15"/>
      <c r="G128" s="64"/>
      <c r="H128" s="17" t="str">
        <f t="shared" si="18"/>
        <v/>
      </c>
      <c r="I128" s="18"/>
      <c r="J128" s="61"/>
      <c r="K128" s="62"/>
      <c r="L128" s="420" t="str">
        <f t="shared" si="19"/>
        <v/>
      </c>
      <c r="M128" s="401" t="str">
        <f t="shared" si="20"/>
        <v/>
      </c>
    </row>
    <row r="129" spans="1:13" x14ac:dyDescent="0.25">
      <c r="A129" s="5"/>
      <c r="B129" s="46"/>
      <c r="C129" s="14"/>
      <c r="D129" s="15"/>
      <c r="E129" s="15"/>
      <c r="F129" s="15"/>
      <c r="G129" s="64"/>
      <c r="H129" s="17" t="str">
        <f t="shared" si="18"/>
        <v/>
      </c>
      <c r="I129" s="18"/>
      <c r="J129" s="61"/>
      <c r="K129" s="62"/>
      <c r="L129" s="420" t="str">
        <f t="shared" si="19"/>
        <v/>
      </c>
      <c r="M129" s="401" t="str">
        <f t="shared" si="20"/>
        <v/>
      </c>
    </row>
    <row r="130" spans="1:13" x14ac:dyDescent="0.25">
      <c r="A130" s="5"/>
      <c r="B130" s="46"/>
      <c r="C130" s="14"/>
      <c r="D130" s="15"/>
      <c r="E130" s="15"/>
      <c r="F130" s="15"/>
      <c r="G130" s="64"/>
      <c r="H130" s="17" t="str">
        <f t="shared" si="18"/>
        <v/>
      </c>
      <c r="I130" s="18"/>
      <c r="J130" s="61"/>
      <c r="K130" s="62"/>
      <c r="L130" s="420" t="str">
        <f t="shared" si="19"/>
        <v/>
      </c>
      <c r="M130" s="401" t="str">
        <f t="shared" si="20"/>
        <v/>
      </c>
    </row>
    <row r="131" spans="1:13" x14ac:dyDescent="0.25">
      <c r="A131" s="5"/>
      <c r="B131" s="46"/>
      <c r="C131" s="14"/>
      <c r="D131" s="15"/>
      <c r="E131" s="15"/>
      <c r="F131" s="15"/>
      <c r="G131" s="64"/>
      <c r="H131" s="17" t="str">
        <f t="shared" si="18"/>
        <v/>
      </c>
      <c r="I131" s="18"/>
      <c r="J131" s="61"/>
      <c r="K131" s="62"/>
      <c r="L131" s="420" t="str">
        <f t="shared" si="19"/>
        <v/>
      </c>
      <c r="M131" s="401" t="str">
        <f t="shared" si="20"/>
        <v/>
      </c>
    </row>
    <row r="132" spans="1:13" x14ac:dyDescent="0.25">
      <c r="A132" s="5"/>
      <c r="B132" s="46"/>
      <c r="C132" s="14"/>
      <c r="D132" s="15"/>
      <c r="E132" s="15"/>
      <c r="F132" s="15"/>
      <c r="G132" s="64"/>
      <c r="H132" s="17" t="str">
        <f t="shared" si="18"/>
        <v/>
      </c>
      <c r="I132" s="18"/>
      <c r="J132" s="61"/>
      <c r="K132" s="62"/>
      <c r="L132" s="420" t="str">
        <f t="shared" si="19"/>
        <v/>
      </c>
      <c r="M132" s="401" t="str">
        <f t="shared" si="20"/>
        <v/>
      </c>
    </row>
    <row r="133" spans="1:13" x14ac:dyDescent="0.25">
      <c r="A133" s="5"/>
      <c r="B133" s="46"/>
      <c r="C133" s="14"/>
      <c r="D133" s="15"/>
      <c r="E133" s="15"/>
      <c r="F133" s="15"/>
      <c r="G133" s="64"/>
      <c r="H133" s="17" t="str">
        <f t="shared" si="18"/>
        <v/>
      </c>
      <c r="I133" s="18"/>
      <c r="J133" s="61"/>
      <c r="K133" s="62"/>
      <c r="L133" s="420" t="str">
        <f t="shared" si="19"/>
        <v/>
      </c>
      <c r="M133" s="401" t="str">
        <f t="shared" si="20"/>
        <v/>
      </c>
    </row>
    <row r="134" spans="1:13" x14ac:dyDescent="0.25">
      <c r="A134" s="5"/>
      <c r="B134" s="46"/>
      <c r="C134" s="14"/>
      <c r="D134" s="15"/>
      <c r="E134" s="15"/>
      <c r="F134" s="15"/>
      <c r="G134" s="64"/>
      <c r="H134" s="17" t="str">
        <f t="shared" si="18"/>
        <v/>
      </c>
      <c r="I134" s="18"/>
      <c r="J134" s="61"/>
      <c r="K134" s="62"/>
      <c r="L134" s="420" t="str">
        <f t="shared" si="19"/>
        <v/>
      </c>
      <c r="M134" s="401" t="str">
        <f t="shared" si="20"/>
        <v/>
      </c>
    </row>
    <row r="135" spans="1:13" x14ac:dyDescent="0.25">
      <c r="A135" s="5"/>
      <c r="B135" s="46"/>
      <c r="C135" s="14"/>
      <c r="D135" s="15"/>
      <c r="E135" s="15"/>
      <c r="F135" s="15"/>
      <c r="G135" s="64"/>
      <c r="H135" s="17" t="str">
        <f t="shared" si="18"/>
        <v/>
      </c>
      <c r="I135" s="18"/>
      <c r="J135" s="61"/>
      <c r="K135" s="62"/>
      <c r="L135" s="420" t="str">
        <f t="shared" si="19"/>
        <v/>
      </c>
      <c r="M135" s="401" t="str">
        <f t="shared" si="20"/>
        <v/>
      </c>
    </row>
    <row r="136" spans="1:13" x14ac:dyDescent="0.25">
      <c r="A136" s="5"/>
      <c r="B136" s="46"/>
      <c r="C136" s="14"/>
      <c r="D136" s="15"/>
      <c r="E136" s="15"/>
      <c r="F136" s="15"/>
      <c r="G136" s="64"/>
      <c r="H136" s="17" t="str">
        <f t="shared" si="18"/>
        <v/>
      </c>
      <c r="I136" s="18"/>
      <c r="J136" s="61"/>
      <c r="K136" s="696"/>
      <c r="L136" s="420" t="str">
        <f t="shared" si="19"/>
        <v/>
      </c>
      <c r="M136" s="401" t="str">
        <f t="shared" si="20"/>
        <v/>
      </c>
    </row>
    <row r="137" spans="1:13" s="28" customFormat="1" ht="24.75" customHeight="1" x14ac:dyDescent="0.25">
      <c r="B137" s="144" t="str">
        <f>$B$12</f>
        <v>C13.8</v>
      </c>
      <c r="C137" s="30" t="s">
        <v>791</v>
      </c>
      <c r="D137" s="31"/>
      <c r="E137" s="31"/>
      <c r="F137" s="32"/>
      <c r="G137" s="31"/>
      <c r="H137" s="33">
        <f>SUM(H71:H136)</f>
        <v>144160</v>
      </c>
      <c r="I137" s="34"/>
      <c r="J137" s="408"/>
      <c r="K137" s="406"/>
      <c r="L137" s="418">
        <f>SUM(L71:L136)</f>
        <v>19996</v>
      </c>
      <c r="M137" s="407" t="str">
        <f t="shared" si="17"/>
        <v/>
      </c>
    </row>
  </sheetData>
  <mergeCells count="13">
    <mergeCell ref="B66:G66"/>
    <mergeCell ref="H66:H69"/>
    <mergeCell ref="F3:H3"/>
    <mergeCell ref="B6:G6"/>
    <mergeCell ref="H6:H9"/>
    <mergeCell ref="B63:D63"/>
    <mergeCell ref="F63:H65"/>
    <mergeCell ref="B64:D64"/>
    <mergeCell ref="B65:D65"/>
    <mergeCell ref="B7:G7"/>
    <mergeCell ref="B8:G8"/>
    <mergeCell ref="B67:G67"/>
    <mergeCell ref="B68:G68"/>
  </mergeCells>
  <conditionalFormatting sqref="G11:H62 G71:H137">
    <cfRule type="expression" dxfId="6"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42"/>
  <dimension ref="B6"/>
  <sheetViews>
    <sheetView workbookViewId="0">
      <selection activeCell="B26" sqref="B26:G26"/>
    </sheetView>
  </sheetViews>
  <sheetFormatPr defaultColWidth="9.1796875" defaultRowHeight="12.5" x14ac:dyDescent="0.25"/>
  <cols>
    <col min="1" max="1" width="1.26953125" style="241" customWidth="1"/>
    <col min="2" max="2" width="7.453125" style="241" customWidth="1"/>
    <col min="3" max="3" width="41.26953125" style="241" customWidth="1"/>
    <col min="4" max="4" width="9" style="241" customWidth="1"/>
    <col min="5" max="5" width="4.453125" style="241" customWidth="1"/>
    <col min="6" max="6" width="11.7265625" style="241" customWidth="1"/>
    <col min="7" max="7" width="12.26953125" style="241" customWidth="1"/>
    <col min="8" max="8" width="15.26953125" style="241" customWidth="1"/>
    <col min="9" max="9" width="1.26953125" style="241" customWidth="1"/>
    <col min="10" max="10" width="13.54296875" style="241" customWidth="1"/>
    <col min="11" max="13" width="14.26953125" style="241" customWidth="1"/>
    <col min="14" max="16384" width="9.1796875" style="241"/>
  </cols>
  <sheetData>
    <row r="6" spans="2:2" ht="15.5" x14ac:dyDescent="0.35">
      <c r="B6" s="240" t="s">
        <v>992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3"/>
  <dimension ref="A1:M215"/>
  <sheetViews>
    <sheetView view="pageBreakPreview" topLeftCell="D1"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3.7265625" style="4" customWidth="1"/>
    <col min="5" max="5" width="15.7265625" style="4" customWidth="1"/>
    <col min="6" max="6" width="15.7265625" style="1" customWidth="1"/>
    <col min="7" max="7" width="15.7265625" style="5" customWidth="1"/>
    <col min="8" max="8" width="0.81640625" style="5" customWidth="1"/>
    <col min="9" max="9" width="6.81640625" style="1"/>
    <col min="10" max="10" width="13.54296875" style="1" customWidth="1"/>
    <col min="11" max="11" width="14.1796875" style="1" customWidth="1"/>
    <col min="12" max="12" width="13.7265625" style="1" customWidth="1"/>
    <col min="13" max="13" width="13.54296875" style="1" customWidth="1"/>
    <col min="14" max="16384" width="6.81640625" style="1"/>
  </cols>
  <sheetData>
    <row r="1" spans="1:13" s="250" customFormat="1" ht="11.5" x14ac:dyDescent="0.25">
      <c r="A1" s="242"/>
      <c r="B1" s="243"/>
      <c r="C1" s="244" t="s">
        <v>993</v>
      </c>
      <c r="D1" s="245"/>
      <c r="E1" s="246" t="s">
        <v>994</v>
      </c>
      <c r="F1" s="244">
        <v>1</v>
      </c>
      <c r="G1" s="247">
        <f>MAX(G2:G228)</f>
        <v>0</v>
      </c>
      <c r="H1" s="247">
        <f>MAX(H2:H228)</f>
        <v>0</v>
      </c>
      <c r="I1" s="248"/>
      <c r="J1" s="249"/>
      <c r="K1" s="247">
        <f>MAX(K2:K228)</f>
        <v>0</v>
      </c>
      <c r="L1" s="249"/>
    </row>
    <row r="2" spans="1:13" s="250" customFormat="1" ht="11.5" x14ac:dyDescent="0.25">
      <c r="B2" s="251" t="s">
        <v>995</v>
      </c>
      <c r="C2" s="252" t="s">
        <v>1</v>
      </c>
      <c r="D2" s="252" t="s">
        <v>2</v>
      </c>
      <c r="E2" s="252" t="s">
        <v>3</v>
      </c>
      <c r="F2" s="252" t="s">
        <v>4</v>
      </c>
      <c r="G2" s="252" t="s">
        <v>5</v>
      </c>
      <c r="H2" s="254"/>
      <c r="I2" s="398" t="s">
        <v>996</v>
      </c>
      <c r="J2" s="253" t="s">
        <v>997</v>
      </c>
      <c r="K2" s="253" t="s">
        <v>998</v>
      </c>
      <c r="L2" s="253" t="s">
        <v>999</v>
      </c>
      <c r="M2" s="253" t="s">
        <v>1000</v>
      </c>
    </row>
    <row r="3" spans="1:13" ht="13" x14ac:dyDescent="0.25">
      <c r="B3" s="2" t="str">
        <f>Client1</f>
        <v>Province of KwaZulu-Natal</v>
      </c>
      <c r="E3" s="1124" t="str">
        <f>"Contract No. "&amp;ContractNo</f>
        <v>Contract No. ZNB 00399/00000/HOD/INF/21/T</v>
      </c>
      <c r="F3" s="1124"/>
      <c r="G3" s="1124"/>
    </row>
    <row r="4" spans="1:13" ht="13" x14ac:dyDescent="0.25">
      <c r="B4" s="87" t="str">
        <f>Client2</f>
        <v>Department of Transport</v>
      </c>
    </row>
    <row r="5" spans="1:13" x14ac:dyDescent="0.25">
      <c r="B5" s="77"/>
      <c r="C5" s="77"/>
      <c r="D5" s="78"/>
      <c r="E5" s="78"/>
      <c r="F5" s="79"/>
      <c r="G5" s="89"/>
    </row>
    <row r="6" spans="1:13" ht="13" x14ac:dyDescent="0.25">
      <c r="B6" s="1112" t="s">
        <v>1773</v>
      </c>
      <c r="C6" s="1113"/>
      <c r="D6" s="1113"/>
      <c r="E6" s="1113"/>
      <c r="F6" s="1113"/>
      <c r="G6" s="1121" t="str">
        <f>"CHAPTER "&amp;B14</f>
        <v>CHAPTER C13.1</v>
      </c>
      <c r="H6" s="6"/>
    </row>
    <row r="7" spans="1:13"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22"/>
      <c r="H7" s="8"/>
    </row>
    <row r="8" spans="1:13" ht="12.75" customHeight="1" x14ac:dyDescent="0.25">
      <c r="B8" s="1117"/>
      <c r="C8" s="1118"/>
      <c r="D8" s="1118"/>
      <c r="E8" s="1118"/>
      <c r="F8" s="1118"/>
      <c r="G8" s="1122"/>
      <c r="H8" s="8"/>
    </row>
    <row r="9" spans="1:13" ht="12.75" customHeight="1" x14ac:dyDescent="0.25">
      <c r="B9" s="1117"/>
      <c r="C9" s="1118"/>
      <c r="D9" s="1118"/>
      <c r="E9" s="1118"/>
      <c r="F9" s="1118"/>
      <c r="G9" s="1122"/>
      <c r="H9" s="8"/>
    </row>
    <row r="10" spans="1:13" ht="12.75" customHeight="1" x14ac:dyDescent="0.25">
      <c r="B10" s="656" t="s">
        <v>1772</v>
      </c>
      <c r="C10" s="641"/>
      <c r="D10" s="12"/>
      <c r="E10" s="641"/>
      <c r="F10" s="641"/>
      <c r="G10" s="1122"/>
      <c r="H10" s="8"/>
    </row>
    <row r="11" spans="1:13" ht="7.5" customHeight="1" x14ac:dyDescent="0.25">
      <c r="B11" s="611"/>
      <c r="C11" s="612"/>
      <c r="D11" s="679"/>
      <c r="E11" s="612"/>
      <c r="F11" s="612"/>
      <c r="G11" s="1123"/>
      <c r="H11" s="8"/>
    </row>
    <row r="12" spans="1:13" s="9" customFormat="1" ht="25" customHeight="1" x14ac:dyDescent="0.25">
      <c r="B12" s="10" t="s">
        <v>0</v>
      </c>
      <c r="C12" s="11" t="s">
        <v>1</v>
      </c>
      <c r="D12" s="11" t="s">
        <v>2</v>
      </c>
      <c r="E12" s="11" t="s">
        <v>3</v>
      </c>
      <c r="F12" s="11" t="s">
        <v>4</v>
      </c>
      <c r="G12" s="11" t="s">
        <v>5</v>
      </c>
      <c r="H12" s="12"/>
      <c r="I12" s="408" t="s">
        <v>996</v>
      </c>
      <c r="J12" s="253" t="s">
        <v>997</v>
      </c>
      <c r="K12" s="253" t="s">
        <v>998</v>
      </c>
      <c r="L12" s="253" t="s">
        <v>999</v>
      </c>
    </row>
    <row r="13" spans="1:13" x14ac:dyDescent="0.25">
      <c r="B13" s="46"/>
      <c r="C13" s="14"/>
      <c r="D13" s="15"/>
      <c r="E13" s="15"/>
      <c r="F13" s="411"/>
      <c r="G13" s="17" t="str">
        <f t="shared" ref="G13:G80" si="0">IF(D13="","",E13*F13)</f>
        <v/>
      </c>
      <c r="H13" s="18"/>
      <c r="I13" s="61"/>
      <c r="J13" s="399"/>
      <c r="K13" s="420" t="str">
        <f t="shared" ref="K13:K15" si="1">IF(I13="","",E13*J13)</f>
        <v/>
      </c>
      <c r="L13" s="401" t="str">
        <f t="shared" ref="L13:L15" si="2">IF(I13="","",IF(SUM(G13)=0,"",K13/G13))</f>
        <v/>
      </c>
    </row>
    <row r="14" spans="1:13" ht="13" x14ac:dyDescent="0.25">
      <c r="B14" s="73" t="s">
        <v>277</v>
      </c>
      <c r="C14" s="19" t="s">
        <v>278</v>
      </c>
      <c r="D14" s="15"/>
      <c r="E14" s="15"/>
      <c r="F14" s="411"/>
      <c r="G14" s="17" t="str">
        <f t="shared" si="0"/>
        <v/>
      </c>
      <c r="H14" s="18"/>
      <c r="I14" s="61"/>
      <c r="J14" s="399"/>
      <c r="K14" s="420" t="str">
        <f t="shared" si="1"/>
        <v/>
      </c>
      <c r="L14" s="401" t="str">
        <f t="shared" si="2"/>
        <v/>
      </c>
    </row>
    <row r="15" spans="1:13" x14ac:dyDescent="0.25">
      <c r="B15" s="46"/>
      <c r="C15" s="14"/>
      <c r="D15" s="15"/>
      <c r="E15" s="15"/>
      <c r="F15" s="411"/>
      <c r="G15" s="17" t="str">
        <f t="shared" si="0"/>
        <v/>
      </c>
      <c r="H15" s="18"/>
      <c r="I15" s="61"/>
      <c r="J15" s="399"/>
      <c r="K15" s="420" t="str">
        <f t="shared" si="1"/>
        <v/>
      </c>
      <c r="L15" s="401" t="str">
        <f t="shared" si="2"/>
        <v/>
      </c>
    </row>
    <row r="16" spans="1:13" ht="13" x14ac:dyDescent="0.25">
      <c r="B16" s="73" t="s">
        <v>292</v>
      </c>
      <c r="C16" s="19" t="s">
        <v>291</v>
      </c>
      <c r="D16" s="15"/>
      <c r="E16" s="15"/>
      <c r="F16" s="422"/>
      <c r="G16" s="17" t="str">
        <f t="shared" si="0"/>
        <v/>
      </c>
      <c r="H16" s="18"/>
      <c r="I16" s="61"/>
      <c r="J16" s="399"/>
      <c r="K16" s="420" t="str">
        <f t="shared" ref="K16" si="3">IF(I16="","",E16*J16)</f>
        <v/>
      </c>
      <c r="L16" s="401" t="str">
        <f t="shared" ref="L16" si="4">IF(I16="","",IF(SUM(G16)=0,"",K16/G16))</f>
        <v/>
      </c>
    </row>
    <row r="17" spans="2:12" x14ac:dyDescent="0.25">
      <c r="B17" s="46"/>
      <c r="C17" s="14"/>
      <c r="D17" s="15"/>
      <c r="E17" s="15"/>
      <c r="F17" s="422"/>
      <c r="G17" s="17" t="str">
        <f t="shared" si="0"/>
        <v/>
      </c>
      <c r="H17" s="18"/>
      <c r="I17" s="61"/>
      <c r="J17" s="399"/>
      <c r="K17" s="420" t="str">
        <f t="shared" ref="K17:K79" si="5">IF(I17="","",E17*J17)</f>
        <v/>
      </c>
      <c r="L17" s="401" t="str">
        <f t="shared" ref="L17:L79" si="6">IF(I17="","",IF(SUM(G17)=0,"",K17/G17))</f>
        <v/>
      </c>
    </row>
    <row r="18" spans="2:12" x14ac:dyDescent="0.25">
      <c r="B18" s="46" t="s">
        <v>293</v>
      </c>
      <c r="C18" s="14" t="s">
        <v>295</v>
      </c>
      <c r="D18" s="15" t="s">
        <v>11</v>
      </c>
      <c r="E18" s="15"/>
      <c r="F18" s="422">
        <v>15000</v>
      </c>
      <c r="G18" s="17">
        <f t="shared" si="0"/>
        <v>0</v>
      </c>
      <c r="H18" s="57"/>
      <c r="I18" s="61" t="s">
        <v>1721</v>
      </c>
      <c r="J18" s="399">
        <f>IF(D18="","",ROUND(Labour_perc_structures*F18,4))</f>
        <v>435</v>
      </c>
      <c r="K18" s="420">
        <f t="shared" si="5"/>
        <v>0</v>
      </c>
      <c r="L18" s="401" t="str">
        <f t="shared" si="6"/>
        <v/>
      </c>
    </row>
    <row r="19" spans="2:12" x14ac:dyDescent="0.25">
      <c r="B19" s="46"/>
      <c r="C19" s="14"/>
      <c r="D19" s="15"/>
      <c r="E19" s="24"/>
      <c r="F19" s="703"/>
      <c r="G19" s="17" t="str">
        <f t="shared" si="0"/>
        <v/>
      </c>
      <c r="H19" s="57"/>
      <c r="I19" s="61"/>
      <c r="J19" s="399"/>
      <c r="K19" s="420" t="str">
        <f t="shared" si="5"/>
        <v/>
      </c>
      <c r="L19" s="401" t="str">
        <f t="shared" si="6"/>
        <v/>
      </c>
    </row>
    <row r="20" spans="2:12" x14ac:dyDescent="0.25">
      <c r="B20" s="46" t="s">
        <v>294</v>
      </c>
      <c r="C20" s="14" t="s">
        <v>296</v>
      </c>
      <c r="D20" s="15" t="s">
        <v>11</v>
      </c>
      <c r="E20" s="15"/>
      <c r="F20" s="422">
        <v>15000</v>
      </c>
      <c r="G20" s="17">
        <f t="shared" si="0"/>
        <v>0</v>
      </c>
      <c r="H20" s="57"/>
      <c r="I20" s="61" t="s">
        <v>1721</v>
      </c>
      <c r="J20" s="399">
        <f>IF(D20="","",ROUND(Labour_perc_structures*F20,4))</f>
        <v>435</v>
      </c>
      <c r="K20" s="420">
        <f t="shared" ref="K20" si="7">IF(I20="","",E20*J20)</f>
        <v>0</v>
      </c>
      <c r="L20" s="401" t="str">
        <f t="shared" ref="L20" si="8">IF(I20="","",IF(SUM(G20)=0,"",K20/G20))</f>
        <v/>
      </c>
    </row>
    <row r="21" spans="2:12" x14ac:dyDescent="0.25">
      <c r="B21" s="46"/>
      <c r="C21" s="14"/>
      <c r="D21" s="15"/>
      <c r="E21" s="24"/>
      <c r="F21" s="703"/>
      <c r="G21" s="17" t="str">
        <f t="shared" si="0"/>
        <v/>
      </c>
      <c r="H21" s="57"/>
      <c r="I21" s="61"/>
      <c r="J21" s="399"/>
      <c r="K21" s="420" t="str">
        <f t="shared" si="5"/>
        <v/>
      </c>
      <c r="L21" s="401" t="str">
        <f t="shared" si="6"/>
        <v/>
      </c>
    </row>
    <row r="22" spans="2:12" x14ac:dyDescent="0.25">
      <c r="B22" s="46"/>
      <c r="C22" s="14"/>
      <c r="D22" s="15"/>
      <c r="E22" s="24"/>
      <c r="F22" s="411"/>
      <c r="G22" s="17" t="str">
        <f t="shared" si="0"/>
        <v/>
      </c>
      <c r="H22" s="18"/>
      <c r="I22" s="61"/>
      <c r="J22" s="402"/>
      <c r="K22" s="420" t="str">
        <f t="shared" si="5"/>
        <v/>
      </c>
      <c r="L22" s="401" t="str">
        <f t="shared" si="6"/>
        <v/>
      </c>
    </row>
    <row r="23" spans="2:12" x14ac:dyDescent="0.25">
      <c r="B23" s="46"/>
      <c r="C23" s="14"/>
      <c r="D23" s="15"/>
      <c r="E23" s="24"/>
      <c r="F23" s="423"/>
      <c r="G23" s="17" t="str">
        <f t="shared" si="0"/>
        <v/>
      </c>
      <c r="H23" s="18"/>
      <c r="I23" s="61"/>
      <c r="J23" s="402"/>
      <c r="K23" s="420" t="str">
        <f t="shared" si="5"/>
        <v/>
      </c>
      <c r="L23" s="401" t="str">
        <f t="shared" si="6"/>
        <v/>
      </c>
    </row>
    <row r="24" spans="2:12" x14ac:dyDescent="0.25">
      <c r="B24" s="46"/>
      <c r="C24" s="14"/>
      <c r="D24" s="15"/>
      <c r="E24" s="24"/>
      <c r="F24" s="421"/>
      <c r="G24" s="17" t="str">
        <f t="shared" si="0"/>
        <v/>
      </c>
      <c r="H24" s="63"/>
      <c r="I24" s="61"/>
      <c r="J24" s="402"/>
      <c r="K24" s="420" t="str">
        <f t="shared" si="5"/>
        <v/>
      </c>
      <c r="L24" s="401" t="str">
        <f t="shared" si="6"/>
        <v/>
      </c>
    </row>
    <row r="25" spans="2:12" x14ac:dyDescent="0.25">
      <c r="B25" s="46"/>
      <c r="C25" s="1"/>
      <c r="D25" s="15"/>
      <c r="E25" s="24"/>
      <c r="F25" s="421"/>
      <c r="G25" s="17" t="str">
        <f t="shared" si="0"/>
        <v/>
      </c>
      <c r="H25" s="63"/>
      <c r="I25" s="61"/>
      <c r="J25" s="402"/>
      <c r="K25" s="420" t="str">
        <f t="shared" si="5"/>
        <v/>
      </c>
      <c r="L25" s="401" t="str">
        <f t="shared" si="6"/>
        <v/>
      </c>
    </row>
    <row r="26" spans="2:12" x14ac:dyDescent="0.25">
      <c r="B26" s="46"/>
      <c r="C26" s="14"/>
      <c r="D26" s="15"/>
      <c r="E26" s="24"/>
      <c r="F26" s="422"/>
      <c r="G26" s="17" t="str">
        <f t="shared" si="0"/>
        <v/>
      </c>
      <c r="H26" s="63"/>
      <c r="I26" s="61"/>
      <c r="J26" s="402"/>
      <c r="K26" s="420" t="str">
        <f t="shared" si="5"/>
        <v/>
      </c>
      <c r="L26" s="401" t="str">
        <f t="shared" si="6"/>
        <v/>
      </c>
    </row>
    <row r="27" spans="2:12" x14ac:dyDescent="0.25">
      <c r="B27" s="46"/>
      <c r="C27" s="14"/>
      <c r="D27" s="15"/>
      <c r="E27" s="24"/>
      <c r="F27" s="421"/>
      <c r="G27" s="17" t="str">
        <f t="shared" si="0"/>
        <v/>
      </c>
      <c r="H27" s="63"/>
      <c r="I27" s="61"/>
      <c r="J27" s="402"/>
      <c r="K27" s="420" t="str">
        <f t="shared" si="5"/>
        <v/>
      </c>
      <c r="L27" s="401" t="str">
        <f t="shared" si="6"/>
        <v/>
      </c>
    </row>
    <row r="28" spans="2:12" x14ac:dyDescent="0.25">
      <c r="B28" s="46"/>
      <c r="C28" s="14"/>
      <c r="D28" s="15"/>
      <c r="E28" s="24"/>
      <c r="F28" s="423"/>
      <c r="G28" s="17" t="str">
        <f t="shared" si="0"/>
        <v/>
      </c>
      <c r="H28" s="63"/>
      <c r="I28" s="61"/>
      <c r="J28" s="399"/>
      <c r="K28" s="420" t="str">
        <f t="shared" si="5"/>
        <v/>
      </c>
      <c r="L28" s="401" t="str">
        <f t="shared" si="6"/>
        <v/>
      </c>
    </row>
    <row r="29" spans="2:12" x14ac:dyDescent="0.25">
      <c r="B29" s="46"/>
      <c r="C29" s="14"/>
      <c r="D29" s="15"/>
      <c r="E29" s="24"/>
      <c r="F29" s="421"/>
      <c r="G29" s="17" t="str">
        <f t="shared" si="0"/>
        <v/>
      </c>
      <c r="H29" s="63"/>
      <c r="I29" s="61"/>
      <c r="J29" s="399"/>
      <c r="K29" s="420" t="str">
        <f t="shared" si="5"/>
        <v/>
      </c>
      <c r="L29" s="401" t="str">
        <f t="shared" si="6"/>
        <v/>
      </c>
    </row>
    <row r="30" spans="2:12" x14ac:dyDescent="0.25">
      <c r="B30" s="46"/>
      <c r="C30" s="14"/>
      <c r="D30" s="15"/>
      <c r="E30" s="24"/>
      <c r="F30" s="422"/>
      <c r="G30" s="17" t="str">
        <f t="shared" si="0"/>
        <v/>
      </c>
      <c r="H30" s="57"/>
      <c r="I30" s="61"/>
      <c r="J30" s="400"/>
      <c r="K30" s="420" t="str">
        <f t="shared" si="5"/>
        <v/>
      </c>
      <c r="L30" s="401" t="str">
        <f t="shared" si="6"/>
        <v/>
      </c>
    </row>
    <row r="31" spans="2:12" x14ac:dyDescent="0.25">
      <c r="B31" s="46"/>
      <c r="C31" s="14"/>
      <c r="D31" s="15"/>
      <c r="E31" s="24"/>
      <c r="F31" s="411"/>
      <c r="G31" s="17" t="str">
        <f t="shared" si="0"/>
        <v/>
      </c>
      <c r="H31" s="18"/>
      <c r="I31" s="61"/>
      <c r="J31" s="399"/>
      <c r="K31" s="420" t="str">
        <f t="shared" si="5"/>
        <v/>
      </c>
      <c r="L31" s="401" t="str">
        <f t="shared" si="6"/>
        <v/>
      </c>
    </row>
    <row r="32" spans="2:12" s="36" customFormat="1" x14ac:dyDescent="0.25">
      <c r="B32" s="46"/>
      <c r="C32" s="14"/>
      <c r="D32" s="15"/>
      <c r="E32" s="24"/>
      <c r="F32" s="411"/>
      <c r="G32" s="17" t="str">
        <f t="shared" si="0"/>
        <v/>
      </c>
      <c r="H32" s="18"/>
      <c r="I32" s="61"/>
      <c r="J32" s="399"/>
      <c r="K32" s="420" t="str">
        <f t="shared" si="5"/>
        <v/>
      </c>
      <c r="L32" s="401" t="str">
        <f t="shared" si="6"/>
        <v/>
      </c>
    </row>
    <row r="33" spans="2:12" s="36" customFormat="1" x14ac:dyDescent="0.25">
      <c r="B33" s="46"/>
      <c r="C33" s="14"/>
      <c r="D33" s="15"/>
      <c r="E33" s="24"/>
      <c r="F33" s="411"/>
      <c r="G33" s="17" t="str">
        <f t="shared" si="0"/>
        <v/>
      </c>
      <c r="H33" s="18"/>
      <c r="I33" s="61"/>
      <c r="J33" s="399"/>
      <c r="K33" s="420" t="str">
        <f t="shared" si="5"/>
        <v/>
      </c>
      <c r="L33" s="401" t="str">
        <f t="shared" si="6"/>
        <v/>
      </c>
    </row>
    <row r="34" spans="2:12" s="36" customFormat="1" x14ac:dyDescent="0.25">
      <c r="B34" s="46"/>
      <c r="C34" s="14"/>
      <c r="D34" s="15"/>
      <c r="E34" s="24"/>
      <c r="F34" s="411"/>
      <c r="G34" s="17" t="str">
        <f t="shared" si="0"/>
        <v/>
      </c>
      <c r="H34" s="18"/>
      <c r="I34" s="61"/>
      <c r="J34" s="399"/>
      <c r="K34" s="420" t="str">
        <f t="shared" si="5"/>
        <v/>
      </c>
      <c r="L34" s="401" t="str">
        <f t="shared" si="6"/>
        <v/>
      </c>
    </row>
    <row r="35" spans="2:12" s="36" customFormat="1" x14ac:dyDescent="0.25">
      <c r="B35" s="46"/>
      <c r="C35" s="14"/>
      <c r="D35" s="15"/>
      <c r="E35" s="24"/>
      <c r="F35" s="411"/>
      <c r="G35" s="17" t="str">
        <f t="shared" si="0"/>
        <v/>
      </c>
      <c r="H35" s="18"/>
      <c r="I35" s="61"/>
      <c r="J35" s="399"/>
      <c r="K35" s="420" t="str">
        <f t="shared" si="5"/>
        <v/>
      </c>
      <c r="L35" s="401" t="str">
        <f t="shared" si="6"/>
        <v/>
      </c>
    </row>
    <row r="36" spans="2:12" x14ac:dyDescent="0.25">
      <c r="B36" s="46"/>
      <c r="C36" s="14"/>
      <c r="D36" s="15"/>
      <c r="E36" s="24"/>
      <c r="F36" s="422"/>
      <c r="G36" s="17" t="str">
        <f t="shared" si="0"/>
        <v/>
      </c>
      <c r="H36" s="57"/>
      <c r="I36" s="61"/>
      <c r="J36" s="400"/>
      <c r="K36" s="420" t="str">
        <f t="shared" si="5"/>
        <v/>
      </c>
      <c r="L36" s="401" t="str">
        <f t="shared" si="6"/>
        <v/>
      </c>
    </row>
    <row r="37" spans="2:12" x14ac:dyDescent="0.25">
      <c r="B37" s="46"/>
      <c r="C37" s="14"/>
      <c r="D37" s="15"/>
      <c r="E37" s="24"/>
      <c r="F37" s="411"/>
      <c r="G37" s="17" t="str">
        <f t="shared" si="0"/>
        <v/>
      </c>
      <c r="H37" s="18"/>
      <c r="I37" s="61"/>
      <c r="J37" s="399"/>
      <c r="K37" s="420" t="str">
        <f t="shared" si="5"/>
        <v/>
      </c>
      <c r="L37" s="401" t="str">
        <f t="shared" si="6"/>
        <v/>
      </c>
    </row>
    <row r="38" spans="2:12" x14ac:dyDescent="0.25">
      <c r="B38" s="46"/>
      <c r="C38" s="14"/>
      <c r="D38" s="15"/>
      <c r="E38" s="24"/>
      <c r="F38" s="411"/>
      <c r="G38" s="17" t="str">
        <f t="shared" si="0"/>
        <v/>
      </c>
      <c r="H38" s="18"/>
      <c r="I38" s="61"/>
      <c r="J38" s="399"/>
      <c r="K38" s="420" t="str">
        <f t="shared" si="5"/>
        <v/>
      </c>
      <c r="L38" s="401" t="str">
        <f t="shared" si="6"/>
        <v/>
      </c>
    </row>
    <row r="39" spans="2:12" x14ac:dyDescent="0.25">
      <c r="B39" s="46"/>
      <c r="C39" s="14"/>
      <c r="D39" s="15"/>
      <c r="E39" s="24"/>
      <c r="F39" s="423"/>
      <c r="G39" s="17" t="str">
        <f t="shared" si="0"/>
        <v/>
      </c>
      <c r="H39" s="18"/>
      <c r="I39" s="61"/>
      <c r="J39" s="399"/>
      <c r="K39" s="420" t="str">
        <f t="shared" si="5"/>
        <v/>
      </c>
      <c r="L39" s="401" t="str">
        <f t="shared" si="6"/>
        <v/>
      </c>
    </row>
    <row r="40" spans="2:12" x14ac:dyDescent="0.25">
      <c r="B40" s="46"/>
      <c r="C40" s="14"/>
      <c r="D40" s="15"/>
      <c r="E40" s="24"/>
      <c r="F40" s="423"/>
      <c r="G40" s="17" t="str">
        <f t="shared" si="0"/>
        <v/>
      </c>
      <c r="H40" s="18"/>
      <c r="I40" s="61"/>
      <c r="J40" s="399"/>
      <c r="K40" s="420" t="str">
        <f t="shared" si="5"/>
        <v/>
      </c>
      <c r="L40" s="401" t="str">
        <f t="shared" si="6"/>
        <v/>
      </c>
    </row>
    <row r="41" spans="2:12" x14ac:dyDescent="0.25">
      <c r="B41" s="46"/>
      <c r="C41" s="14"/>
      <c r="D41" s="15"/>
      <c r="E41" s="15"/>
      <c r="F41" s="411"/>
      <c r="G41" s="17" t="str">
        <f t="shared" si="0"/>
        <v/>
      </c>
      <c r="H41" s="18"/>
      <c r="I41" s="61"/>
      <c r="J41" s="399"/>
      <c r="K41" s="420" t="str">
        <f t="shared" si="5"/>
        <v/>
      </c>
      <c r="L41" s="401" t="str">
        <f t="shared" si="6"/>
        <v/>
      </c>
    </row>
    <row r="42" spans="2:12" x14ac:dyDescent="0.25">
      <c r="B42" s="46"/>
      <c r="C42" s="14"/>
      <c r="D42" s="15"/>
      <c r="E42" s="15"/>
      <c r="F42" s="411"/>
      <c r="G42" s="17" t="str">
        <f t="shared" si="0"/>
        <v/>
      </c>
      <c r="H42" s="18"/>
      <c r="I42" s="61"/>
      <c r="J42" s="399"/>
      <c r="K42" s="420" t="str">
        <f t="shared" si="5"/>
        <v/>
      </c>
      <c r="L42" s="401" t="str">
        <f t="shared" si="6"/>
        <v/>
      </c>
    </row>
    <row r="43" spans="2:12" x14ac:dyDescent="0.25">
      <c r="B43" s="46"/>
      <c r="C43" s="14"/>
      <c r="D43" s="15"/>
      <c r="E43" s="15"/>
      <c r="F43" s="422"/>
      <c r="G43" s="17" t="str">
        <f t="shared" si="0"/>
        <v/>
      </c>
      <c r="H43" s="18"/>
      <c r="I43" s="61"/>
      <c r="J43" s="399"/>
      <c r="K43" s="420" t="str">
        <f t="shared" si="5"/>
        <v/>
      </c>
      <c r="L43" s="401" t="str">
        <f t="shared" si="6"/>
        <v/>
      </c>
    </row>
    <row r="44" spans="2:12" x14ac:dyDescent="0.25">
      <c r="B44" s="46"/>
      <c r="C44" s="14"/>
      <c r="D44" s="15"/>
      <c r="E44" s="15"/>
      <c r="F44" s="422"/>
      <c r="G44" s="17" t="str">
        <f t="shared" si="0"/>
        <v/>
      </c>
      <c r="H44" s="18"/>
      <c r="I44" s="61"/>
      <c r="J44" s="399"/>
      <c r="K44" s="420" t="str">
        <f t="shared" si="5"/>
        <v/>
      </c>
      <c r="L44" s="401" t="str">
        <f t="shared" si="6"/>
        <v/>
      </c>
    </row>
    <row r="45" spans="2:12" x14ac:dyDescent="0.25">
      <c r="B45" s="46"/>
      <c r="C45" s="14"/>
      <c r="D45" s="15"/>
      <c r="E45" s="15"/>
      <c r="F45" s="422"/>
      <c r="G45" s="17" t="str">
        <f t="shared" si="0"/>
        <v/>
      </c>
      <c r="H45" s="18"/>
      <c r="I45" s="61"/>
      <c r="J45" s="399"/>
      <c r="K45" s="420" t="str">
        <f t="shared" si="5"/>
        <v/>
      </c>
      <c r="L45" s="401" t="str">
        <f t="shared" si="6"/>
        <v/>
      </c>
    </row>
    <row r="46" spans="2:12" x14ac:dyDescent="0.25">
      <c r="B46" s="46"/>
      <c r="C46" s="14"/>
      <c r="D46" s="15"/>
      <c r="E46" s="15"/>
      <c r="F46" s="422"/>
      <c r="G46" s="17" t="str">
        <f t="shared" si="0"/>
        <v/>
      </c>
      <c r="H46" s="18"/>
      <c r="I46" s="61"/>
      <c r="J46" s="399"/>
      <c r="K46" s="420" t="str">
        <f t="shared" si="5"/>
        <v/>
      </c>
      <c r="L46" s="401" t="str">
        <f t="shared" si="6"/>
        <v/>
      </c>
    </row>
    <row r="47" spans="2:12" x14ac:dyDescent="0.25">
      <c r="B47" s="46"/>
      <c r="C47" s="14"/>
      <c r="D47" s="15"/>
      <c r="E47" s="15"/>
      <c r="F47" s="422"/>
      <c r="G47" s="17" t="str">
        <f t="shared" si="0"/>
        <v/>
      </c>
      <c r="H47" s="18"/>
      <c r="I47" s="61"/>
      <c r="J47" s="399"/>
      <c r="K47" s="420" t="str">
        <f t="shared" si="5"/>
        <v/>
      </c>
      <c r="L47" s="401" t="str">
        <f t="shared" si="6"/>
        <v/>
      </c>
    </row>
    <row r="48" spans="2:12" x14ac:dyDescent="0.25">
      <c r="B48" s="46"/>
      <c r="C48" s="14"/>
      <c r="D48" s="15"/>
      <c r="E48" s="15"/>
      <c r="F48" s="422"/>
      <c r="G48" s="17" t="str">
        <f t="shared" si="0"/>
        <v/>
      </c>
      <c r="H48" s="18"/>
      <c r="I48" s="61"/>
      <c r="J48" s="402"/>
      <c r="K48" s="420" t="str">
        <f t="shared" si="5"/>
        <v/>
      </c>
      <c r="L48" s="401" t="str">
        <f t="shared" si="6"/>
        <v/>
      </c>
    </row>
    <row r="49" spans="2:12" x14ac:dyDescent="0.25">
      <c r="B49" s="46"/>
      <c r="C49" s="14"/>
      <c r="D49" s="15"/>
      <c r="E49" s="15"/>
      <c r="F49" s="422"/>
      <c r="G49" s="17" t="str">
        <f t="shared" si="0"/>
        <v/>
      </c>
      <c r="H49" s="18"/>
      <c r="I49" s="61"/>
      <c r="J49" s="399"/>
      <c r="K49" s="420" t="str">
        <f t="shared" si="5"/>
        <v/>
      </c>
      <c r="L49" s="401" t="str">
        <f t="shared" si="6"/>
        <v/>
      </c>
    </row>
    <row r="50" spans="2:12" x14ac:dyDescent="0.25">
      <c r="B50" s="46"/>
      <c r="C50" s="14"/>
      <c r="D50" s="15"/>
      <c r="E50" s="15"/>
      <c r="F50" s="422"/>
      <c r="G50" s="17" t="str">
        <f t="shared" si="0"/>
        <v/>
      </c>
      <c r="H50" s="18"/>
      <c r="I50" s="61"/>
      <c r="J50" s="402"/>
      <c r="K50" s="420" t="str">
        <f t="shared" si="5"/>
        <v/>
      </c>
      <c r="L50" s="401" t="str">
        <f t="shared" si="6"/>
        <v/>
      </c>
    </row>
    <row r="51" spans="2:12" x14ac:dyDescent="0.25">
      <c r="B51" s="46"/>
      <c r="C51" s="14"/>
      <c r="D51" s="15"/>
      <c r="E51" s="15"/>
      <c r="F51" s="424"/>
      <c r="G51" s="17" t="str">
        <f t="shared" si="0"/>
        <v/>
      </c>
      <c r="H51" s="18"/>
      <c r="I51" s="62"/>
      <c r="J51" s="62"/>
      <c r="K51" s="420" t="str">
        <f t="shared" si="5"/>
        <v/>
      </c>
      <c r="L51" s="401" t="str">
        <f t="shared" si="6"/>
        <v/>
      </c>
    </row>
    <row r="52" spans="2:12" x14ac:dyDescent="0.25">
      <c r="B52" s="46"/>
      <c r="C52" s="14"/>
      <c r="D52" s="15"/>
      <c r="E52" s="15"/>
      <c r="F52" s="424"/>
      <c r="G52" s="17" t="str">
        <f t="shared" si="0"/>
        <v/>
      </c>
      <c r="H52" s="18"/>
      <c r="I52" s="62"/>
      <c r="J52" s="62"/>
      <c r="K52" s="420" t="str">
        <f t="shared" si="5"/>
        <v/>
      </c>
      <c r="L52" s="401" t="str">
        <f t="shared" si="6"/>
        <v/>
      </c>
    </row>
    <row r="53" spans="2:12" x14ac:dyDescent="0.25">
      <c r="B53" s="46"/>
      <c r="C53" s="14"/>
      <c r="D53" s="15"/>
      <c r="E53" s="15"/>
      <c r="F53" s="422"/>
      <c r="G53" s="17" t="str">
        <f t="shared" si="0"/>
        <v/>
      </c>
      <c r="H53" s="18"/>
      <c r="I53" s="62"/>
      <c r="J53" s="62"/>
      <c r="K53" s="420" t="str">
        <f t="shared" si="5"/>
        <v/>
      </c>
      <c r="L53" s="401" t="str">
        <f t="shared" si="6"/>
        <v/>
      </c>
    </row>
    <row r="54" spans="2:12" x14ac:dyDescent="0.25">
      <c r="B54" s="46"/>
      <c r="C54" s="14"/>
      <c r="D54" s="15"/>
      <c r="E54" s="15"/>
      <c r="F54" s="422"/>
      <c r="G54" s="17" t="str">
        <f t="shared" si="0"/>
        <v/>
      </c>
      <c r="H54" s="18"/>
      <c r="I54" s="62"/>
      <c r="J54" s="62"/>
      <c r="K54" s="420" t="str">
        <f t="shared" si="5"/>
        <v/>
      </c>
      <c r="L54" s="401" t="str">
        <f t="shared" si="6"/>
        <v/>
      </c>
    </row>
    <row r="55" spans="2:12" ht="12" customHeight="1" x14ac:dyDescent="0.25">
      <c r="B55" s="46"/>
      <c r="C55" s="14"/>
      <c r="D55" s="15"/>
      <c r="E55" s="15"/>
      <c r="F55" s="422"/>
      <c r="G55" s="17" t="str">
        <f t="shared" si="0"/>
        <v/>
      </c>
      <c r="H55" s="18"/>
      <c r="I55" s="62"/>
      <c r="J55" s="62"/>
      <c r="K55" s="420" t="str">
        <f t="shared" si="5"/>
        <v/>
      </c>
      <c r="L55" s="401" t="str">
        <f t="shared" si="6"/>
        <v/>
      </c>
    </row>
    <row r="56" spans="2:12" x14ac:dyDescent="0.25">
      <c r="B56" s="46"/>
      <c r="C56" s="14"/>
      <c r="D56" s="15"/>
      <c r="E56" s="15"/>
      <c r="F56" s="422"/>
      <c r="G56" s="17" t="str">
        <f t="shared" si="0"/>
        <v/>
      </c>
      <c r="H56" s="18"/>
      <c r="I56" s="62"/>
      <c r="J56" s="62"/>
      <c r="K56" s="420" t="str">
        <f t="shared" si="5"/>
        <v/>
      </c>
      <c r="L56" s="401" t="str">
        <f t="shared" si="6"/>
        <v/>
      </c>
    </row>
    <row r="57" spans="2:12" ht="12" customHeight="1" x14ac:dyDescent="0.25">
      <c r="B57" s="46"/>
      <c r="C57" s="14"/>
      <c r="D57" s="15"/>
      <c r="E57" s="15"/>
      <c r="F57" s="422"/>
      <c r="G57" s="17" t="str">
        <f t="shared" si="0"/>
        <v/>
      </c>
      <c r="H57" s="18"/>
      <c r="I57" s="62"/>
      <c r="J57" s="62"/>
      <c r="K57" s="420" t="str">
        <f t="shared" si="5"/>
        <v/>
      </c>
      <c r="L57" s="401" t="str">
        <f t="shared" si="6"/>
        <v/>
      </c>
    </row>
    <row r="58" spans="2:12" x14ac:dyDescent="0.25">
      <c r="B58" s="46"/>
      <c r="C58" s="14"/>
      <c r="D58" s="15"/>
      <c r="E58" s="15"/>
      <c r="F58" s="422"/>
      <c r="G58" s="17" t="str">
        <f t="shared" si="0"/>
        <v/>
      </c>
      <c r="H58" s="18"/>
      <c r="I58" s="62"/>
      <c r="J58" s="62"/>
      <c r="K58" s="420" t="str">
        <f t="shared" si="5"/>
        <v/>
      </c>
      <c r="L58" s="401" t="str">
        <f t="shared" si="6"/>
        <v/>
      </c>
    </row>
    <row r="59" spans="2:12" ht="12" customHeight="1" x14ac:dyDescent="0.25">
      <c r="B59" s="46"/>
      <c r="C59" s="14"/>
      <c r="D59" s="61"/>
      <c r="E59" s="61"/>
      <c r="F59" s="422"/>
      <c r="G59" s="17" t="str">
        <f t="shared" si="0"/>
        <v/>
      </c>
      <c r="H59" s="63"/>
      <c r="I59" s="62"/>
      <c r="J59" s="62"/>
      <c r="K59" s="420" t="str">
        <f t="shared" si="5"/>
        <v/>
      </c>
      <c r="L59" s="401" t="str">
        <f t="shared" si="6"/>
        <v/>
      </c>
    </row>
    <row r="60" spans="2:12" ht="12" customHeight="1" x14ac:dyDescent="0.25">
      <c r="B60" s="46"/>
      <c r="C60" s="14"/>
      <c r="D60" s="15"/>
      <c r="E60" s="61"/>
      <c r="F60" s="422"/>
      <c r="G60" s="17" t="str">
        <f t="shared" si="0"/>
        <v/>
      </c>
      <c r="H60" s="63"/>
      <c r="I60" s="62"/>
      <c r="J60" s="62"/>
      <c r="K60" s="420" t="str">
        <f t="shared" si="5"/>
        <v/>
      </c>
      <c r="L60" s="401" t="str">
        <f t="shared" si="6"/>
        <v/>
      </c>
    </row>
    <row r="61" spans="2:12" ht="12" customHeight="1" x14ac:dyDescent="0.25">
      <c r="B61" s="46"/>
      <c r="C61" s="14"/>
      <c r="D61" s="15"/>
      <c r="E61" s="61"/>
      <c r="F61" s="422"/>
      <c r="G61" s="17" t="str">
        <f t="shared" si="0"/>
        <v/>
      </c>
      <c r="H61" s="63"/>
      <c r="I61" s="62"/>
      <c r="J61" s="62"/>
      <c r="K61" s="420" t="str">
        <f t="shared" si="5"/>
        <v/>
      </c>
      <c r="L61" s="401" t="str">
        <f t="shared" si="6"/>
        <v/>
      </c>
    </row>
    <row r="62" spans="2:12" ht="12" customHeight="1" x14ac:dyDescent="0.25">
      <c r="B62" s="46"/>
      <c r="C62" s="14"/>
      <c r="D62" s="15"/>
      <c r="E62" s="61"/>
      <c r="F62" s="422"/>
      <c r="G62" s="17" t="str">
        <f t="shared" si="0"/>
        <v/>
      </c>
      <c r="H62" s="63"/>
      <c r="I62" s="62"/>
      <c r="J62" s="62"/>
      <c r="K62" s="420" t="str">
        <f t="shared" si="5"/>
        <v/>
      </c>
      <c r="L62" s="401" t="str">
        <f t="shared" si="6"/>
        <v/>
      </c>
    </row>
    <row r="63" spans="2:12" ht="12" customHeight="1" x14ac:dyDescent="0.25">
      <c r="B63" s="46"/>
      <c r="C63" s="14"/>
      <c r="D63" s="15"/>
      <c r="E63" s="61"/>
      <c r="F63" s="422"/>
      <c r="G63" s="17" t="str">
        <f t="shared" si="0"/>
        <v/>
      </c>
      <c r="H63" s="63"/>
      <c r="I63" s="62"/>
      <c r="J63" s="62"/>
      <c r="K63" s="420" t="str">
        <f t="shared" si="5"/>
        <v/>
      </c>
      <c r="L63" s="401" t="str">
        <f t="shared" si="6"/>
        <v/>
      </c>
    </row>
    <row r="64" spans="2:12" ht="12" customHeight="1" x14ac:dyDescent="0.25">
      <c r="B64" s="46"/>
      <c r="C64" s="14"/>
      <c r="D64" s="15"/>
      <c r="E64" s="61"/>
      <c r="F64" s="422"/>
      <c r="G64" s="17" t="str">
        <f t="shared" si="0"/>
        <v/>
      </c>
      <c r="H64" s="63"/>
      <c r="I64" s="62"/>
      <c r="J64" s="62"/>
      <c r="K64" s="420" t="str">
        <f t="shared" si="5"/>
        <v/>
      </c>
      <c r="L64" s="401" t="str">
        <f t="shared" si="6"/>
        <v/>
      </c>
    </row>
    <row r="65" spans="2:12" ht="12" customHeight="1" x14ac:dyDescent="0.25">
      <c r="B65" s="46"/>
      <c r="C65" s="14"/>
      <c r="D65" s="15"/>
      <c r="E65" s="61"/>
      <c r="F65" s="422"/>
      <c r="G65" s="17" t="str">
        <f t="shared" si="0"/>
        <v/>
      </c>
      <c r="H65" s="63"/>
      <c r="I65" s="62"/>
      <c r="J65" s="62"/>
      <c r="K65" s="420" t="str">
        <f t="shared" si="5"/>
        <v/>
      </c>
      <c r="L65" s="401" t="str">
        <f t="shared" si="6"/>
        <v/>
      </c>
    </row>
    <row r="66" spans="2:12" ht="12" customHeight="1" x14ac:dyDescent="0.25">
      <c r="B66" s="46"/>
      <c r="C66" s="14"/>
      <c r="D66" s="15"/>
      <c r="E66" s="61"/>
      <c r="F66" s="422"/>
      <c r="G66" s="17" t="str">
        <f t="shared" si="0"/>
        <v/>
      </c>
      <c r="H66" s="63"/>
      <c r="I66" s="62"/>
      <c r="J66" s="62"/>
      <c r="K66" s="420" t="str">
        <f t="shared" si="5"/>
        <v/>
      </c>
      <c r="L66" s="401" t="str">
        <f t="shared" si="6"/>
        <v/>
      </c>
    </row>
    <row r="67" spans="2:12" ht="12" customHeight="1" x14ac:dyDescent="0.25">
      <c r="B67" s="46"/>
      <c r="C67" s="14"/>
      <c r="D67" s="15"/>
      <c r="E67" s="61"/>
      <c r="F67" s="422"/>
      <c r="G67" s="17" t="str">
        <f t="shared" si="0"/>
        <v/>
      </c>
      <c r="H67" s="63"/>
      <c r="I67" s="62"/>
      <c r="J67" s="62"/>
      <c r="K67" s="420" t="str">
        <f t="shared" si="5"/>
        <v/>
      </c>
      <c r="L67" s="401" t="str">
        <f t="shared" si="6"/>
        <v/>
      </c>
    </row>
    <row r="68" spans="2:12" ht="12" customHeight="1" x14ac:dyDescent="0.25">
      <c r="B68" s="46"/>
      <c r="C68" s="14"/>
      <c r="D68" s="15"/>
      <c r="E68" s="61"/>
      <c r="F68" s="422"/>
      <c r="G68" s="17" t="str">
        <f t="shared" si="0"/>
        <v/>
      </c>
      <c r="H68" s="63"/>
      <c r="I68" s="62"/>
      <c r="J68" s="62"/>
      <c r="K68" s="420" t="str">
        <f t="shared" si="5"/>
        <v/>
      </c>
      <c r="L68" s="401" t="str">
        <f t="shared" si="6"/>
        <v/>
      </c>
    </row>
    <row r="69" spans="2:12" ht="12" customHeight="1" x14ac:dyDescent="0.25">
      <c r="B69" s="46"/>
      <c r="C69" s="14"/>
      <c r="D69" s="15"/>
      <c r="E69" s="61"/>
      <c r="F69" s="422"/>
      <c r="G69" s="17" t="str">
        <f t="shared" si="0"/>
        <v/>
      </c>
      <c r="H69" s="63"/>
      <c r="I69" s="62"/>
      <c r="J69" s="62"/>
      <c r="K69" s="420" t="str">
        <f t="shared" si="5"/>
        <v/>
      </c>
      <c r="L69" s="401" t="str">
        <f t="shared" si="6"/>
        <v/>
      </c>
    </row>
    <row r="70" spans="2:12" ht="12" customHeight="1" x14ac:dyDescent="0.25">
      <c r="B70" s="46"/>
      <c r="C70" s="14"/>
      <c r="D70" s="61"/>
      <c r="E70" s="61"/>
      <c r="F70" s="422"/>
      <c r="G70" s="17" t="str">
        <f t="shared" si="0"/>
        <v/>
      </c>
      <c r="H70" s="63"/>
      <c r="I70" s="62"/>
      <c r="J70" s="62"/>
      <c r="K70" s="420" t="str">
        <f t="shared" si="5"/>
        <v/>
      </c>
      <c r="L70" s="401" t="str">
        <f t="shared" si="6"/>
        <v/>
      </c>
    </row>
    <row r="71" spans="2:12" ht="12" customHeight="1" x14ac:dyDescent="0.25">
      <c r="B71" s="46"/>
      <c r="C71" s="14"/>
      <c r="D71" s="15"/>
      <c r="E71" s="61"/>
      <c r="F71" s="422"/>
      <c r="G71" s="17" t="str">
        <f t="shared" si="0"/>
        <v/>
      </c>
      <c r="H71" s="63"/>
      <c r="I71" s="62"/>
      <c r="J71" s="62"/>
      <c r="K71" s="420" t="str">
        <f t="shared" si="5"/>
        <v/>
      </c>
      <c r="L71" s="401" t="str">
        <f t="shared" si="6"/>
        <v/>
      </c>
    </row>
    <row r="72" spans="2:12" ht="12" customHeight="1" x14ac:dyDescent="0.25">
      <c r="B72" s="46"/>
      <c r="C72" s="14"/>
      <c r="D72" s="61"/>
      <c r="E72" s="61"/>
      <c r="F72" s="422"/>
      <c r="G72" s="17" t="str">
        <f t="shared" si="0"/>
        <v/>
      </c>
      <c r="H72" s="63"/>
      <c r="I72" s="61"/>
      <c r="J72" s="62"/>
      <c r="K72" s="420" t="str">
        <f t="shared" si="5"/>
        <v/>
      </c>
      <c r="L72" s="401" t="str">
        <f t="shared" si="6"/>
        <v/>
      </c>
    </row>
    <row r="73" spans="2:12" x14ac:dyDescent="0.25">
      <c r="B73" s="46"/>
      <c r="C73" s="14"/>
      <c r="D73" s="15"/>
      <c r="E73" s="15"/>
      <c r="F73" s="422"/>
      <c r="G73" s="17" t="str">
        <f t="shared" si="0"/>
        <v/>
      </c>
      <c r="H73" s="18"/>
      <c r="I73" s="62"/>
      <c r="J73" s="62"/>
      <c r="K73" s="420" t="str">
        <f t="shared" si="5"/>
        <v/>
      </c>
      <c r="L73" s="401" t="str">
        <f t="shared" si="6"/>
        <v/>
      </c>
    </row>
    <row r="74" spans="2:12" ht="12" customHeight="1" x14ac:dyDescent="0.25">
      <c r="B74" s="46"/>
      <c r="C74" s="14"/>
      <c r="D74" s="61"/>
      <c r="E74" s="61"/>
      <c r="F74" s="422"/>
      <c r="G74" s="17" t="str">
        <f t="shared" si="0"/>
        <v/>
      </c>
      <c r="H74" s="69"/>
      <c r="I74" s="62"/>
      <c r="J74" s="62"/>
      <c r="K74" s="420" t="str">
        <f t="shared" si="5"/>
        <v/>
      </c>
      <c r="L74" s="401" t="str">
        <f t="shared" si="6"/>
        <v/>
      </c>
    </row>
    <row r="75" spans="2:12" x14ac:dyDescent="0.25">
      <c r="B75" s="46"/>
      <c r="C75" s="14"/>
      <c r="D75" s="61"/>
      <c r="E75" s="61"/>
      <c r="F75" s="422"/>
      <c r="G75" s="17" t="str">
        <f t="shared" si="0"/>
        <v/>
      </c>
      <c r="H75" s="63"/>
      <c r="I75" s="62"/>
      <c r="J75" s="62"/>
      <c r="K75" s="420" t="str">
        <f t="shared" si="5"/>
        <v/>
      </c>
      <c r="L75" s="401" t="str">
        <f t="shared" si="6"/>
        <v/>
      </c>
    </row>
    <row r="76" spans="2:12" ht="12" customHeight="1" x14ac:dyDescent="0.25">
      <c r="B76" s="46"/>
      <c r="C76" s="14"/>
      <c r="D76" s="15"/>
      <c r="E76" s="15"/>
      <c r="F76" s="422"/>
      <c r="G76" s="17" t="str">
        <f t="shared" si="0"/>
        <v/>
      </c>
      <c r="H76" s="18"/>
      <c r="I76" s="62"/>
      <c r="J76" s="62"/>
      <c r="K76" s="420" t="str">
        <f t="shared" si="5"/>
        <v/>
      </c>
      <c r="L76" s="401" t="str">
        <f t="shared" si="6"/>
        <v/>
      </c>
    </row>
    <row r="77" spans="2:12" x14ac:dyDescent="0.25">
      <c r="B77" s="46"/>
      <c r="C77" s="14"/>
      <c r="D77" s="15"/>
      <c r="E77" s="15"/>
      <c r="F77" s="422"/>
      <c r="G77" s="17" t="str">
        <f t="shared" si="0"/>
        <v/>
      </c>
      <c r="H77" s="18"/>
      <c r="I77" s="62"/>
      <c r="J77" s="62"/>
      <c r="K77" s="420" t="str">
        <f t="shared" si="5"/>
        <v/>
      </c>
      <c r="L77" s="401" t="str">
        <f t="shared" si="6"/>
        <v/>
      </c>
    </row>
    <row r="78" spans="2:12" ht="12" customHeight="1" x14ac:dyDescent="0.25">
      <c r="B78" s="46"/>
      <c r="C78" s="14"/>
      <c r="D78" s="15"/>
      <c r="E78" s="15"/>
      <c r="F78" s="422"/>
      <c r="G78" s="17" t="str">
        <f t="shared" si="0"/>
        <v/>
      </c>
      <c r="H78" s="18"/>
      <c r="I78" s="62"/>
      <c r="J78" s="62"/>
      <c r="K78" s="420" t="str">
        <f t="shared" si="5"/>
        <v/>
      </c>
      <c r="L78" s="401" t="str">
        <f t="shared" si="6"/>
        <v/>
      </c>
    </row>
    <row r="79" spans="2:12" x14ac:dyDescent="0.25">
      <c r="B79" s="46"/>
      <c r="C79" s="14"/>
      <c r="D79" s="15"/>
      <c r="E79" s="15"/>
      <c r="F79" s="422"/>
      <c r="G79" s="17" t="str">
        <f t="shared" si="0"/>
        <v/>
      </c>
      <c r="H79" s="18"/>
      <c r="I79" s="62"/>
      <c r="J79" s="62"/>
      <c r="K79" s="420" t="str">
        <f t="shared" si="5"/>
        <v/>
      </c>
      <c r="L79" s="401" t="str">
        <f t="shared" si="6"/>
        <v/>
      </c>
    </row>
    <row r="80" spans="2:12" ht="12" customHeight="1" x14ac:dyDescent="0.25">
      <c r="B80" s="46"/>
      <c r="C80" s="14"/>
      <c r="D80" s="15"/>
      <c r="E80" s="15"/>
      <c r="F80" s="422"/>
      <c r="G80" s="17" t="str">
        <f t="shared" si="0"/>
        <v/>
      </c>
      <c r="H80" s="18"/>
      <c r="I80" s="61"/>
      <c r="J80" s="696"/>
      <c r="K80" s="420" t="str">
        <f t="shared" ref="K80" si="9">IF(I80="","",E80*J80)</f>
        <v/>
      </c>
      <c r="L80" s="401" t="str">
        <f t="shared" ref="L80" si="10">IF(I80="","",IF(SUM(G80)=0,"",K80/G80))</f>
        <v/>
      </c>
    </row>
    <row r="81" spans="2:12" s="28" customFormat="1" ht="19.5" customHeight="1" x14ac:dyDescent="0.25">
      <c r="B81" s="135" t="str">
        <f>$B$14</f>
        <v>C13.1</v>
      </c>
      <c r="C81" s="498" t="str">
        <f>"TOTAL CARRIED FORWARD"&amp;IF(G81=G$1," TO SUMMARY (Page C"&amp;Page_B&amp;")","")</f>
        <v>TOTAL CARRIED FORWARD TO SUMMARY (Page C65)</v>
      </c>
      <c r="D81" s="31"/>
      <c r="E81" s="32"/>
      <c r="F81" s="31"/>
      <c r="G81" s="33">
        <f>SUM(G13:G80)</f>
        <v>0</v>
      </c>
      <c r="H81" s="34"/>
      <c r="I81" s="408"/>
      <c r="J81" s="406"/>
      <c r="K81" s="418">
        <f>SUM(K13:K80)</f>
        <v>0</v>
      </c>
      <c r="L81" s="407" t="str">
        <f t="shared" ref="L81" si="11">IF(I81="","",IF(SUM(G81)=0,"",K81/G81))</f>
        <v/>
      </c>
    </row>
    <row r="82" spans="2:12" ht="13" x14ac:dyDescent="0.25">
      <c r="B82" s="1108" t="str">
        <f>Client1</f>
        <v>Province of KwaZulu-Natal</v>
      </c>
      <c r="C82" s="1108"/>
      <c r="D82" s="1108"/>
      <c r="E82" s="1109" t="str">
        <f>"Contract No. "&amp;ContractNo</f>
        <v>Contract No. ZNB 00399/00000/HOD/INF/21/T</v>
      </c>
      <c r="F82" s="1109"/>
      <c r="G82" s="1109"/>
    </row>
    <row r="83" spans="2:12" ht="13" x14ac:dyDescent="0.25">
      <c r="B83" s="1108" t="str">
        <f>Client2</f>
        <v>Department of Transport</v>
      </c>
      <c r="C83" s="1108"/>
      <c r="D83" s="1108"/>
      <c r="E83" s="1109"/>
      <c r="F83" s="1109"/>
      <c r="G83" s="1109"/>
    </row>
    <row r="84" spans="2:12" x14ac:dyDescent="0.25">
      <c r="B84" s="1111"/>
      <c r="C84" s="1111"/>
      <c r="D84" s="1111"/>
      <c r="E84" s="1110"/>
      <c r="F84" s="1110"/>
      <c r="G84" s="1110"/>
    </row>
    <row r="85" spans="2:12" ht="13" x14ac:dyDescent="0.25">
      <c r="B85" s="1112" t="s">
        <v>8</v>
      </c>
      <c r="C85" s="1113"/>
      <c r="D85" s="1113"/>
      <c r="E85" s="1113"/>
      <c r="F85" s="1113"/>
      <c r="G85" s="1125" t="str">
        <f>$G$6</f>
        <v>CHAPTER C13.1</v>
      </c>
      <c r="H85" s="6"/>
    </row>
    <row r="86" spans="2:12" ht="13" x14ac:dyDescent="0.25">
      <c r="B86" s="1117" t="str">
        <f>ContractDescription</f>
        <v>THE CONSTRUCTION OF EARTHWORKS, LAYERWORKS, SURFACING, CULVERTS AND CWAKA RIVER BRIDGE FROM KM 11.600 TO KM 14.000 ON MAIN ROAD P494 IN THE KING CETSHWAYO DISTRICT UNDER EMPANGENI REGION</v>
      </c>
      <c r="C86" s="1118"/>
      <c r="D86" s="1118"/>
      <c r="E86" s="1118"/>
      <c r="F86" s="1118"/>
      <c r="G86" s="1126"/>
      <c r="H86" s="8"/>
    </row>
    <row r="87" spans="2:12" ht="13" x14ac:dyDescent="0.25">
      <c r="B87" s="1117"/>
      <c r="C87" s="1118"/>
      <c r="D87" s="1118"/>
      <c r="E87" s="1118"/>
      <c r="F87" s="1118"/>
      <c r="G87" s="1126"/>
      <c r="H87" s="8"/>
    </row>
    <row r="88" spans="2:12" ht="13" x14ac:dyDescent="0.25">
      <c r="B88" s="1119"/>
      <c r="C88" s="1120"/>
      <c r="D88" s="1120"/>
      <c r="E88" s="1120"/>
      <c r="F88" s="1120"/>
      <c r="G88" s="1127"/>
      <c r="H88" s="8"/>
    </row>
    <row r="89" spans="2:12" s="9" customFormat="1" ht="25" customHeight="1" x14ac:dyDescent="0.25">
      <c r="B89" s="74" t="s">
        <v>0</v>
      </c>
      <c r="C89" s="11" t="s">
        <v>1</v>
      </c>
      <c r="D89" s="11" t="s">
        <v>2</v>
      </c>
      <c r="E89" s="11" t="s">
        <v>3</v>
      </c>
      <c r="F89" s="11" t="s">
        <v>4</v>
      </c>
      <c r="G89" s="11" t="s">
        <v>5</v>
      </c>
      <c r="H89" s="12"/>
    </row>
    <row r="90" spans="2:12" s="28" customFormat="1" ht="19.5" customHeight="1" x14ac:dyDescent="0.25">
      <c r="B90" s="80"/>
      <c r="C90" s="30" t="s">
        <v>27</v>
      </c>
      <c r="D90" s="31"/>
      <c r="E90" s="32"/>
      <c r="F90" s="31"/>
      <c r="G90" s="33">
        <f>G81</f>
        <v>0</v>
      </c>
      <c r="H90" s="34"/>
    </row>
    <row r="91" spans="2:12" x14ac:dyDescent="0.25">
      <c r="B91" s="46"/>
      <c r="C91" s="14"/>
      <c r="D91" s="21"/>
      <c r="E91" s="21"/>
      <c r="F91" s="414"/>
      <c r="G91" s="17"/>
      <c r="H91" s="40"/>
    </row>
    <row r="92" spans="2:12" x14ac:dyDescent="0.25">
      <c r="B92" s="46"/>
      <c r="C92" s="14"/>
      <c r="D92" s="21"/>
      <c r="E92" s="21"/>
      <c r="F92" s="414"/>
      <c r="G92" s="17" t="str">
        <f t="shared" ref="G92:G112" si="12">IF(D92="","",E92*F92)</f>
        <v/>
      </c>
      <c r="H92" s="40"/>
    </row>
    <row r="93" spans="2:12" x14ac:dyDescent="0.25">
      <c r="B93" s="46"/>
      <c r="C93" s="14"/>
      <c r="D93" s="21"/>
      <c r="E93" s="21"/>
      <c r="F93" s="414"/>
      <c r="G93" s="17" t="str">
        <f t="shared" si="12"/>
        <v/>
      </c>
      <c r="H93" s="40"/>
    </row>
    <row r="94" spans="2:12" x14ac:dyDescent="0.25">
      <c r="B94" s="46"/>
      <c r="C94" s="14"/>
      <c r="D94" s="21"/>
      <c r="E94" s="21"/>
      <c r="F94" s="414"/>
      <c r="G94" s="17" t="str">
        <f t="shared" si="12"/>
        <v/>
      </c>
      <c r="H94" s="40"/>
    </row>
    <row r="95" spans="2:12" x14ac:dyDescent="0.25">
      <c r="B95" s="46"/>
      <c r="C95" s="14"/>
      <c r="D95" s="21"/>
      <c r="E95" s="21"/>
      <c r="F95" s="414"/>
      <c r="G95" s="17" t="str">
        <f t="shared" si="12"/>
        <v/>
      </c>
      <c r="H95" s="40"/>
    </row>
    <row r="96" spans="2:12" x14ac:dyDescent="0.25">
      <c r="B96" s="46"/>
      <c r="C96" s="14"/>
      <c r="D96" s="21"/>
      <c r="E96" s="21"/>
      <c r="F96" s="414"/>
      <c r="G96" s="17" t="str">
        <f t="shared" si="12"/>
        <v/>
      </c>
      <c r="H96" s="40"/>
    </row>
    <row r="97" spans="2:8" x14ac:dyDescent="0.25">
      <c r="B97" s="46"/>
      <c r="C97" s="14"/>
      <c r="D97" s="21"/>
      <c r="E97" s="21"/>
      <c r="F97" s="414"/>
      <c r="G97" s="17" t="str">
        <f t="shared" si="12"/>
        <v/>
      </c>
      <c r="H97" s="40"/>
    </row>
    <row r="98" spans="2:8" x14ac:dyDescent="0.25">
      <c r="B98" s="46"/>
      <c r="C98" s="14"/>
      <c r="D98" s="21"/>
      <c r="E98" s="21"/>
      <c r="F98" s="414"/>
      <c r="G98" s="17" t="str">
        <f t="shared" si="12"/>
        <v/>
      </c>
      <c r="H98" s="40"/>
    </row>
    <row r="99" spans="2:8" x14ac:dyDescent="0.25">
      <c r="B99" s="46"/>
      <c r="C99" s="14"/>
      <c r="D99" s="21"/>
      <c r="E99" s="21"/>
      <c r="F99" s="414"/>
      <c r="G99" s="17" t="str">
        <f t="shared" si="12"/>
        <v/>
      </c>
      <c r="H99" s="40"/>
    </row>
    <row r="100" spans="2:8" x14ac:dyDescent="0.25">
      <c r="B100" s="46"/>
      <c r="C100" s="14"/>
      <c r="D100" s="21"/>
      <c r="E100" s="21"/>
      <c r="F100" s="414"/>
      <c r="G100" s="17" t="str">
        <f t="shared" si="12"/>
        <v/>
      </c>
      <c r="H100" s="40"/>
    </row>
    <row r="101" spans="2:8" x14ac:dyDescent="0.25">
      <c r="B101" s="46"/>
      <c r="C101" s="14"/>
      <c r="D101" s="21"/>
      <c r="E101" s="21"/>
      <c r="F101" s="414"/>
      <c r="G101" s="17" t="str">
        <f t="shared" si="12"/>
        <v/>
      </c>
      <c r="H101" s="40"/>
    </row>
    <row r="102" spans="2:8" x14ac:dyDescent="0.25">
      <c r="B102" s="46"/>
      <c r="C102" s="14"/>
      <c r="D102" s="21"/>
      <c r="E102" s="21"/>
      <c r="F102" s="414"/>
      <c r="G102" s="17" t="str">
        <f t="shared" si="12"/>
        <v/>
      </c>
      <c r="H102" s="40"/>
    </row>
    <row r="103" spans="2:8" x14ac:dyDescent="0.25">
      <c r="B103" s="46"/>
      <c r="C103" s="14"/>
      <c r="D103" s="21"/>
      <c r="E103" s="21"/>
      <c r="F103" s="414"/>
      <c r="G103" s="17" t="str">
        <f t="shared" si="12"/>
        <v/>
      </c>
      <c r="H103" s="40"/>
    </row>
    <row r="104" spans="2:8" x14ac:dyDescent="0.25">
      <c r="B104" s="46"/>
      <c r="C104" s="14"/>
      <c r="D104" s="21"/>
      <c r="E104" s="21"/>
      <c r="F104" s="414"/>
      <c r="G104" s="17" t="str">
        <f t="shared" si="12"/>
        <v/>
      </c>
      <c r="H104" s="40"/>
    </row>
    <row r="105" spans="2:8" x14ac:dyDescent="0.25">
      <c r="B105" s="46"/>
      <c r="C105" s="14"/>
      <c r="D105" s="21"/>
      <c r="E105" s="21"/>
      <c r="F105" s="414"/>
      <c r="G105" s="17" t="str">
        <f t="shared" si="12"/>
        <v/>
      </c>
      <c r="H105" s="40"/>
    </row>
    <row r="106" spans="2:8" x14ac:dyDescent="0.25">
      <c r="B106" s="46"/>
      <c r="C106" s="14"/>
      <c r="D106" s="21"/>
      <c r="E106" s="21"/>
      <c r="F106" s="414"/>
      <c r="G106" s="17" t="str">
        <f t="shared" si="12"/>
        <v/>
      </c>
      <c r="H106" s="40"/>
    </row>
    <row r="107" spans="2:8" x14ac:dyDescent="0.25">
      <c r="B107" s="46"/>
      <c r="C107" s="14"/>
      <c r="D107" s="21"/>
      <c r="E107" s="21"/>
      <c r="F107" s="414"/>
      <c r="G107" s="17" t="str">
        <f t="shared" si="12"/>
        <v/>
      </c>
      <c r="H107" s="40"/>
    </row>
    <row r="108" spans="2:8" x14ac:dyDescent="0.25">
      <c r="B108" s="46"/>
      <c r="C108" s="14"/>
      <c r="D108" s="21"/>
      <c r="E108" s="21"/>
      <c r="F108" s="414"/>
      <c r="G108" s="17" t="str">
        <f t="shared" si="12"/>
        <v/>
      </c>
      <c r="H108" s="40"/>
    </row>
    <row r="109" spans="2:8" x14ac:dyDescent="0.25">
      <c r="B109" s="46"/>
      <c r="C109" s="14"/>
      <c r="D109" s="21"/>
      <c r="E109" s="21"/>
      <c r="F109" s="414"/>
      <c r="G109" s="17" t="str">
        <f t="shared" si="12"/>
        <v/>
      </c>
      <c r="H109" s="40"/>
    </row>
    <row r="110" spans="2:8" x14ac:dyDescent="0.25">
      <c r="B110" s="46"/>
      <c r="C110" s="14"/>
      <c r="D110" s="21"/>
      <c r="E110" s="21"/>
      <c r="F110" s="414"/>
      <c r="G110" s="17" t="str">
        <f t="shared" si="12"/>
        <v/>
      </c>
      <c r="H110" s="40"/>
    </row>
    <row r="111" spans="2:8" x14ac:dyDescent="0.25">
      <c r="B111" s="46"/>
      <c r="C111" s="14"/>
      <c r="D111" s="21"/>
      <c r="E111" s="21"/>
      <c r="F111" s="414"/>
      <c r="G111" s="17" t="str">
        <f t="shared" si="12"/>
        <v/>
      </c>
      <c r="H111" s="40"/>
    </row>
    <row r="112" spans="2:8" x14ac:dyDescent="0.25">
      <c r="B112" s="46"/>
      <c r="C112" s="14"/>
      <c r="D112" s="21"/>
      <c r="E112" s="21"/>
      <c r="F112" s="414"/>
      <c r="G112" s="17" t="str">
        <f t="shared" si="12"/>
        <v/>
      </c>
      <c r="H112" s="40"/>
    </row>
    <row r="113" spans="2:8" x14ac:dyDescent="0.25">
      <c r="B113" s="46"/>
      <c r="C113" s="14"/>
      <c r="D113" s="21"/>
      <c r="E113" s="21"/>
      <c r="F113" s="414"/>
      <c r="G113" s="17"/>
      <c r="H113" s="40"/>
    </row>
    <row r="114" spans="2:8" x14ac:dyDescent="0.25">
      <c r="B114" s="46"/>
      <c r="C114" s="14"/>
      <c r="D114" s="21"/>
      <c r="E114" s="21"/>
      <c r="F114" s="414"/>
      <c r="G114" s="17" t="str">
        <f>IF(D114="","",E114*F114)</f>
        <v/>
      </c>
      <c r="H114" s="40"/>
    </row>
    <row r="115" spans="2:8" x14ac:dyDescent="0.25">
      <c r="B115" s="46"/>
      <c r="C115" s="14"/>
      <c r="D115" s="21"/>
      <c r="E115" s="21"/>
      <c r="F115" s="414"/>
      <c r="G115" s="17"/>
      <c r="H115" s="40"/>
    </row>
    <row r="116" spans="2:8" x14ac:dyDescent="0.25">
      <c r="B116" s="46"/>
      <c r="C116" s="14"/>
      <c r="D116" s="21"/>
      <c r="E116" s="21"/>
      <c r="F116" s="414"/>
      <c r="G116" s="17" t="str">
        <f>IF(D116="","",E116*F116)</f>
        <v/>
      </c>
      <c r="H116" s="40"/>
    </row>
    <row r="117" spans="2:8" x14ac:dyDescent="0.25">
      <c r="B117" s="46"/>
      <c r="C117" s="14"/>
      <c r="D117" s="21"/>
      <c r="E117" s="21"/>
      <c r="F117" s="414"/>
      <c r="G117" s="17"/>
      <c r="H117" s="40"/>
    </row>
    <row r="118" spans="2:8" x14ac:dyDescent="0.25">
      <c r="B118" s="46"/>
      <c r="C118" s="14"/>
      <c r="D118" s="21"/>
      <c r="E118" s="21"/>
      <c r="F118" s="414"/>
      <c r="G118" s="17" t="str">
        <f>IF(D118="","",E118*F118)</f>
        <v/>
      </c>
      <c r="H118" s="40"/>
    </row>
    <row r="119" spans="2:8" x14ac:dyDescent="0.25">
      <c r="B119" s="46"/>
      <c r="C119" s="14"/>
      <c r="D119" s="21"/>
      <c r="E119" s="21"/>
      <c r="F119" s="414"/>
      <c r="G119" s="17"/>
      <c r="H119" s="40"/>
    </row>
    <row r="120" spans="2:8" x14ac:dyDescent="0.25">
      <c r="B120" s="46"/>
      <c r="C120" s="14"/>
      <c r="D120" s="21"/>
      <c r="E120" s="21"/>
      <c r="F120" s="414"/>
      <c r="G120" s="17" t="str">
        <f>IF(D120="","",E120*F120)</f>
        <v/>
      </c>
      <c r="H120" s="40"/>
    </row>
    <row r="121" spans="2:8" x14ac:dyDescent="0.25">
      <c r="B121" s="46"/>
      <c r="C121" s="14"/>
      <c r="D121" s="21"/>
      <c r="E121" s="21"/>
      <c r="F121" s="414"/>
      <c r="G121" s="17"/>
      <c r="H121" s="40"/>
    </row>
    <row r="122" spans="2:8" x14ac:dyDescent="0.25">
      <c r="B122" s="46"/>
      <c r="C122" s="14"/>
      <c r="D122" s="21"/>
      <c r="E122" s="21"/>
      <c r="F122" s="414"/>
      <c r="G122" s="17" t="str">
        <f>IF(D122="","",E122*F122)</f>
        <v/>
      </c>
      <c r="H122" s="40"/>
    </row>
    <row r="123" spans="2:8" x14ac:dyDescent="0.25">
      <c r="B123" s="46"/>
      <c r="C123" s="14"/>
      <c r="D123" s="21"/>
      <c r="E123" s="21"/>
      <c r="F123" s="414"/>
      <c r="G123" s="17" t="str">
        <f>IF(D123="","",E123*F123)</f>
        <v/>
      </c>
      <c r="H123" s="40"/>
    </row>
    <row r="124" spans="2:8" x14ac:dyDescent="0.25">
      <c r="B124" s="46"/>
      <c r="C124" s="14"/>
      <c r="D124" s="21"/>
      <c r="E124" s="21"/>
      <c r="F124" s="414"/>
      <c r="G124" s="17" t="str">
        <f>IF(D124="","",E124*F124)</f>
        <v/>
      </c>
      <c r="H124" s="40"/>
    </row>
    <row r="125" spans="2:8" x14ac:dyDescent="0.25">
      <c r="B125" s="46"/>
      <c r="C125" s="14"/>
      <c r="D125" s="21"/>
      <c r="E125" s="21"/>
      <c r="F125" s="414"/>
      <c r="G125" s="17" t="str">
        <f>IF(D125="","",E125*F125)</f>
        <v/>
      </c>
      <c r="H125" s="40"/>
    </row>
    <row r="126" spans="2:8" x14ac:dyDescent="0.25">
      <c r="B126" s="46"/>
      <c r="C126" s="14"/>
      <c r="D126" s="21"/>
      <c r="E126" s="21"/>
      <c r="F126" s="414"/>
      <c r="G126" s="17" t="str">
        <f>IF(D126="","",E126*F126)</f>
        <v/>
      </c>
      <c r="H126" s="40"/>
    </row>
    <row r="127" spans="2:8" x14ac:dyDescent="0.25">
      <c r="B127" s="46"/>
      <c r="C127" s="14"/>
      <c r="D127" s="21"/>
      <c r="E127" s="21"/>
      <c r="F127" s="414"/>
      <c r="G127" s="17"/>
      <c r="H127" s="40"/>
    </row>
    <row r="128" spans="2:8" x14ac:dyDescent="0.25">
      <c r="B128" s="46"/>
      <c r="C128" s="14"/>
      <c r="D128" s="21"/>
      <c r="E128" s="21"/>
      <c r="F128" s="414"/>
      <c r="G128" s="17" t="str">
        <f>IF(D128="","",E128*F128)</f>
        <v/>
      </c>
      <c r="H128" s="40"/>
    </row>
    <row r="129" spans="2:8" x14ac:dyDescent="0.25">
      <c r="B129" s="46"/>
      <c r="C129" s="14"/>
      <c r="D129" s="21"/>
      <c r="E129" s="21"/>
      <c r="F129" s="414"/>
      <c r="G129" s="17"/>
      <c r="H129" s="40"/>
    </row>
    <row r="130" spans="2:8" x14ac:dyDescent="0.25">
      <c r="B130" s="46"/>
      <c r="C130" s="14"/>
      <c r="D130" s="21"/>
      <c r="E130" s="21"/>
      <c r="F130" s="414"/>
      <c r="G130" s="17" t="str">
        <f>IF(D130="","",E130*F130)</f>
        <v/>
      </c>
      <c r="H130" s="40"/>
    </row>
    <row r="131" spans="2:8" ht="12" customHeight="1" x14ac:dyDescent="0.25">
      <c r="B131" s="46"/>
      <c r="C131" s="14"/>
      <c r="D131" s="21"/>
      <c r="E131" s="21"/>
      <c r="F131" s="414"/>
      <c r="G131" s="17"/>
      <c r="H131" s="40"/>
    </row>
    <row r="132" spans="2:8" x14ac:dyDescent="0.25">
      <c r="B132" s="46"/>
      <c r="C132" s="14"/>
      <c r="D132" s="21"/>
      <c r="E132" s="21"/>
      <c r="F132" s="414"/>
      <c r="G132" s="17" t="str">
        <f>IF(D132="","",E132*F132)</f>
        <v/>
      </c>
      <c r="H132" s="40"/>
    </row>
    <row r="133" spans="2:8" ht="12" customHeight="1" x14ac:dyDescent="0.25">
      <c r="B133" s="46"/>
      <c r="C133" s="14"/>
      <c r="D133" s="21"/>
      <c r="E133" s="21"/>
      <c r="F133" s="414"/>
      <c r="G133" s="17"/>
      <c r="H133" s="40"/>
    </row>
    <row r="134" spans="2:8" x14ac:dyDescent="0.25">
      <c r="B134" s="46"/>
      <c r="C134" s="14"/>
      <c r="D134" s="21"/>
      <c r="E134" s="21"/>
      <c r="F134" s="414"/>
      <c r="G134" s="17" t="str">
        <f>IF(D134="","",E134*F134)</f>
        <v/>
      </c>
      <c r="H134" s="40"/>
    </row>
    <row r="135" spans="2:8" ht="12" customHeight="1" x14ac:dyDescent="0.25">
      <c r="B135" s="46"/>
      <c r="C135" s="14"/>
      <c r="D135" s="21"/>
      <c r="E135" s="21"/>
      <c r="F135" s="414"/>
      <c r="G135" s="17"/>
      <c r="H135" s="40"/>
    </row>
    <row r="136" spans="2:8" x14ac:dyDescent="0.25">
      <c r="B136" s="46"/>
      <c r="C136" s="14"/>
      <c r="D136" s="21"/>
      <c r="E136" s="21"/>
      <c r="F136" s="414"/>
      <c r="G136" s="17" t="str">
        <f t="shared" ref="G136:G145" si="13">IF(D136="","",E136*F136)</f>
        <v/>
      </c>
      <c r="H136" s="40"/>
    </row>
    <row r="137" spans="2:8" ht="12" customHeight="1" x14ac:dyDescent="0.25">
      <c r="B137" s="46"/>
      <c r="C137" s="14"/>
      <c r="D137" s="21"/>
      <c r="E137" s="21"/>
      <c r="F137" s="414"/>
      <c r="G137" s="17" t="str">
        <f t="shared" si="13"/>
        <v/>
      </c>
      <c r="H137" s="40"/>
    </row>
    <row r="138" spans="2:8" x14ac:dyDescent="0.25">
      <c r="B138" s="46"/>
      <c r="C138" s="14"/>
      <c r="D138" s="21"/>
      <c r="E138" s="21"/>
      <c r="F138" s="414"/>
      <c r="G138" s="17" t="str">
        <f t="shared" si="13"/>
        <v/>
      </c>
      <c r="H138" s="40"/>
    </row>
    <row r="139" spans="2:8" ht="12" customHeight="1" x14ac:dyDescent="0.25">
      <c r="B139" s="46"/>
      <c r="C139" s="14"/>
      <c r="D139" s="21"/>
      <c r="E139" s="21"/>
      <c r="F139" s="414"/>
      <c r="G139" s="17" t="str">
        <f t="shared" si="13"/>
        <v/>
      </c>
      <c r="H139" s="40"/>
    </row>
    <row r="140" spans="2:8" x14ac:dyDescent="0.25">
      <c r="B140" s="46"/>
      <c r="C140" s="14"/>
      <c r="D140" s="21"/>
      <c r="E140" s="21"/>
      <c r="F140" s="414"/>
      <c r="G140" s="17" t="str">
        <f t="shared" si="13"/>
        <v/>
      </c>
      <c r="H140" s="40"/>
    </row>
    <row r="141" spans="2:8" ht="12" customHeight="1" x14ac:dyDescent="0.25">
      <c r="B141" s="46"/>
      <c r="C141" s="14"/>
      <c r="D141" s="21"/>
      <c r="E141" s="21"/>
      <c r="F141" s="414"/>
      <c r="G141" s="17" t="str">
        <f t="shared" si="13"/>
        <v/>
      </c>
      <c r="H141" s="40"/>
    </row>
    <row r="142" spans="2:8" x14ac:dyDescent="0.25">
      <c r="B142" s="46"/>
      <c r="C142" s="14"/>
      <c r="D142" s="21"/>
      <c r="E142" s="21"/>
      <c r="F142" s="414"/>
      <c r="G142" s="17" t="str">
        <f t="shared" si="13"/>
        <v/>
      </c>
      <c r="H142" s="40"/>
    </row>
    <row r="143" spans="2:8" ht="12" customHeight="1" x14ac:dyDescent="0.25">
      <c r="B143" s="46"/>
      <c r="C143" s="14"/>
      <c r="D143" s="21"/>
      <c r="E143" s="21"/>
      <c r="F143" s="414"/>
      <c r="G143" s="17" t="str">
        <f t="shared" si="13"/>
        <v/>
      </c>
      <c r="H143" s="40"/>
    </row>
    <row r="144" spans="2:8" x14ac:dyDescent="0.25">
      <c r="B144" s="46"/>
      <c r="C144" s="14"/>
      <c r="D144" s="21"/>
      <c r="E144" s="21"/>
      <c r="F144" s="414"/>
      <c r="G144" s="17" t="str">
        <f t="shared" si="13"/>
        <v/>
      </c>
      <c r="H144" s="40"/>
    </row>
    <row r="145" spans="2:8" ht="12" customHeight="1" x14ac:dyDescent="0.25">
      <c r="B145" s="46"/>
      <c r="C145" s="14"/>
      <c r="D145" s="21"/>
      <c r="E145" s="21"/>
      <c r="F145" s="414"/>
      <c r="G145" s="17" t="str">
        <f t="shared" si="13"/>
        <v/>
      </c>
      <c r="H145" s="40"/>
    </row>
    <row r="146" spans="2:8" s="28" customFormat="1" ht="19.5" customHeight="1" x14ac:dyDescent="0.25">
      <c r="B146" s="135" t="str">
        <f>$B$14</f>
        <v>C13.1</v>
      </c>
      <c r="C146" s="498" t="str">
        <f>"TOTAL CARRIED FORWARD"&amp;IF(G146=G$1," TO SUMMARY (Page C"&amp;Page_A&amp;")","")</f>
        <v>TOTAL CARRIED FORWARD TO SUMMARY (Page C48)</v>
      </c>
      <c r="D146" s="31"/>
      <c r="E146" s="32"/>
      <c r="F146" s="31"/>
      <c r="G146" s="33">
        <f>SUM(G90:G145)</f>
        <v>0</v>
      </c>
      <c r="H146" s="34"/>
    </row>
    <row r="147" spans="2:8" ht="13" x14ac:dyDescent="0.25">
      <c r="B147" s="1108" t="str">
        <f>Client1</f>
        <v>Province of KwaZulu-Natal</v>
      </c>
      <c r="C147" s="1108"/>
      <c r="D147" s="1108"/>
      <c r="E147" s="1109" t="str">
        <f>"Contract No. "&amp;ContractNo</f>
        <v>Contract No. ZNB 00399/00000/HOD/INF/21/T</v>
      </c>
      <c r="F147" s="1109"/>
      <c r="G147" s="1109"/>
    </row>
    <row r="148" spans="2:8" ht="13" x14ac:dyDescent="0.25">
      <c r="B148" s="1108" t="str">
        <f>Client2</f>
        <v>Department of Transport</v>
      </c>
      <c r="C148" s="1108"/>
      <c r="D148" s="1108"/>
      <c r="E148" s="1109"/>
      <c r="F148" s="1109"/>
      <c r="G148" s="1109"/>
    </row>
    <row r="149" spans="2:8" x14ac:dyDescent="0.25">
      <c r="B149" s="1111"/>
      <c r="C149" s="1111"/>
      <c r="D149" s="1111"/>
      <c r="E149" s="1110"/>
      <c r="F149" s="1110"/>
      <c r="G149" s="1110"/>
    </row>
    <row r="150" spans="2:8" ht="13" x14ac:dyDescent="0.25">
      <c r="B150" s="1112" t="s">
        <v>8</v>
      </c>
      <c r="C150" s="1113"/>
      <c r="D150" s="1113"/>
      <c r="E150" s="1113"/>
      <c r="F150" s="1113"/>
      <c r="G150" s="1125" t="str">
        <f>$G$6</f>
        <v>CHAPTER C13.1</v>
      </c>
      <c r="H150" s="6"/>
    </row>
    <row r="151" spans="2:8" ht="13" x14ac:dyDescent="0.25">
      <c r="B151" s="1117" t="str">
        <f>ContractDescription</f>
        <v>THE CONSTRUCTION OF EARTHWORKS, LAYERWORKS, SURFACING, CULVERTS AND CWAKA RIVER BRIDGE FROM KM 11.600 TO KM 14.000 ON MAIN ROAD P494 IN THE KING CETSHWAYO DISTRICT UNDER EMPANGENI REGION</v>
      </c>
      <c r="C151" s="1118"/>
      <c r="D151" s="1118"/>
      <c r="E151" s="1118"/>
      <c r="F151" s="1118"/>
      <c r="G151" s="1126"/>
      <c r="H151" s="8"/>
    </row>
    <row r="152" spans="2:8" ht="13" x14ac:dyDescent="0.25">
      <c r="B152" s="1117"/>
      <c r="C152" s="1118"/>
      <c r="D152" s="1118"/>
      <c r="E152" s="1118"/>
      <c r="F152" s="1118"/>
      <c r="G152" s="1126"/>
      <c r="H152" s="8"/>
    </row>
    <row r="153" spans="2:8" ht="13" x14ac:dyDescent="0.25">
      <c r="B153" s="1119"/>
      <c r="C153" s="1120"/>
      <c r="D153" s="1120"/>
      <c r="E153" s="1120"/>
      <c r="F153" s="1120"/>
      <c r="G153" s="1127"/>
      <c r="H153" s="8"/>
    </row>
    <row r="154" spans="2:8" s="9" customFormat="1" ht="25" customHeight="1" x14ac:dyDescent="0.25">
      <c r="B154" s="74" t="s">
        <v>0</v>
      </c>
      <c r="C154" s="11" t="s">
        <v>1</v>
      </c>
      <c r="D154" s="11" t="s">
        <v>2</v>
      </c>
      <c r="E154" s="11" t="s">
        <v>3</v>
      </c>
      <c r="F154" s="11" t="s">
        <v>4</v>
      </c>
      <c r="G154" s="11" t="s">
        <v>5</v>
      </c>
      <c r="H154" s="12"/>
    </row>
    <row r="155" spans="2:8" s="28" customFormat="1" ht="19.5" customHeight="1" x14ac:dyDescent="0.25">
      <c r="B155" s="80"/>
      <c r="C155" s="30" t="s">
        <v>27</v>
      </c>
      <c r="D155" s="31"/>
      <c r="E155" s="32"/>
      <c r="F155" s="31"/>
      <c r="G155" s="33">
        <f>G146</f>
        <v>0</v>
      </c>
      <c r="H155" s="34"/>
    </row>
    <row r="156" spans="2:8" ht="11.9" customHeight="1" x14ac:dyDescent="0.25">
      <c r="B156" s="46"/>
      <c r="C156" s="14"/>
      <c r="D156" s="21"/>
      <c r="E156" s="21"/>
      <c r="F156" s="414"/>
      <c r="G156" s="17"/>
      <c r="H156" s="40"/>
    </row>
    <row r="157" spans="2:8" x14ac:dyDescent="0.25">
      <c r="B157" s="46"/>
      <c r="C157" s="14"/>
      <c r="D157" s="21"/>
      <c r="E157" s="21"/>
      <c r="F157" s="414"/>
      <c r="G157" s="17" t="str">
        <f t="shared" ref="G157:G214" si="14">IF(D157="","",E157*F157)</f>
        <v/>
      </c>
      <c r="H157" s="40"/>
    </row>
    <row r="158" spans="2:8" ht="11.9" customHeight="1" x14ac:dyDescent="0.25">
      <c r="B158" s="46"/>
      <c r="C158" s="14"/>
      <c r="D158" s="21"/>
      <c r="E158" s="21"/>
      <c r="F158" s="414"/>
      <c r="G158" s="17" t="str">
        <f t="shared" si="14"/>
        <v/>
      </c>
      <c r="H158" s="40"/>
    </row>
    <row r="159" spans="2:8" x14ac:dyDescent="0.25">
      <c r="B159" s="46"/>
      <c r="C159" s="14"/>
      <c r="D159" s="21"/>
      <c r="E159" s="21"/>
      <c r="F159" s="414"/>
      <c r="G159" s="17" t="str">
        <f t="shared" si="14"/>
        <v/>
      </c>
      <c r="H159" s="40"/>
    </row>
    <row r="160" spans="2:8" ht="11.9" customHeight="1" x14ac:dyDescent="0.25">
      <c r="B160" s="46"/>
      <c r="C160" s="14"/>
      <c r="D160" s="21"/>
      <c r="E160" s="21"/>
      <c r="F160" s="414"/>
      <c r="G160" s="17" t="str">
        <f t="shared" si="14"/>
        <v/>
      </c>
      <c r="H160" s="40"/>
    </row>
    <row r="161" spans="2:8" x14ac:dyDescent="0.25">
      <c r="B161" s="46"/>
      <c r="C161" s="14"/>
      <c r="D161" s="21"/>
      <c r="E161" s="21"/>
      <c r="F161" s="414"/>
      <c r="G161" s="17" t="str">
        <f t="shared" si="14"/>
        <v/>
      </c>
      <c r="H161" s="40"/>
    </row>
    <row r="162" spans="2:8" ht="11.9" customHeight="1" x14ac:dyDescent="0.25">
      <c r="B162" s="46"/>
      <c r="C162" s="14"/>
      <c r="D162" s="21"/>
      <c r="E162" s="21"/>
      <c r="F162" s="414"/>
      <c r="G162" s="17" t="str">
        <f t="shared" si="14"/>
        <v/>
      </c>
      <c r="H162" s="40"/>
    </row>
    <row r="163" spans="2:8" x14ac:dyDescent="0.25">
      <c r="B163" s="46"/>
      <c r="C163" s="14"/>
      <c r="D163" s="21"/>
      <c r="E163" s="21"/>
      <c r="F163" s="414"/>
      <c r="G163" s="17" t="str">
        <f t="shared" si="14"/>
        <v/>
      </c>
      <c r="H163" s="40"/>
    </row>
    <row r="164" spans="2:8" ht="11.9" customHeight="1" x14ac:dyDescent="0.25">
      <c r="B164" s="46"/>
      <c r="C164" s="14"/>
      <c r="D164" s="21"/>
      <c r="E164" s="21"/>
      <c r="F164" s="414"/>
      <c r="G164" s="17" t="str">
        <f t="shared" si="14"/>
        <v/>
      </c>
      <c r="H164" s="40"/>
    </row>
    <row r="165" spans="2:8" x14ac:dyDescent="0.25">
      <c r="B165" s="46"/>
      <c r="C165" s="14"/>
      <c r="D165" s="21"/>
      <c r="E165" s="21"/>
      <c r="F165" s="414"/>
      <c r="G165" s="17" t="str">
        <f t="shared" si="14"/>
        <v/>
      </c>
      <c r="H165" s="40"/>
    </row>
    <row r="166" spans="2:8" ht="11.9" customHeight="1" x14ac:dyDescent="0.25">
      <c r="B166" s="46"/>
      <c r="C166" s="14"/>
      <c r="D166" s="21"/>
      <c r="E166" s="21"/>
      <c r="F166" s="414"/>
      <c r="G166" s="17" t="str">
        <f t="shared" si="14"/>
        <v/>
      </c>
      <c r="H166" s="40"/>
    </row>
    <row r="167" spans="2:8" x14ac:dyDescent="0.25">
      <c r="B167" s="46"/>
      <c r="C167" s="14"/>
      <c r="D167" s="21"/>
      <c r="E167" s="21"/>
      <c r="F167" s="414"/>
      <c r="G167" s="17" t="str">
        <f t="shared" si="14"/>
        <v/>
      </c>
      <c r="H167" s="40"/>
    </row>
    <row r="168" spans="2:8" ht="11.9" customHeight="1" x14ac:dyDescent="0.25">
      <c r="B168" s="46"/>
      <c r="C168" s="14"/>
      <c r="D168" s="21"/>
      <c r="E168" s="21"/>
      <c r="F168" s="414"/>
      <c r="G168" s="17" t="str">
        <f t="shared" si="14"/>
        <v/>
      </c>
      <c r="H168" s="40"/>
    </row>
    <row r="169" spans="2:8" x14ac:dyDescent="0.25">
      <c r="B169" s="46"/>
      <c r="C169" s="14"/>
      <c r="D169" s="21"/>
      <c r="E169" s="21"/>
      <c r="F169" s="414"/>
      <c r="G169" s="17" t="str">
        <f t="shared" si="14"/>
        <v/>
      </c>
      <c r="H169" s="40"/>
    </row>
    <row r="170" spans="2:8" ht="11.9" customHeight="1" x14ac:dyDescent="0.25">
      <c r="B170" s="46"/>
      <c r="C170" s="14"/>
      <c r="D170" s="21"/>
      <c r="E170" s="21"/>
      <c r="F170" s="414"/>
      <c r="G170" s="17" t="str">
        <f t="shared" si="14"/>
        <v/>
      </c>
      <c r="H170" s="40"/>
    </row>
    <row r="171" spans="2:8" x14ac:dyDescent="0.25">
      <c r="B171" s="46"/>
      <c r="C171" s="14"/>
      <c r="D171" s="21"/>
      <c r="E171" s="21"/>
      <c r="F171" s="414"/>
      <c r="G171" s="17" t="str">
        <f t="shared" si="14"/>
        <v/>
      </c>
      <c r="H171" s="40"/>
    </row>
    <row r="172" spans="2:8" ht="11.9" customHeight="1" x14ac:dyDescent="0.25">
      <c r="B172" s="46"/>
      <c r="C172" s="14"/>
      <c r="D172" s="21"/>
      <c r="E172" s="21"/>
      <c r="F172" s="414"/>
      <c r="G172" s="17" t="str">
        <f t="shared" si="14"/>
        <v/>
      </c>
      <c r="H172" s="40"/>
    </row>
    <row r="173" spans="2:8" x14ac:dyDescent="0.25">
      <c r="B173" s="46"/>
      <c r="C173" s="14"/>
      <c r="D173" s="21"/>
      <c r="E173" s="21"/>
      <c r="F173" s="414"/>
      <c r="G173" s="17" t="str">
        <f t="shared" si="14"/>
        <v/>
      </c>
      <c r="H173" s="40"/>
    </row>
    <row r="174" spans="2:8" ht="11.9" customHeight="1" x14ac:dyDescent="0.25">
      <c r="B174" s="46"/>
      <c r="C174" s="14"/>
      <c r="D174" s="21"/>
      <c r="E174" s="21"/>
      <c r="F174" s="414"/>
      <c r="G174" s="17" t="str">
        <f t="shared" si="14"/>
        <v/>
      </c>
      <c r="H174" s="40"/>
    </row>
    <row r="175" spans="2:8" x14ac:dyDescent="0.25">
      <c r="B175" s="46"/>
      <c r="C175" s="14"/>
      <c r="D175" s="21"/>
      <c r="E175" s="21"/>
      <c r="F175" s="414"/>
      <c r="G175" s="17" t="str">
        <f t="shared" si="14"/>
        <v/>
      </c>
      <c r="H175" s="40"/>
    </row>
    <row r="176" spans="2:8" ht="11.9" customHeight="1" x14ac:dyDescent="0.25">
      <c r="B176" s="46"/>
      <c r="C176" s="14"/>
      <c r="D176" s="21"/>
      <c r="E176" s="21"/>
      <c r="F176" s="414"/>
      <c r="G176" s="17" t="str">
        <f t="shared" si="14"/>
        <v/>
      </c>
      <c r="H176" s="40"/>
    </row>
    <row r="177" spans="2:8" x14ac:dyDescent="0.25">
      <c r="B177" s="46"/>
      <c r="C177" s="14"/>
      <c r="D177" s="21"/>
      <c r="E177" s="21"/>
      <c r="F177" s="414"/>
      <c r="G177" s="17" t="str">
        <f t="shared" si="14"/>
        <v/>
      </c>
      <c r="H177" s="40"/>
    </row>
    <row r="178" spans="2:8" ht="11.9" customHeight="1" x14ac:dyDescent="0.25">
      <c r="B178" s="46"/>
      <c r="C178" s="14"/>
      <c r="D178" s="21"/>
      <c r="E178" s="21"/>
      <c r="F178" s="414"/>
      <c r="G178" s="17" t="str">
        <f t="shared" si="14"/>
        <v/>
      </c>
      <c r="H178" s="40"/>
    </row>
    <row r="179" spans="2:8" x14ac:dyDescent="0.25">
      <c r="B179" s="46"/>
      <c r="C179" s="14"/>
      <c r="D179" s="21"/>
      <c r="E179" s="21"/>
      <c r="F179" s="414"/>
      <c r="G179" s="17" t="str">
        <f t="shared" si="14"/>
        <v/>
      </c>
      <c r="H179" s="40"/>
    </row>
    <row r="180" spans="2:8" ht="11.9" customHeight="1" x14ac:dyDescent="0.25">
      <c r="B180" s="46"/>
      <c r="C180" s="14"/>
      <c r="D180" s="21"/>
      <c r="E180" s="21"/>
      <c r="F180" s="414"/>
      <c r="G180" s="17" t="str">
        <f t="shared" si="14"/>
        <v/>
      </c>
      <c r="H180" s="40"/>
    </row>
    <row r="181" spans="2:8" x14ac:dyDescent="0.25">
      <c r="B181" s="46"/>
      <c r="C181" s="14"/>
      <c r="D181" s="21"/>
      <c r="E181" s="21"/>
      <c r="F181" s="414"/>
      <c r="G181" s="17" t="str">
        <f t="shared" si="14"/>
        <v/>
      </c>
      <c r="H181" s="40"/>
    </row>
    <row r="182" spans="2:8" ht="11.9" customHeight="1" x14ac:dyDescent="0.25">
      <c r="B182" s="46"/>
      <c r="C182" s="14"/>
      <c r="D182" s="21"/>
      <c r="E182" s="21"/>
      <c r="F182" s="414"/>
      <c r="G182" s="17" t="str">
        <f t="shared" si="14"/>
        <v/>
      </c>
      <c r="H182" s="40"/>
    </row>
    <row r="183" spans="2:8" x14ac:dyDescent="0.25">
      <c r="B183" s="46"/>
      <c r="C183" s="14"/>
      <c r="D183" s="21"/>
      <c r="E183" s="21"/>
      <c r="F183" s="414"/>
      <c r="G183" s="17" t="str">
        <f t="shared" si="14"/>
        <v/>
      </c>
      <c r="H183" s="40"/>
    </row>
    <row r="184" spans="2:8" ht="11.9" customHeight="1" x14ac:dyDescent="0.25">
      <c r="B184" s="46"/>
      <c r="C184" s="14"/>
      <c r="D184" s="21"/>
      <c r="E184" s="21"/>
      <c r="F184" s="414"/>
      <c r="G184" s="17" t="str">
        <f t="shared" si="14"/>
        <v/>
      </c>
      <c r="H184" s="40"/>
    </row>
    <row r="185" spans="2:8" x14ac:dyDescent="0.25">
      <c r="B185" s="46"/>
      <c r="C185" s="14"/>
      <c r="D185" s="21"/>
      <c r="E185" s="21"/>
      <c r="F185" s="414"/>
      <c r="G185" s="17" t="str">
        <f t="shared" si="14"/>
        <v/>
      </c>
      <c r="H185" s="40"/>
    </row>
    <row r="186" spans="2:8" ht="11.9" customHeight="1" x14ac:dyDescent="0.25">
      <c r="B186" s="46"/>
      <c r="C186" s="14"/>
      <c r="D186" s="21"/>
      <c r="E186" s="21"/>
      <c r="F186" s="414"/>
      <c r="G186" s="17" t="str">
        <f t="shared" si="14"/>
        <v/>
      </c>
      <c r="H186" s="40"/>
    </row>
    <row r="187" spans="2:8" x14ac:dyDescent="0.25">
      <c r="B187" s="46"/>
      <c r="C187" s="14"/>
      <c r="D187" s="21"/>
      <c r="E187" s="21"/>
      <c r="F187" s="414"/>
      <c r="G187" s="17" t="str">
        <f t="shared" si="14"/>
        <v/>
      </c>
      <c r="H187" s="40"/>
    </row>
    <row r="188" spans="2:8" ht="11.9" customHeight="1" x14ac:dyDescent="0.25">
      <c r="B188" s="46"/>
      <c r="C188" s="14"/>
      <c r="D188" s="21"/>
      <c r="E188" s="21"/>
      <c r="F188" s="414"/>
      <c r="G188" s="17" t="str">
        <f t="shared" si="14"/>
        <v/>
      </c>
      <c r="H188" s="40"/>
    </row>
    <row r="189" spans="2:8" ht="13.5" customHeight="1" x14ac:dyDescent="0.25">
      <c r="B189" s="46"/>
      <c r="C189" s="14"/>
      <c r="D189" s="21"/>
      <c r="E189" s="21"/>
      <c r="F189" s="414"/>
      <c r="G189" s="17" t="str">
        <f t="shared" si="14"/>
        <v/>
      </c>
      <c r="H189" s="40"/>
    </row>
    <row r="190" spans="2:8" ht="11.9" customHeight="1" x14ac:dyDescent="0.25">
      <c r="B190" s="46"/>
      <c r="C190" s="14"/>
      <c r="D190" s="21"/>
      <c r="E190" s="21"/>
      <c r="F190" s="414"/>
      <c r="G190" s="17" t="str">
        <f t="shared" si="14"/>
        <v/>
      </c>
      <c r="H190" s="40"/>
    </row>
    <row r="191" spans="2:8" x14ac:dyDescent="0.25">
      <c r="B191" s="46"/>
      <c r="C191" s="14"/>
      <c r="D191" s="21"/>
      <c r="E191" s="21"/>
      <c r="F191" s="414"/>
      <c r="G191" s="17" t="str">
        <f t="shared" si="14"/>
        <v/>
      </c>
      <c r="H191" s="40"/>
    </row>
    <row r="192" spans="2:8" ht="11.9" customHeight="1" x14ac:dyDescent="0.25">
      <c r="B192" s="46"/>
      <c r="C192" s="14"/>
      <c r="D192" s="21"/>
      <c r="E192" s="21"/>
      <c r="F192" s="414"/>
      <c r="G192" s="17" t="str">
        <f t="shared" si="14"/>
        <v/>
      </c>
      <c r="H192" s="40"/>
    </row>
    <row r="193" spans="2:8" x14ac:dyDescent="0.25">
      <c r="B193" s="46"/>
      <c r="C193" s="14"/>
      <c r="D193" s="21"/>
      <c r="E193" s="21"/>
      <c r="F193" s="414"/>
      <c r="G193" s="17" t="str">
        <f t="shared" si="14"/>
        <v/>
      </c>
      <c r="H193" s="40"/>
    </row>
    <row r="194" spans="2:8" ht="11.9" customHeight="1" x14ac:dyDescent="0.25">
      <c r="B194" s="46"/>
      <c r="C194" s="14"/>
      <c r="D194" s="21"/>
      <c r="E194" s="21"/>
      <c r="F194" s="414"/>
      <c r="G194" s="17" t="str">
        <f t="shared" si="14"/>
        <v/>
      </c>
      <c r="H194" s="40"/>
    </row>
    <row r="195" spans="2:8" x14ac:dyDescent="0.25">
      <c r="B195" s="46"/>
      <c r="C195" s="14"/>
      <c r="D195" s="21"/>
      <c r="E195" s="21"/>
      <c r="F195" s="414"/>
      <c r="G195" s="17" t="str">
        <f t="shared" si="14"/>
        <v/>
      </c>
      <c r="H195" s="40"/>
    </row>
    <row r="196" spans="2:8" ht="11.9" customHeight="1" x14ac:dyDescent="0.25">
      <c r="B196" s="46"/>
      <c r="C196" s="14"/>
      <c r="D196" s="21"/>
      <c r="E196" s="21"/>
      <c r="F196" s="414"/>
      <c r="G196" s="17" t="str">
        <f t="shared" si="14"/>
        <v/>
      </c>
      <c r="H196" s="40"/>
    </row>
    <row r="197" spans="2:8" x14ac:dyDescent="0.25">
      <c r="B197" s="46"/>
      <c r="C197" s="14"/>
      <c r="D197" s="21"/>
      <c r="E197" s="21"/>
      <c r="F197" s="414"/>
      <c r="G197" s="17" t="str">
        <f t="shared" si="14"/>
        <v/>
      </c>
      <c r="H197" s="40"/>
    </row>
    <row r="198" spans="2:8" ht="11.9" customHeight="1" x14ac:dyDescent="0.25">
      <c r="B198" s="46"/>
      <c r="C198" s="14"/>
      <c r="D198" s="21"/>
      <c r="E198" s="21"/>
      <c r="F198" s="414"/>
      <c r="G198" s="17" t="str">
        <f t="shared" si="14"/>
        <v/>
      </c>
      <c r="H198" s="40"/>
    </row>
    <row r="199" spans="2:8" x14ac:dyDescent="0.25">
      <c r="B199" s="46"/>
      <c r="C199" s="14"/>
      <c r="D199" s="21"/>
      <c r="E199" s="21"/>
      <c r="F199" s="414"/>
      <c r="G199" s="17" t="str">
        <f t="shared" si="14"/>
        <v/>
      </c>
      <c r="H199" s="40"/>
    </row>
    <row r="200" spans="2:8" ht="11.9" customHeight="1" x14ac:dyDescent="0.25">
      <c r="B200" s="46"/>
      <c r="C200" s="14"/>
      <c r="D200" s="21"/>
      <c r="E200" s="21"/>
      <c r="F200" s="414"/>
      <c r="G200" s="17" t="str">
        <f t="shared" si="14"/>
        <v/>
      </c>
      <c r="H200" s="40"/>
    </row>
    <row r="201" spans="2:8" x14ac:dyDescent="0.25">
      <c r="B201" s="46"/>
      <c r="C201" s="14"/>
      <c r="D201" s="21"/>
      <c r="E201" s="21"/>
      <c r="F201" s="414"/>
      <c r="G201" s="17" t="str">
        <f t="shared" si="14"/>
        <v/>
      </c>
      <c r="H201" s="40"/>
    </row>
    <row r="202" spans="2:8" ht="11.9" customHeight="1" x14ac:dyDescent="0.25">
      <c r="B202" s="46"/>
      <c r="C202" s="14"/>
      <c r="D202" s="21"/>
      <c r="E202" s="21"/>
      <c r="F202" s="414"/>
      <c r="G202" s="17" t="str">
        <f t="shared" si="14"/>
        <v/>
      </c>
      <c r="H202" s="40"/>
    </row>
    <row r="203" spans="2:8" x14ac:dyDescent="0.25">
      <c r="B203" s="46"/>
      <c r="C203" s="14"/>
      <c r="D203" s="21"/>
      <c r="E203" s="21"/>
      <c r="F203" s="414"/>
      <c r="G203" s="17" t="str">
        <f t="shared" si="14"/>
        <v/>
      </c>
      <c r="H203" s="40"/>
    </row>
    <row r="204" spans="2:8" ht="11.9" customHeight="1" x14ac:dyDescent="0.25">
      <c r="B204" s="46"/>
      <c r="C204" s="14"/>
      <c r="D204" s="21"/>
      <c r="E204" s="21"/>
      <c r="F204" s="414"/>
      <c r="G204" s="17" t="str">
        <f t="shared" si="14"/>
        <v/>
      </c>
      <c r="H204" s="40"/>
    </row>
    <row r="205" spans="2:8" x14ac:dyDescent="0.25">
      <c r="B205" s="46"/>
      <c r="C205" s="14"/>
      <c r="D205" s="21"/>
      <c r="E205" s="21"/>
      <c r="F205" s="414"/>
      <c r="G205" s="17" t="str">
        <f t="shared" si="14"/>
        <v/>
      </c>
      <c r="H205" s="40"/>
    </row>
    <row r="206" spans="2:8" ht="11.9" customHeight="1" x14ac:dyDescent="0.25">
      <c r="B206" s="46"/>
      <c r="C206" s="14"/>
      <c r="D206" s="21"/>
      <c r="E206" s="21"/>
      <c r="F206" s="414"/>
      <c r="G206" s="17" t="str">
        <f t="shared" si="14"/>
        <v/>
      </c>
      <c r="H206" s="40"/>
    </row>
    <row r="207" spans="2:8" x14ac:dyDescent="0.25">
      <c r="B207" s="46"/>
      <c r="C207" s="14"/>
      <c r="D207" s="21"/>
      <c r="E207" s="21"/>
      <c r="F207" s="414"/>
      <c r="G207" s="17" t="str">
        <f t="shared" si="14"/>
        <v/>
      </c>
      <c r="H207" s="40"/>
    </row>
    <row r="208" spans="2:8" ht="11.9" customHeight="1" x14ac:dyDescent="0.25">
      <c r="B208" s="46"/>
      <c r="C208" s="14"/>
      <c r="D208" s="21"/>
      <c r="E208" s="21"/>
      <c r="F208" s="414"/>
      <c r="G208" s="17" t="str">
        <f t="shared" si="14"/>
        <v/>
      </c>
      <c r="H208" s="40"/>
    </row>
    <row r="209" spans="2:8" x14ac:dyDescent="0.25">
      <c r="B209" s="46"/>
      <c r="C209" s="14"/>
      <c r="D209" s="21"/>
      <c r="E209" s="21"/>
      <c r="F209" s="414"/>
      <c r="G209" s="17" t="str">
        <f t="shared" si="14"/>
        <v/>
      </c>
      <c r="H209" s="40"/>
    </row>
    <row r="210" spans="2:8" ht="11.9" customHeight="1" x14ac:dyDescent="0.25">
      <c r="B210" s="46"/>
      <c r="C210" s="14"/>
      <c r="D210" s="21"/>
      <c r="E210" s="21"/>
      <c r="F210" s="414"/>
      <c r="G210" s="17" t="str">
        <f t="shared" si="14"/>
        <v/>
      </c>
      <c r="H210" s="40"/>
    </row>
    <row r="211" spans="2:8" x14ac:dyDescent="0.25">
      <c r="B211" s="46"/>
      <c r="C211" s="14"/>
      <c r="D211" s="21"/>
      <c r="E211" s="21"/>
      <c r="F211" s="414"/>
      <c r="G211" s="17" t="str">
        <f t="shared" si="14"/>
        <v/>
      </c>
      <c r="H211" s="40"/>
    </row>
    <row r="212" spans="2:8" ht="11.9" customHeight="1" x14ac:dyDescent="0.25">
      <c r="B212" s="46"/>
      <c r="C212" s="14"/>
      <c r="D212" s="21"/>
      <c r="E212" s="21"/>
      <c r="F212" s="414"/>
      <c r="G212" s="17" t="str">
        <f t="shared" si="14"/>
        <v/>
      </c>
      <c r="H212" s="40"/>
    </row>
    <row r="213" spans="2:8" x14ac:dyDescent="0.25">
      <c r="B213" s="46"/>
      <c r="C213" s="14"/>
      <c r="D213" s="21"/>
      <c r="E213" s="21"/>
      <c r="F213" s="414"/>
      <c r="G213" s="17" t="str">
        <f t="shared" si="14"/>
        <v/>
      </c>
      <c r="H213" s="40"/>
    </row>
    <row r="214" spans="2:8" ht="11.9" customHeight="1" x14ac:dyDescent="0.25">
      <c r="B214" s="46"/>
      <c r="C214" s="14"/>
      <c r="D214" s="21"/>
      <c r="E214" s="21"/>
      <c r="F214" s="414"/>
      <c r="G214" s="17" t="str">
        <f t="shared" si="14"/>
        <v/>
      </c>
      <c r="H214" s="40"/>
    </row>
    <row r="215" spans="2:8" s="28" customFormat="1" ht="24.75" customHeight="1" x14ac:dyDescent="0.25">
      <c r="B215" s="144" t="str">
        <f>$B$14</f>
        <v>C13.1</v>
      </c>
      <c r="C215" s="498" t="str">
        <f>"TOTAL CARRIED FORWARD"&amp;IF(G215=G$1," TO SUMMARY (Page C"&amp;Page_A&amp;")","")</f>
        <v>TOTAL CARRIED FORWARD TO SUMMARY (Page C48)</v>
      </c>
      <c r="D215" s="31"/>
      <c r="E215" s="32"/>
      <c r="F215" s="31"/>
      <c r="G215" s="33">
        <f>SUM(G155:G214)</f>
        <v>0</v>
      </c>
      <c r="H215" s="34"/>
    </row>
  </sheetData>
  <mergeCells count="18">
    <mergeCell ref="B150:F150"/>
    <mergeCell ref="G150:G153"/>
    <mergeCell ref="B151:F153"/>
    <mergeCell ref="B85:F85"/>
    <mergeCell ref="G85:G88"/>
    <mergeCell ref="B86:F88"/>
    <mergeCell ref="B147:D147"/>
    <mergeCell ref="E147:G149"/>
    <mergeCell ref="B148:D148"/>
    <mergeCell ref="B149:D149"/>
    <mergeCell ref="E3:G3"/>
    <mergeCell ref="B6:F6"/>
    <mergeCell ref="G6:G11"/>
    <mergeCell ref="B82:D82"/>
    <mergeCell ref="E82:G84"/>
    <mergeCell ref="B83:D83"/>
    <mergeCell ref="B84:D84"/>
    <mergeCell ref="B7:F9"/>
  </mergeCells>
  <conditionalFormatting sqref="F13:G81 F90:G146 F155:G215">
    <cfRule type="expression" dxfId="5" priority="1">
      <formula>AND(_Show_Price=FALSE,$D13&lt;&gt;"PC Sum",$D13&lt;&gt;"P C Sum",$D13&lt;&gt;"Prov Sum",$D13&lt;&gt;"P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34"/>
  <dimension ref="A1:Q208"/>
  <sheetViews>
    <sheetView view="pageBreakPreview" zoomScaleNormal="85" zoomScaleSheetLayoutView="100" workbookViewId="0">
      <pane ySplit="2" topLeftCell="A7"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76" customWidth="1"/>
    <col min="3" max="3" width="45.7265625" style="3" customWidth="1"/>
    <col min="4" max="4" width="13.7265625" style="4" customWidth="1"/>
    <col min="5" max="5" width="15.7265625" style="4" customWidth="1"/>
    <col min="6" max="6" width="15.7265625" style="1" customWidth="1"/>
    <col min="7" max="7" width="15.7265625" style="5" customWidth="1"/>
    <col min="8" max="8" width="0.81640625" style="5" customWidth="1"/>
    <col min="9" max="9" width="6.81640625" style="1"/>
    <col min="10" max="10" width="12.81640625" style="1" customWidth="1"/>
    <col min="11" max="11" width="14.1796875" style="1" customWidth="1"/>
    <col min="12" max="13" width="14.7265625" style="1" customWidth="1"/>
    <col min="14" max="16384" width="6.81640625" style="1"/>
  </cols>
  <sheetData>
    <row r="1" spans="1:17" s="242" customFormat="1" ht="11.5" x14ac:dyDescent="0.25">
      <c r="B1" s="243"/>
      <c r="C1" s="244" t="s">
        <v>993</v>
      </c>
      <c r="D1" s="245"/>
      <c r="E1" s="246" t="s">
        <v>994</v>
      </c>
      <c r="F1" s="244">
        <v>1</v>
      </c>
      <c r="G1" s="247">
        <f>MAX(G2:G208)*0</f>
        <v>0</v>
      </c>
      <c r="H1" s="247">
        <f>MAX(H2:H204)</f>
        <v>0</v>
      </c>
      <c r="I1" s="248"/>
      <c r="J1" s="247"/>
      <c r="K1" s="247">
        <f>MAX(K2:K208)</f>
        <v>6983.9999999999991</v>
      </c>
      <c r="L1" s="249"/>
      <c r="M1" s="250"/>
      <c r="N1" s="256"/>
      <c r="O1" s="257" t="s">
        <v>1001</v>
      </c>
      <c r="P1" s="255">
        <f>J1</f>
        <v>0</v>
      </c>
      <c r="Q1" s="256"/>
    </row>
    <row r="2" spans="1:17" s="242" customFormat="1" ht="11.5" x14ac:dyDescent="0.25">
      <c r="A2" s="250"/>
      <c r="B2" s="251" t="s">
        <v>995</v>
      </c>
      <c r="C2" s="252" t="s">
        <v>1</v>
      </c>
      <c r="D2" s="252" t="s">
        <v>2</v>
      </c>
      <c r="E2" s="252" t="s">
        <v>3</v>
      </c>
      <c r="F2" s="252" t="s">
        <v>4</v>
      </c>
      <c r="G2" s="252" t="s">
        <v>5</v>
      </c>
      <c r="H2" s="254"/>
      <c r="I2" s="398" t="s">
        <v>996</v>
      </c>
      <c r="J2" s="253" t="s">
        <v>997</v>
      </c>
      <c r="K2" s="253" t="s">
        <v>998</v>
      </c>
      <c r="L2" s="253" t="s">
        <v>999</v>
      </c>
      <c r="M2" s="253" t="s">
        <v>1000</v>
      </c>
      <c r="N2" s="256"/>
      <c r="O2" s="256"/>
      <c r="P2" s="256"/>
      <c r="Q2" s="256"/>
    </row>
    <row r="3" spans="1:17" ht="13" x14ac:dyDescent="0.25">
      <c r="B3" s="1108" t="str">
        <f>Client1</f>
        <v>Province of KwaZulu-Natal</v>
      </c>
      <c r="C3" s="1108"/>
      <c r="D3" s="1108"/>
      <c r="E3" s="1109" t="str">
        <f>"Contract No. "&amp;ContractNo</f>
        <v>Contract No. ZNB 00399/00000/HOD/INF/21/T</v>
      </c>
      <c r="F3" s="1109"/>
      <c r="G3" s="1109"/>
    </row>
    <row r="4" spans="1:17" ht="13" x14ac:dyDescent="0.25">
      <c r="B4" s="1108" t="str">
        <f>Client2</f>
        <v>Department of Transport</v>
      </c>
      <c r="C4" s="1108"/>
      <c r="D4" s="1108"/>
      <c r="E4" s="1109"/>
      <c r="F4" s="1109"/>
      <c r="G4" s="1109"/>
    </row>
    <row r="5" spans="1:17" x14ac:dyDescent="0.25">
      <c r="B5" s="1111"/>
      <c r="C5" s="1111"/>
      <c r="D5" s="1111"/>
      <c r="E5" s="1110"/>
      <c r="F5" s="1110"/>
      <c r="G5" s="1110"/>
    </row>
    <row r="6" spans="1:17" ht="13" x14ac:dyDescent="0.25">
      <c r="B6" s="1112" t="s">
        <v>1773</v>
      </c>
      <c r="C6" s="1113"/>
      <c r="D6" s="1113"/>
      <c r="E6" s="1113"/>
      <c r="F6" s="1113"/>
      <c r="G6" s="1121" t="str">
        <f>"CHAPTER "&amp;B12</f>
        <v>CHAPTER C1.2</v>
      </c>
      <c r="H6" s="6"/>
    </row>
    <row r="7" spans="1:17" ht="26.25"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22"/>
      <c r="H7" s="8"/>
    </row>
    <row r="8" spans="1:17" ht="27.75" customHeight="1" x14ac:dyDescent="0.25">
      <c r="B8" s="1149" t="s">
        <v>1772</v>
      </c>
      <c r="C8" s="1150"/>
      <c r="D8" s="1150"/>
      <c r="E8" s="1150"/>
      <c r="F8" s="1150"/>
      <c r="G8" s="1122"/>
      <c r="H8" s="8"/>
    </row>
    <row r="9" spans="1:17" ht="9.75" customHeight="1" x14ac:dyDescent="0.25">
      <c r="B9" s="611"/>
      <c r="C9" s="612"/>
      <c r="D9" s="612"/>
      <c r="E9" s="612"/>
      <c r="F9" s="612"/>
      <c r="G9" s="1123"/>
      <c r="H9" s="8"/>
    </row>
    <row r="10" spans="1:17" s="9" customFormat="1" ht="25" customHeight="1" x14ac:dyDescent="0.25">
      <c r="B10" s="74" t="s">
        <v>0</v>
      </c>
      <c r="C10" s="11" t="s">
        <v>1</v>
      </c>
      <c r="D10" s="11" t="s">
        <v>2</v>
      </c>
      <c r="E10" s="11" t="s">
        <v>3</v>
      </c>
      <c r="F10" s="11" t="s">
        <v>4</v>
      </c>
      <c r="G10" s="11" t="s">
        <v>5</v>
      </c>
      <c r="H10" s="12"/>
      <c r="I10" s="408" t="s">
        <v>996</v>
      </c>
      <c r="J10" s="253" t="s">
        <v>997</v>
      </c>
      <c r="K10" s="253" t="s">
        <v>998</v>
      </c>
      <c r="L10" s="253" t="s">
        <v>999</v>
      </c>
    </row>
    <row r="11" spans="1:17" x14ac:dyDescent="0.25">
      <c r="B11" s="58"/>
      <c r="C11" s="65"/>
      <c r="D11" s="15"/>
      <c r="E11" s="15"/>
      <c r="F11" s="411"/>
      <c r="G11" s="17" t="str">
        <f t="shared" ref="G11:G72" si="0">IF(D11="","",E11*F11)</f>
        <v/>
      </c>
      <c r="H11" s="18"/>
      <c r="I11" s="61"/>
      <c r="J11" s="399"/>
      <c r="K11" s="420" t="str">
        <f t="shared" ref="K11" si="1">IF(I11="","",E11*J11)</f>
        <v/>
      </c>
      <c r="L11" s="401" t="str">
        <f t="shared" ref="L11" si="2">IF(I11="","",IF(SUM(G11)=0,"",K11/G11))</f>
        <v/>
      </c>
    </row>
    <row r="12" spans="1:17" ht="13" x14ac:dyDescent="0.25">
      <c r="B12" s="146" t="s">
        <v>14</v>
      </c>
      <c r="C12" s="672" t="s">
        <v>13</v>
      </c>
      <c r="D12" s="15"/>
      <c r="E12" s="15"/>
      <c r="F12" s="411"/>
      <c r="G12" s="17" t="str">
        <f t="shared" si="0"/>
        <v/>
      </c>
      <c r="H12" s="18"/>
      <c r="I12" s="61"/>
      <c r="J12" s="399"/>
      <c r="K12" s="420" t="str">
        <f t="shared" ref="K12:K72" si="3">IF(I12="","",E12*J12)</f>
        <v/>
      </c>
      <c r="L12" s="401" t="str">
        <f t="shared" ref="L12:L72" si="4">IF(I12="","",IF(SUM(G12)=0,"",K12/G12))</f>
        <v/>
      </c>
    </row>
    <row r="13" spans="1:17" x14ac:dyDescent="0.25">
      <c r="B13" s="58"/>
      <c r="C13" s="65"/>
      <c r="D13" s="15"/>
      <c r="E13" s="15"/>
      <c r="F13" s="411"/>
      <c r="G13" s="17" t="str">
        <f t="shared" si="0"/>
        <v/>
      </c>
      <c r="H13" s="18"/>
      <c r="I13" s="61"/>
      <c r="J13" s="399"/>
      <c r="K13" s="420" t="str">
        <f t="shared" si="3"/>
        <v/>
      </c>
      <c r="L13" s="401" t="str">
        <f t="shared" si="4"/>
        <v/>
      </c>
    </row>
    <row r="14" spans="1:17" ht="13" x14ac:dyDescent="0.25">
      <c r="B14" s="146" t="s">
        <v>1860</v>
      </c>
      <c r="C14" s="672" t="s">
        <v>15</v>
      </c>
      <c r="D14" s="15"/>
      <c r="E14" s="15"/>
      <c r="F14" s="411"/>
      <c r="G14" s="17" t="str">
        <f t="shared" si="0"/>
        <v/>
      </c>
      <c r="H14" s="18"/>
      <c r="I14" s="61"/>
      <c r="J14" s="399"/>
      <c r="K14" s="420" t="str">
        <f t="shared" si="3"/>
        <v/>
      </c>
      <c r="L14" s="401" t="str">
        <f t="shared" si="4"/>
        <v/>
      </c>
    </row>
    <row r="15" spans="1:17" x14ac:dyDescent="0.25">
      <c r="B15" s="58"/>
      <c r="C15" s="65"/>
      <c r="D15" s="15"/>
      <c r="E15" s="15"/>
      <c r="F15" s="411"/>
      <c r="G15" s="17" t="str">
        <f t="shared" si="0"/>
        <v/>
      </c>
      <c r="H15" s="18"/>
      <c r="I15" s="61"/>
      <c r="J15" s="399"/>
      <c r="K15" s="420" t="str">
        <f t="shared" si="3"/>
        <v/>
      </c>
      <c r="L15" s="401" t="str">
        <f t="shared" si="4"/>
        <v/>
      </c>
    </row>
    <row r="16" spans="1:17" ht="25" x14ac:dyDescent="0.25">
      <c r="B16" s="58" t="s">
        <v>16</v>
      </c>
      <c r="C16" s="65" t="s">
        <v>17</v>
      </c>
      <c r="D16" s="15" t="s">
        <v>18</v>
      </c>
      <c r="E16" s="24">
        <f>'C1.3(STC3909)'!E18</f>
        <v>10</v>
      </c>
      <c r="F16" s="422">
        <v>5000</v>
      </c>
      <c r="G16" s="17">
        <f t="shared" si="0"/>
        <v>50000</v>
      </c>
      <c r="H16" s="57"/>
      <c r="I16" s="61"/>
      <c r="J16" s="400"/>
      <c r="K16" s="420" t="str">
        <f t="shared" si="3"/>
        <v/>
      </c>
      <c r="L16" s="401" t="str">
        <f t="shared" si="4"/>
        <v/>
      </c>
    </row>
    <row r="17" spans="2:12" x14ac:dyDescent="0.25">
      <c r="B17" s="58"/>
      <c r="C17" s="65"/>
      <c r="D17" s="15"/>
      <c r="E17" s="24"/>
      <c r="F17" s="422"/>
      <c r="G17" s="17" t="str">
        <f t="shared" si="0"/>
        <v/>
      </c>
      <c r="H17" s="57"/>
      <c r="I17" s="61"/>
      <c r="J17" s="399"/>
      <c r="K17" s="420" t="str">
        <f t="shared" si="3"/>
        <v/>
      </c>
      <c r="L17" s="401" t="str">
        <f t="shared" si="4"/>
        <v/>
      </c>
    </row>
    <row r="18" spans="2:12" ht="25" x14ac:dyDescent="0.25">
      <c r="B18" s="58" t="s">
        <v>19</v>
      </c>
      <c r="C18" s="65" t="s">
        <v>20</v>
      </c>
      <c r="D18" s="15" t="s">
        <v>18</v>
      </c>
      <c r="E18" s="24">
        <f>'C1.3(STC3909)'!E18</f>
        <v>10</v>
      </c>
      <c r="F18" s="422">
        <v>5000</v>
      </c>
      <c r="G18" s="17">
        <f t="shared" si="0"/>
        <v>50000</v>
      </c>
      <c r="H18" s="57"/>
      <c r="I18" s="61"/>
      <c r="J18" s="399"/>
      <c r="K18" s="420" t="str">
        <f t="shared" si="3"/>
        <v/>
      </c>
      <c r="L18" s="401" t="str">
        <f t="shared" si="4"/>
        <v/>
      </c>
    </row>
    <row r="19" spans="2:12" x14ac:dyDescent="0.25">
      <c r="B19" s="58"/>
      <c r="C19" s="65"/>
      <c r="D19" s="15"/>
      <c r="E19" s="24"/>
      <c r="F19" s="411"/>
      <c r="G19" s="17" t="str">
        <f t="shared" si="0"/>
        <v/>
      </c>
      <c r="H19" s="18"/>
      <c r="I19" s="61"/>
      <c r="J19" s="399"/>
      <c r="K19" s="420" t="str">
        <f t="shared" si="3"/>
        <v/>
      </c>
      <c r="L19" s="401" t="str">
        <f t="shared" si="4"/>
        <v/>
      </c>
    </row>
    <row r="20" spans="2:12" ht="13" x14ac:dyDescent="0.25">
      <c r="B20" s="146" t="s">
        <v>1862</v>
      </c>
      <c r="C20" s="672" t="s">
        <v>29</v>
      </c>
      <c r="D20" s="15"/>
      <c r="E20" s="15"/>
      <c r="F20" s="422"/>
      <c r="G20" s="17" t="str">
        <f t="shared" si="0"/>
        <v/>
      </c>
      <c r="H20" s="18"/>
      <c r="I20" s="61"/>
      <c r="J20" s="402"/>
      <c r="K20" s="420" t="str">
        <f t="shared" si="3"/>
        <v/>
      </c>
      <c r="L20" s="401" t="str">
        <f t="shared" si="4"/>
        <v/>
      </c>
    </row>
    <row r="21" spans="2:12" x14ac:dyDescent="0.25">
      <c r="B21" s="58"/>
      <c r="C21" s="65"/>
      <c r="D21" s="15"/>
      <c r="E21" s="15"/>
      <c r="F21" s="422"/>
      <c r="G21" s="17" t="str">
        <f t="shared" si="0"/>
        <v/>
      </c>
      <c r="H21" s="60"/>
      <c r="I21" s="61"/>
      <c r="J21" s="402"/>
      <c r="K21" s="420" t="str">
        <f t="shared" si="3"/>
        <v/>
      </c>
      <c r="L21" s="401" t="str">
        <f t="shared" si="4"/>
        <v/>
      </c>
    </row>
    <row r="22" spans="2:12" x14ac:dyDescent="0.25">
      <c r="B22" s="58" t="s">
        <v>30</v>
      </c>
      <c r="C22" s="65" t="s">
        <v>31</v>
      </c>
      <c r="D22" s="15" t="s">
        <v>11</v>
      </c>
      <c r="E22" s="15">
        <v>1</v>
      </c>
      <c r="F22" s="422">
        <v>5000</v>
      </c>
      <c r="G22" s="17">
        <f t="shared" si="0"/>
        <v>5000</v>
      </c>
      <c r="H22" s="63"/>
      <c r="I22" s="61"/>
      <c r="J22" s="402"/>
      <c r="K22" s="420" t="str">
        <f t="shared" si="3"/>
        <v/>
      </c>
      <c r="L22" s="401" t="str">
        <f t="shared" si="4"/>
        <v/>
      </c>
    </row>
    <row r="23" spans="2:12" x14ac:dyDescent="0.25">
      <c r="B23" s="58"/>
      <c r="C23" s="65"/>
      <c r="D23" s="15"/>
      <c r="E23" s="15"/>
      <c r="F23" s="422"/>
      <c r="G23" s="17" t="str">
        <f t="shared" si="0"/>
        <v/>
      </c>
      <c r="H23" s="63"/>
      <c r="I23" s="61"/>
      <c r="J23" s="402"/>
      <c r="K23" s="420" t="str">
        <f t="shared" si="3"/>
        <v/>
      </c>
      <c r="L23" s="401" t="str">
        <f t="shared" si="4"/>
        <v/>
      </c>
    </row>
    <row r="24" spans="2:12" x14ac:dyDescent="0.25">
      <c r="B24" s="58" t="s">
        <v>32</v>
      </c>
      <c r="C24" s="65" t="s">
        <v>33</v>
      </c>
      <c r="D24" s="15" t="s">
        <v>18</v>
      </c>
      <c r="E24" s="580">
        <f>'C1.3(STC3909)'!E18</f>
        <v>10</v>
      </c>
      <c r="F24" s="422">
        <v>5000</v>
      </c>
      <c r="G24" s="17">
        <f t="shared" si="0"/>
        <v>50000</v>
      </c>
      <c r="H24" s="63"/>
      <c r="I24" s="61"/>
      <c r="J24" s="402"/>
      <c r="K24" s="420" t="str">
        <f t="shared" si="3"/>
        <v/>
      </c>
      <c r="L24" s="401" t="str">
        <f t="shared" si="4"/>
        <v/>
      </c>
    </row>
    <row r="25" spans="2:12" x14ac:dyDescent="0.25">
      <c r="B25" s="58"/>
      <c r="C25" s="68"/>
      <c r="D25" s="61"/>
      <c r="E25" s="24"/>
      <c r="F25" s="421"/>
      <c r="G25" s="17" t="str">
        <f t="shared" si="0"/>
        <v/>
      </c>
      <c r="H25" s="63"/>
      <c r="I25" s="61"/>
      <c r="J25" s="402"/>
      <c r="K25" s="420" t="str">
        <f t="shared" si="3"/>
        <v/>
      </c>
      <c r="L25" s="401" t="str">
        <f t="shared" si="4"/>
        <v/>
      </c>
    </row>
    <row r="26" spans="2:12" ht="37.5" x14ac:dyDescent="0.25">
      <c r="B26" s="58" t="s">
        <v>1866</v>
      </c>
      <c r="C26" s="65" t="s">
        <v>1867</v>
      </c>
      <c r="D26" s="15" t="s">
        <v>11</v>
      </c>
      <c r="E26" s="15">
        <v>1</v>
      </c>
      <c r="F26" s="411">
        <v>5000</v>
      </c>
      <c r="G26" s="17">
        <f t="shared" si="0"/>
        <v>5000</v>
      </c>
      <c r="H26" s="63"/>
      <c r="I26" s="61"/>
      <c r="J26" s="399"/>
      <c r="K26" s="420" t="str">
        <f t="shared" si="3"/>
        <v/>
      </c>
      <c r="L26" s="401" t="str">
        <f t="shared" si="4"/>
        <v/>
      </c>
    </row>
    <row r="27" spans="2:12" x14ac:dyDescent="0.25">
      <c r="B27" s="58"/>
      <c r="C27" s="68"/>
      <c r="D27" s="61"/>
      <c r="E27" s="24"/>
      <c r="F27" s="421"/>
      <c r="G27" s="17" t="str">
        <f t="shared" si="0"/>
        <v/>
      </c>
      <c r="H27" s="63"/>
      <c r="I27" s="61"/>
      <c r="J27" s="399"/>
      <c r="K27" s="420" t="str">
        <f t="shared" si="3"/>
        <v/>
      </c>
      <c r="L27" s="401" t="str">
        <f t="shared" si="4"/>
        <v/>
      </c>
    </row>
    <row r="28" spans="2:12" ht="13" x14ac:dyDescent="0.25">
      <c r="B28" s="146" t="s">
        <v>35</v>
      </c>
      <c r="C28" s="19" t="s">
        <v>36</v>
      </c>
      <c r="D28" s="15"/>
      <c r="E28" s="580"/>
      <c r="F28" s="422"/>
      <c r="G28" s="17" t="str">
        <f t="shared" si="0"/>
        <v/>
      </c>
      <c r="H28" s="18"/>
      <c r="I28" s="61"/>
      <c r="J28" s="400"/>
      <c r="K28" s="420" t="str">
        <f t="shared" si="3"/>
        <v/>
      </c>
      <c r="L28" s="401" t="str">
        <f t="shared" si="4"/>
        <v/>
      </c>
    </row>
    <row r="29" spans="2:12" x14ac:dyDescent="0.25">
      <c r="B29" s="58"/>
      <c r="C29" s="14"/>
      <c r="D29" s="15"/>
      <c r="E29" s="580"/>
      <c r="F29" s="422"/>
      <c r="G29" s="17" t="str">
        <f t="shared" si="0"/>
        <v/>
      </c>
      <c r="H29" s="18"/>
      <c r="I29" s="61"/>
      <c r="J29" s="399"/>
      <c r="K29" s="420" t="str">
        <f t="shared" si="3"/>
        <v/>
      </c>
      <c r="L29" s="401" t="str">
        <f t="shared" si="4"/>
        <v/>
      </c>
    </row>
    <row r="30" spans="2:12" x14ac:dyDescent="0.25">
      <c r="B30" s="58" t="s">
        <v>37</v>
      </c>
      <c r="C30" s="14" t="s">
        <v>38</v>
      </c>
      <c r="D30" s="15"/>
      <c r="E30" s="580"/>
      <c r="F30" s="422"/>
      <c r="G30" s="17" t="str">
        <f t="shared" si="0"/>
        <v/>
      </c>
      <c r="H30" s="57"/>
      <c r="I30" s="61"/>
      <c r="J30" s="399"/>
      <c r="K30" s="420" t="str">
        <f t="shared" si="3"/>
        <v/>
      </c>
      <c r="L30" s="401" t="str">
        <f t="shared" si="4"/>
        <v/>
      </c>
    </row>
    <row r="31" spans="2:12" x14ac:dyDescent="0.25">
      <c r="B31" s="58"/>
      <c r="C31" s="14"/>
      <c r="D31" s="15"/>
      <c r="E31" s="580"/>
      <c r="F31" s="422"/>
      <c r="G31" s="17" t="str">
        <f t="shared" si="0"/>
        <v/>
      </c>
      <c r="H31" s="18"/>
      <c r="I31" s="61"/>
      <c r="J31" s="399"/>
      <c r="K31" s="420" t="str">
        <f t="shared" si="3"/>
        <v/>
      </c>
      <c r="L31" s="401" t="str">
        <f t="shared" si="4"/>
        <v/>
      </c>
    </row>
    <row r="32" spans="2:12" x14ac:dyDescent="0.25">
      <c r="B32" s="58" t="s">
        <v>39</v>
      </c>
      <c r="C32" s="14" t="s">
        <v>40</v>
      </c>
      <c r="D32" s="15" t="s">
        <v>191</v>
      </c>
      <c r="E32" s="580">
        <v>180</v>
      </c>
      <c r="F32" s="680">
        <v>40</v>
      </c>
      <c r="G32" s="17">
        <f t="shared" si="0"/>
        <v>7200</v>
      </c>
      <c r="H32" s="18"/>
      <c r="I32" s="61" t="s">
        <v>1721</v>
      </c>
      <c r="J32" s="399">
        <f>F32*97/100</f>
        <v>38.799999999999997</v>
      </c>
      <c r="K32" s="420">
        <f t="shared" si="3"/>
        <v>6983.9999999999991</v>
      </c>
      <c r="L32" s="401">
        <f t="shared" si="4"/>
        <v>0.96999999999999986</v>
      </c>
    </row>
    <row r="33" spans="2:12" x14ac:dyDescent="0.25">
      <c r="B33" s="58"/>
      <c r="C33" s="14"/>
      <c r="D33" s="15"/>
      <c r="E33" s="580"/>
      <c r="F33" s="422"/>
      <c r="G33" s="17" t="str">
        <f t="shared" si="0"/>
        <v/>
      </c>
      <c r="H33" s="18"/>
      <c r="I33" s="61"/>
      <c r="J33" s="399"/>
      <c r="K33" s="420" t="str">
        <f t="shared" si="3"/>
        <v/>
      </c>
      <c r="L33" s="401" t="str">
        <f t="shared" si="4"/>
        <v/>
      </c>
    </row>
    <row r="34" spans="2:12" x14ac:dyDescent="0.25">
      <c r="B34" s="58" t="s">
        <v>41</v>
      </c>
      <c r="C34" s="14" t="s">
        <v>46</v>
      </c>
      <c r="D34" s="15" t="s">
        <v>191</v>
      </c>
      <c r="E34" s="580">
        <v>25</v>
      </c>
      <c r="F34" s="680">
        <v>75</v>
      </c>
      <c r="G34" s="17">
        <f t="shared" si="0"/>
        <v>1875</v>
      </c>
      <c r="H34" s="18"/>
      <c r="I34" s="61"/>
      <c r="J34" s="400"/>
      <c r="K34" s="420" t="str">
        <f t="shared" si="3"/>
        <v/>
      </c>
      <c r="L34" s="401" t="str">
        <f t="shared" si="4"/>
        <v/>
      </c>
    </row>
    <row r="35" spans="2:12" s="36" customFormat="1" x14ac:dyDescent="0.25">
      <c r="B35" s="58"/>
      <c r="C35" s="14"/>
      <c r="D35" s="15"/>
      <c r="E35" s="580"/>
      <c r="F35" s="422"/>
      <c r="G35" s="17" t="str">
        <f t="shared" si="0"/>
        <v/>
      </c>
      <c r="H35" s="18"/>
      <c r="I35" s="61"/>
      <c r="J35" s="399"/>
      <c r="K35" s="420" t="str">
        <f t="shared" si="3"/>
        <v/>
      </c>
      <c r="L35" s="401" t="str">
        <f t="shared" si="4"/>
        <v/>
      </c>
    </row>
    <row r="36" spans="2:12" x14ac:dyDescent="0.25">
      <c r="B36" s="58" t="s">
        <v>45</v>
      </c>
      <c r="C36" s="14" t="s">
        <v>47</v>
      </c>
      <c r="D36" s="15" t="s">
        <v>191</v>
      </c>
      <c r="E36" s="580">
        <v>16</v>
      </c>
      <c r="F36" s="422">
        <v>115</v>
      </c>
      <c r="G36" s="17">
        <f t="shared" si="0"/>
        <v>1840</v>
      </c>
      <c r="H36" s="57"/>
      <c r="I36" s="61"/>
      <c r="J36" s="399"/>
      <c r="K36" s="420" t="str">
        <f t="shared" si="3"/>
        <v/>
      </c>
      <c r="L36" s="401" t="str">
        <f t="shared" si="4"/>
        <v/>
      </c>
    </row>
    <row r="37" spans="2:12" x14ac:dyDescent="0.25">
      <c r="B37" s="58"/>
      <c r="C37" s="14"/>
      <c r="D37" s="15"/>
      <c r="E37" s="580"/>
      <c r="F37" s="422"/>
      <c r="G37" s="17" t="str">
        <f t="shared" si="0"/>
        <v/>
      </c>
      <c r="H37" s="57"/>
      <c r="I37" s="61"/>
      <c r="J37" s="399"/>
      <c r="K37" s="420" t="str">
        <f t="shared" si="3"/>
        <v/>
      </c>
      <c r="L37" s="401" t="str">
        <f t="shared" si="4"/>
        <v/>
      </c>
    </row>
    <row r="38" spans="2:12" x14ac:dyDescent="0.25">
      <c r="B38" s="58" t="s">
        <v>48</v>
      </c>
      <c r="C38" s="14" t="s">
        <v>1824</v>
      </c>
      <c r="D38" s="15"/>
      <c r="E38" s="580"/>
      <c r="F38" s="422"/>
      <c r="G38" s="17" t="str">
        <f t="shared" si="0"/>
        <v/>
      </c>
      <c r="H38" s="18"/>
      <c r="I38" s="61"/>
      <c r="J38" s="399"/>
      <c r="K38" s="420" t="str">
        <f t="shared" si="3"/>
        <v/>
      </c>
      <c r="L38" s="401" t="str">
        <f t="shared" si="4"/>
        <v/>
      </c>
    </row>
    <row r="39" spans="2:12" x14ac:dyDescent="0.25">
      <c r="B39" s="58"/>
      <c r="C39" s="14"/>
      <c r="D39" s="15"/>
      <c r="E39" s="580"/>
      <c r="F39" s="422"/>
      <c r="G39" s="17" t="str">
        <f t="shared" si="0"/>
        <v/>
      </c>
      <c r="H39" s="18"/>
      <c r="I39" s="61"/>
      <c r="J39" s="399"/>
      <c r="K39" s="420" t="str">
        <f t="shared" si="3"/>
        <v/>
      </c>
      <c r="L39" s="401" t="str">
        <f t="shared" si="4"/>
        <v/>
      </c>
    </row>
    <row r="40" spans="2:12" x14ac:dyDescent="0.25">
      <c r="B40" s="58" t="s">
        <v>41</v>
      </c>
      <c r="C40" s="14" t="s">
        <v>49</v>
      </c>
      <c r="D40" s="15"/>
      <c r="E40" s="580"/>
      <c r="F40" s="422"/>
      <c r="G40" s="17" t="str">
        <f t="shared" si="0"/>
        <v/>
      </c>
      <c r="H40" s="18"/>
      <c r="I40" s="61"/>
      <c r="J40" s="399"/>
      <c r="K40" s="420" t="str">
        <f t="shared" si="3"/>
        <v/>
      </c>
      <c r="L40" s="401" t="str">
        <f t="shared" si="4"/>
        <v/>
      </c>
    </row>
    <row r="41" spans="2:12" x14ac:dyDescent="0.25">
      <c r="B41" s="58"/>
      <c r="C41" s="14"/>
      <c r="D41" s="15"/>
      <c r="E41" s="580"/>
      <c r="F41" s="422"/>
      <c r="G41" s="17" t="str">
        <f t="shared" si="0"/>
        <v/>
      </c>
      <c r="H41" s="18"/>
      <c r="I41" s="61"/>
      <c r="J41" s="399"/>
      <c r="K41" s="420" t="str">
        <f t="shared" si="3"/>
        <v/>
      </c>
      <c r="L41" s="401" t="str">
        <f t="shared" si="4"/>
        <v/>
      </c>
    </row>
    <row r="42" spans="2:12" x14ac:dyDescent="0.25">
      <c r="B42" s="58" t="s">
        <v>990</v>
      </c>
      <c r="C42" s="14" t="s">
        <v>1675</v>
      </c>
      <c r="D42" s="15" t="s">
        <v>191</v>
      </c>
      <c r="E42" s="580">
        <v>16</v>
      </c>
      <c r="F42" s="422">
        <v>150</v>
      </c>
      <c r="G42" s="17">
        <f t="shared" si="0"/>
        <v>2400</v>
      </c>
      <c r="H42" s="18"/>
      <c r="I42" s="61"/>
      <c r="J42" s="399"/>
      <c r="K42" s="420" t="str">
        <f t="shared" si="3"/>
        <v/>
      </c>
      <c r="L42" s="401" t="str">
        <f t="shared" si="4"/>
        <v/>
      </c>
    </row>
    <row r="43" spans="2:12" x14ac:dyDescent="0.25">
      <c r="B43" s="58"/>
      <c r="C43" s="14"/>
      <c r="D43" s="15"/>
      <c r="E43" s="580"/>
      <c r="F43" s="422"/>
      <c r="G43" s="17" t="str">
        <f t="shared" si="0"/>
        <v/>
      </c>
      <c r="H43" s="18"/>
      <c r="I43" s="61"/>
      <c r="J43" s="399"/>
      <c r="K43" s="420" t="str">
        <f t="shared" si="3"/>
        <v/>
      </c>
      <c r="L43" s="401" t="str">
        <f t="shared" si="4"/>
        <v/>
      </c>
    </row>
    <row r="44" spans="2:12" x14ac:dyDescent="0.25">
      <c r="B44" s="58" t="s">
        <v>43</v>
      </c>
      <c r="C44" s="14" t="s">
        <v>1963</v>
      </c>
      <c r="D44" s="15" t="s">
        <v>191</v>
      </c>
      <c r="E44" s="24">
        <v>16</v>
      </c>
      <c r="F44" s="422">
        <v>750</v>
      </c>
      <c r="G44" s="17">
        <f t="shared" si="0"/>
        <v>12000</v>
      </c>
      <c r="H44" s="18"/>
      <c r="I44" s="61"/>
      <c r="J44" s="399"/>
      <c r="K44" s="420" t="str">
        <f t="shared" si="3"/>
        <v/>
      </c>
      <c r="L44" s="401" t="str">
        <f t="shared" si="4"/>
        <v/>
      </c>
    </row>
    <row r="45" spans="2:12" x14ac:dyDescent="0.25">
      <c r="B45" s="58"/>
      <c r="C45" s="14"/>
      <c r="D45" s="15"/>
      <c r="E45" s="580"/>
      <c r="F45" s="422"/>
      <c r="G45" s="17" t="str">
        <f t="shared" si="0"/>
        <v/>
      </c>
      <c r="H45" s="18"/>
      <c r="I45" s="61"/>
      <c r="J45" s="399"/>
      <c r="K45" s="420" t="str">
        <f t="shared" si="3"/>
        <v/>
      </c>
      <c r="L45" s="401" t="str">
        <f t="shared" si="4"/>
        <v/>
      </c>
    </row>
    <row r="46" spans="2:12" x14ac:dyDescent="0.25">
      <c r="B46" s="58" t="s">
        <v>50</v>
      </c>
      <c r="C46" s="14" t="s">
        <v>1825</v>
      </c>
      <c r="D46" s="15"/>
      <c r="E46" s="580"/>
      <c r="F46" s="422"/>
      <c r="G46" s="17" t="str">
        <f t="shared" si="0"/>
        <v/>
      </c>
      <c r="H46" s="18"/>
      <c r="I46" s="61"/>
      <c r="J46" s="402"/>
      <c r="K46" s="420" t="str">
        <f t="shared" si="3"/>
        <v/>
      </c>
      <c r="L46" s="401" t="str">
        <f t="shared" si="4"/>
        <v/>
      </c>
    </row>
    <row r="47" spans="2:12" x14ac:dyDescent="0.25">
      <c r="B47" s="58"/>
      <c r="C47" s="14"/>
      <c r="D47" s="15"/>
      <c r="E47" s="580"/>
      <c r="F47" s="422"/>
      <c r="G47" s="17" t="str">
        <f t="shared" si="0"/>
        <v/>
      </c>
      <c r="H47" s="18"/>
      <c r="I47" s="61"/>
      <c r="J47" s="399"/>
      <c r="K47" s="420" t="str">
        <f t="shared" si="3"/>
        <v/>
      </c>
      <c r="L47" s="401" t="str">
        <f t="shared" si="4"/>
        <v/>
      </c>
    </row>
    <row r="48" spans="2:12" x14ac:dyDescent="0.25">
      <c r="B48" s="58" t="s">
        <v>990</v>
      </c>
      <c r="C48" s="14" t="s">
        <v>1677</v>
      </c>
      <c r="D48" s="15" t="s">
        <v>191</v>
      </c>
      <c r="E48" s="580">
        <v>16</v>
      </c>
      <c r="F48" s="424">
        <v>100</v>
      </c>
      <c r="G48" s="17">
        <f t="shared" si="0"/>
        <v>1600</v>
      </c>
      <c r="H48" s="18"/>
      <c r="I48" s="61"/>
      <c r="J48" s="402"/>
      <c r="K48" s="420" t="str">
        <f t="shared" si="3"/>
        <v/>
      </c>
      <c r="L48" s="401" t="str">
        <f t="shared" si="4"/>
        <v/>
      </c>
    </row>
    <row r="49" spans="2:12" x14ac:dyDescent="0.25">
      <c r="B49" s="58"/>
      <c r="C49" s="14"/>
      <c r="D49" s="15"/>
      <c r="E49" s="580"/>
      <c r="F49" s="424"/>
      <c r="G49" s="17" t="str">
        <f t="shared" si="0"/>
        <v/>
      </c>
      <c r="H49" s="18"/>
      <c r="I49" s="62"/>
      <c r="J49" s="62"/>
      <c r="K49" s="420" t="str">
        <f t="shared" si="3"/>
        <v/>
      </c>
      <c r="L49" s="401" t="str">
        <f t="shared" si="4"/>
        <v/>
      </c>
    </row>
    <row r="50" spans="2:12" x14ac:dyDescent="0.25">
      <c r="B50" s="58" t="s">
        <v>991</v>
      </c>
      <c r="C50" s="14" t="s">
        <v>1964</v>
      </c>
      <c r="D50" s="15" t="s">
        <v>1965</v>
      </c>
      <c r="E50" s="24">
        <v>16</v>
      </c>
      <c r="F50" s="422">
        <v>350</v>
      </c>
      <c r="G50" s="17">
        <f t="shared" si="0"/>
        <v>5600</v>
      </c>
      <c r="H50" s="18"/>
      <c r="I50" s="62"/>
      <c r="J50" s="62"/>
      <c r="K50" s="420" t="str">
        <f t="shared" si="3"/>
        <v/>
      </c>
      <c r="L50" s="401" t="str">
        <f t="shared" si="4"/>
        <v/>
      </c>
    </row>
    <row r="51" spans="2:12" x14ac:dyDescent="0.25">
      <c r="B51" s="58"/>
      <c r="C51" s="14"/>
      <c r="D51" s="15"/>
      <c r="E51" s="580"/>
      <c r="F51" s="411"/>
      <c r="G51" s="17" t="str">
        <f t="shared" si="0"/>
        <v/>
      </c>
      <c r="H51" s="18"/>
      <c r="I51" s="62"/>
      <c r="J51" s="62"/>
      <c r="K51" s="420" t="str">
        <f t="shared" si="3"/>
        <v/>
      </c>
      <c r="L51" s="401" t="str">
        <f t="shared" si="4"/>
        <v/>
      </c>
    </row>
    <row r="52" spans="2:12" x14ac:dyDescent="0.25">
      <c r="B52" s="58" t="s">
        <v>51</v>
      </c>
      <c r="C52" s="14" t="s">
        <v>1826</v>
      </c>
      <c r="D52" s="15"/>
      <c r="E52" s="580"/>
      <c r="F52" s="422"/>
      <c r="G52" s="17" t="str">
        <f t="shared" si="0"/>
        <v/>
      </c>
      <c r="H52" s="18"/>
      <c r="I52" s="62"/>
      <c r="J52" s="62"/>
      <c r="K52" s="420" t="str">
        <f t="shared" si="3"/>
        <v/>
      </c>
      <c r="L52" s="401" t="str">
        <f t="shared" si="4"/>
        <v/>
      </c>
    </row>
    <row r="53" spans="2:12" x14ac:dyDescent="0.25">
      <c r="B53" s="58"/>
      <c r="C53" s="14"/>
      <c r="D53" s="15"/>
      <c r="E53" s="580"/>
      <c r="F53" s="422"/>
      <c r="G53" s="17" t="str">
        <f t="shared" si="0"/>
        <v/>
      </c>
      <c r="H53" s="18"/>
      <c r="I53" s="62"/>
      <c r="J53" s="62"/>
      <c r="K53" s="420" t="str">
        <f t="shared" si="3"/>
        <v/>
      </c>
      <c r="L53" s="401" t="str">
        <f t="shared" si="4"/>
        <v/>
      </c>
    </row>
    <row r="54" spans="2:12" x14ac:dyDescent="0.25">
      <c r="B54" s="58" t="s">
        <v>39</v>
      </c>
      <c r="C54" s="14" t="s">
        <v>2069</v>
      </c>
      <c r="D54" s="15" t="s">
        <v>22</v>
      </c>
      <c r="E54" s="24">
        <v>1000</v>
      </c>
      <c r="F54" s="424">
        <v>8.5</v>
      </c>
      <c r="G54" s="17">
        <f t="shared" si="0"/>
        <v>8500</v>
      </c>
      <c r="H54" s="18"/>
      <c r="I54" s="62"/>
      <c r="J54" s="62"/>
      <c r="K54" s="420" t="str">
        <f t="shared" si="3"/>
        <v/>
      </c>
      <c r="L54" s="401" t="str">
        <f t="shared" si="4"/>
        <v/>
      </c>
    </row>
    <row r="55" spans="2:12" ht="13" x14ac:dyDescent="0.3">
      <c r="B55" s="58"/>
      <c r="C55" s="65"/>
      <c r="D55" s="706"/>
      <c r="E55" s="15"/>
      <c r="F55" s="422"/>
      <c r="G55" s="17" t="str">
        <f t="shared" si="0"/>
        <v/>
      </c>
      <c r="H55" s="18"/>
      <c r="I55" s="62"/>
      <c r="J55" s="62"/>
      <c r="K55" s="420" t="str">
        <f t="shared" si="3"/>
        <v/>
      </c>
      <c r="L55" s="401" t="str">
        <f t="shared" si="4"/>
        <v/>
      </c>
    </row>
    <row r="56" spans="2:12" ht="13" x14ac:dyDescent="0.3">
      <c r="B56" s="58"/>
      <c r="C56" s="65"/>
      <c r="D56" s="706"/>
      <c r="E56" s="15"/>
      <c r="F56" s="422"/>
      <c r="G56" s="17" t="str">
        <f t="shared" si="0"/>
        <v/>
      </c>
      <c r="H56" s="18"/>
      <c r="I56" s="62"/>
      <c r="J56" s="62"/>
      <c r="K56" s="420" t="str">
        <f t="shared" si="3"/>
        <v/>
      </c>
      <c r="L56" s="401" t="str">
        <f t="shared" si="4"/>
        <v/>
      </c>
    </row>
    <row r="57" spans="2:12" ht="13" x14ac:dyDescent="0.3">
      <c r="B57" s="58"/>
      <c r="C57" s="65"/>
      <c r="D57" s="706"/>
      <c r="E57" s="15"/>
      <c r="F57" s="422"/>
      <c r="G57" s="17" t="str">
        <f t="shared" si="0"/>
        <v/>
      </c>
      <c r="H57" s="18"/>
      <c r="I57" s="62"/>
      <c r="J57" s="62"/>
      <c r="K57" s="420" t="str">
        <f t="shared" si="3"/>
        <v/>
      </c>
      <c r="L57" s="401" t="str">
        <f t="shared" si="4"/>
        <v/>
      </c>
    </row>
    <row r="58" spans="2:12" ht="13" x14ac:dyDescent="0.3">
      <c r="B58" s="58"/>
      <c r="C58" s="65"/>
      <c r="D58" s="706"/>
      <c r="E58" s="15"/>
      <c r="F58" s="422"/>
      <c r="G58" s="17" t="str">
        <f t="shared" si="0"/>
        <v/>
      </c>
      <c r="H58" s="18"/>
      <c r="I58" s="62"/>
      <c r="J58" s="62"/>
      <c r="K58" s="420" t="str">
        <f t="shared" si="3"/>
        <v/>
      </c>
      <c r="L58" s="401" t="str">
        <f t="shared" si="4"/>
        <v/>
      </c>
    </row>
    <row r="59" spans="2:12" ht="13" x14ac:dyDescent="0.3">
      <c r="B59" s="58"/>
      <c r="C59" s="65"/>
      <c r="D59" s="706"/>
      <c r="E59" s="15"/>
      <c r="F59" s="422"/>
      <c r="G59" s="17" t="str">
        <f t="shared" si="0"/>
        <v/>
      </c>
      <c r="H59" s="18"/>
      <c r="I59" s="62"/>
      <c r="J59" s="62"/>
      <c r="K59" s="420" t="str">
        <f t="shared" si="3"/>
        <v/>
      </c>
      <c r="L59" s="401" t="str">
        <f t="shared" si="4"/>
        <v/>
      </c>
    </row>
    <row r="60" spans="2:12" ht="13" x14ac:dyDescent="0.3">
      <c r="B60" s="58"/>
      <c r="C60" s="65"/>
      <c r="D60" s="706"/>
      <c r="E60" s="15"/>
      <c r="F60" s="422"/>
      <c r="G60" s="17" t="str">
        <f t="shared" si="0"/>
        <v/>
      </c>
      <c r="H60" s="18"/>
      <c r="I60" s="62"/>
      <c r="J60" s="62"/>
      <c r="K60" s="420" t="str">
        <f t="shared" si="3"/>
        <v/>
      </c>
      <c r="L60" s="401" t="str">
        <f t="shared" si="4"/>
        <v/>
      </c>
    </row>
    <row r="61" spans="2:12" ht="13" x14ac:dyDescent="0.3">
      <c r="B61" s="58"/>
      <c r="C61" s="65"/>
      <c r="D61" s="706"/>
      <c r="E61" s="15"/>
      <c r="F61" s="422"/>
      <c r="G61" s="17" t="str">
        <f t="shared" si="0"/>
        <v/>
      </c>
      <c r="H61" s="18"/>
      <c r="I61" s="62"/>
      <c r="J61" s="62"/>
      <c r="K61" s="420" t="str">
        <f t="shared" si="3"/>
        <v/>
      </c>
      <c r="L61" s="401" t="str">
        <f t="shared" si="4"/>
        <v/>
      </c>
    </row>
    <row r="62" spans="2:12" ht="13" x14ac:dyDescent="0.3">
      <c r="B62" s="58"/>
      <c r="C62" s="65"/>
      <c r="D62" s="706"/>
      <c r="E62" s="15"/>
      <c r="F62" s="422"/>
      <c r="G62" s="17" t="str">
        <f t="shared" si="0"/>
        <v/>
      </c>
      <c r="H62" s="18"/>
      <c r="I62" s="62"/>
      <c r="J62" s="62"/>
      <c r="K62" s="420" t="str">
        <f t="shared" si="3"/>
        <v/>
      </c>
      <c r="L62" s="401" t="str">
        <f t="shared" si="4"/>
        <v/>
      </c>
    </row>
    <row r="63" spans="2:12" ht="13" x14ac:dyDescent="0.3">
      <c r="B63" s="58"/>
      <c r="C63" s="65"/>
      <c r="D63" s="706"/>
      <c r="E63" s="15"/>
      <c r="F63" s="422"/>
      <c r="G63" s="17" t="str">
        <f t="shared" si="0"/>
        <v/>
      </c>
      <c r="H63" s="18"/>
      <c r="I63" s="62"/>
      <c r="J63" s="62"/>
      <c r="K63" s="420" t="str">
        <f t="shared" si="3"/>
        <v/>
      </c>
      <c r="L63" s="401" t="str">
        <f t="shared" si="4"/>
        <v/>
      </c>
    </row>
    <row r="64" spans="2:12" ht="13" x14ac:dyDescent="0.3">
      <c r="B64" s="58"/>
      <c r="C64" s="65"/>
      <c r="D64" s="706"/>
      <c r="E64" s="15"/>
      <c r="F64" s="422"/>
      <c r="G64" s="17" t="str">
        <f t="shared" si="0"/>
        <v/>
      </c>
      <c r="H64" s="18"/>
      <c r="I64" s="62"/>
      <c r="J64" s="62"/>
      <c r="K64" s="420" t="str">
        <f t="shared" si="3"/>
        <v/>
      </c>
      <c r="L64" s="401" t="str">
        <f t="shared" si="4"/>
        <v/>
      </c>
    </row>
    <row r="65" spans="2:12" ht="13" x14ac:dyDescent="0.3">
      <c r="B65" s="58"/>
      <c r="C65" s="65"/>
      <c r="D65" s="706"/>
      <c r="E65" s="15"/>
      <c r="F65" s="422"/>
      <c r="G65" s="17" t="str">
        <f t="shared" si="0"/>
        <v/>
      </c>
      <c r="H65" s="18"/>
      <c r="I65" s="62"/>
      <c r="J65" s="62"/>
      <c r="K65" s="420" t="str">
        <f t="shared" si="3"/>
        <v/>
      </c>
      <c r="L65" s="401" t="str">
        <f t="shared" si="4"/>
        <v/>
      </c>
    </row>
    <row r="66" spans="2:12" ht="13" x14ac:dyDescent="0.3">
      <c r="B66" s="58"/>
      <c r="C66" s="65"/>
      <c r="D66" s="706"/>
      <c r="E66" s="15"/>
      <c r="F66" s="422"/>
      <c r="G66" s="17" t="str">
        <f t="shared" si="0"/>
        <v/>
      </c>
      <c r="H66" s="18"/>
      <c r="I66" s="62"/>
      <c r="J66" s="62"/>
      <c r="K66" s="420" t="str">
        <f t="shared" si="3"/>
        <v/>
      </c>
      <c r="L66" s="401" t="str">
        <f t="shared" si="4"/>
        <v/>
      </c>
    </row>
    <row r="67" spans="2:12" x14ac:dyDescent="0.25">
      <c r="B67" s="58"/>
      <c r="C67" s="65"/>
      <c r="D67" s="15"/>
      <c r="E67" s="15"/>
      <c r="F67" s="422"/>
      <c r="G67" s="17" t="str">
        <f t="shared" si="0"/>
        <v/>
      </c>
      <c r="H67" s="18"/>
      <c r="I67" s="62"/>
      <c r="J67" s="62"/>
      <c r="K67" s="420" t="str">
        <f t="shared" si="3"/>
        <v/>
      </c>
      <c r="L67" s="401" t="str">
        <f t="shared" si="4"/>
        <v/>
      </c>
    </row>
    <row r="68" spans="2:12" x14ac:dyDescent="0.25">
      <c r="B68" s="58"/>
      <c r="C68" s="65"/>
      <c r="D68" s="15"/>
      <c r="E68" s="15"/>
      <c r="F68" s="422"/>
      <c r="G68" s="17" t="str">
        <f t="shared" si="0"/>
        <v/>
      </c>
      <c r="H68" s="18"/>
      <c r="I68" s="62"/>
      <c r="J68" s="62"/>
      <c r="K68" s="420" t="str">
        <f t="shared" si="3"/>
        <v/>
      </c>
      <c r="L68" s="401" t="str">
        <f t="shared" si="4"/>
        <v/>
      </c>
    </row>
    <row r="69" spans="2:12" x14ac:dyDescent="0.25">
      <c r="B69" s="58"/>
      <c r="C69" s="65"/>
      <c r="D69" s="15"/>
      <c r="E69" s="15"/>
      <c r="F69" s="422"/>
      <c r="G69" s="17" t="str">
        <f t="shared" si="0"/>
        <v/>
      </c>
      <c r="H69" s="18"/>
      <c r="I69" s="62"/>
      <c r="J69" s="62"/>
      <c r="K69" s="420" t="str">
        <f t="shared" si="3"/>
        <v/>
      </c>
      <c r="L69" s="401" t="str">
        <f t="shared" si="4"/>
        <v/>
      </c>
    </row>
    <row r="70" spans="2:12" x14ac:dyDescent="0.25">
      <c r="B70" s="58"/>
      <c r="C70" s="65"/>
      <c r="D70" s="15"/>
      <c r="E70" s="15"/>
      <c r="F70" s="422"/>
      <c r="G70" s="17" t="str">
        <f t="shared" si="0"/>
        <v/>
      </c>
      <c r="H70" s="18"/>
      <c r="I70" s="62"/>
      <c r="J70" s="62"/>
      <c r="K70" s="420" t="str">
        <f t="shared" si="3"/>
        <v/>
      </c>
      <c r="L70" s="401" t="str">
        <f t="shared" si="4"/>
        <v/>
      </c>
    </row>
    <row r="71" spans="2:12" x14ac:dyDescent="0.25">
      <c r="B71" s="58"/>
      <c r="C71" s="70"/>
      <c r="D71" s="61"/>
      <c r="E71" s="61"/>
      <c r="F71" s="422"/>
      <c r="G71" s="17" t="str">
        <f t="shared" si="0"/>
        <v/>
      </c>
      <c r="H71" s="18"/>
      <c r="I71" s="62"/>
      <c r="J71" s="62"/>
      <c r="K71" s="420" t="str">
        <f t="shared" si="3"/>
        <v/>
      </c>
      <c r="L71" s="401" t="str">
        <f t="shared" si="4"/>
        <v/>
      </c>
    </row>
    <row r="72" spans="2:12" x14ac:dyDescent="0.25">
      <c r="B72" s="58"/>
      <c r="C72" s="786"/>
      <c r="D72" s="61"/>
      <c r="E72" s="61"/>
      <c r="F72" s="422"/>
      <c r="G72" s="17" t="str">
        <f t="shared" si="0"/>
        <v/>
      </c>
      <c r="H72" s="18"/>
      <c r="I72" s="62"/>
      <c r="J72" s="62"/>
      <c r="K72" s="420" t="str">
        <f t="shared" si="3"/>
        <v/>
      </c>
      <c r="L72" s="401" t="str">
        <f t="shared" si="4"/>
        <v/>
      </c>
    </row>
    <row r="73" spans="2:12" s="28" customFormat="1" ht="20.149999999999999" customHeight="1" x14ac:dyDescent="0.25">
      <c r="B73" s="80" t="str">
        <f>B12</f>
        <v>C1.2</v>
      </c>
      <c r="C73" s="30" t="s">
        <v>12</v>
      </c>
      <c r="D73" s="31"/>
      <c r="E73" s="32"/>
      <c r="F73" s="31"/>
      <c r="G73" s="33">
        <f>SUM(G11:G72)</f>
        <v>201015</v>
      </c>
      <c r="H73" s="34"/>
      <c r="I73" s="408"/>
      <c r="J73" s="406"/>
      <c r="K73" s="418">
        <f>SUM(K11:K72)</f>
        <v>6983.9999999999991</v>
      </c>
      <c r="L73" s="407" t="str">
        <f t="shared" ref="L73" si="5">IF(I73="","",IF(SUM(G73)=0,"",K73/G73))</f>
        <v/>
      </c>
    </row>
    <row r="74" spans="2:12" ht="13" x14ac:dyDescent="0.25">
      <c r="B74" s="1108" t="str">
        <f>Client1</f>
        <v>Province of KwaZulu-Natal</v>
      </c>
      <c r="C74" s="1108"/>
      <c r="D74" s="1108"/>
      <c r="E74" s="1109" t="str">
        <f>"Contract No. "&amp;ContractNo</f>
        <v>Contract No. ZNB 00399/00000/HOD/INF/21/T</v>
      </c>
      <c r="F74" s="1109"/>
      <c r="G74" s="1109"/>
    </row>
    <row r="75" spans="2:12" ht="13" x14ac:dyDescent="0.25">
      <c r="B75" s="1108" t="str">
        <f>Client2</f>
        <v>Department of Transport</v>
      </c>
      <c r="C75" s="1108"/>
      <c r="D75" s="1108"/>
      <c r="E75" s="1109"/>
      <c r="F75" s="1109"/>
      <c r="G75" s="1109"/>
    </row>
    <row r="76" spans="2:12" x14ac:dyDescent="0.25">
      <c r="B76" s="1111"/>
      <c r="C76" s="1111"/>
      <c r="D76" s="1111"/>
      <c r="E76" s="1110"/>
      <c r="F76" s="1110"/>
      <c r="G76" s="1110"/>
    </row>
    <row r="77" spans="2:12" ht="13" x14ac:dyDescent="0.25">
      <c r="B77" s="1112" t="s">
        <v>1773</v>
      </c>
      <c r="C77" s="1113"/>
      <c r="D77" s="1113"/>
      <c r="E77" s="1113"/>
      <c r="F77" s="1113"/>
      <c r="G77" s="1114" t="str">
        <f>$G$6</f>
        <v>CHAPTER C1.2</v>
      </c>
      <c r="H77" s="6"/>
    </row>
    <row r="78" spans="2:12" ht="33.75" customHeight="1" x14ac:dyDescent="0.25">
      <c r="B78" s="1117" t="str">
        <f>ContractDescription</f>
        <v>THE CONSTRUCTION OF EARTHWORKS, LAYERWORKS, SURFACING, CULVERTS AND CWAKA RIVER BRIDGE FROM KM 11.600 TO KM 14.000 ON MAIN ROAD P494 IN THE KING CETSHWAYO DISTRICT UNDER EMPANGENI REGION</v>
      </c>
      <c r="C78" s="1148"/>
      <c r="D78" s="1148"/>
      <c r="E78" s="1148"/>
      <c r="F78" s="1148"/>
      <c r="G78" s="1115"/>
      <c r="H78" s="8"/>
    </row>
    <row r="79" spans="2:12" ht="24" customHeight="1" x14ac:dyDescent="0.25">
      <c r="B79" s="1149" t="s">
        <v>1772</v>
      </c>
      <c r="C79" s="1150"/>
      <c r="D79" s="1150"/>
      <c r="E79" s="1150"/>
      <c r="F79" s="1150"/>
      <c r="G79" s="1115"/>
      <c r="H79" s="8"/>
    </row>
    <row r="80" spans="2:12" ht="13" x14ac:dyDescent="0.25">
      <c r="B80" s="611"/>
      <c r="C80" s="612"/>
      <c r="D80" s="612"/>
      <c r="E80" s="612"/>
      <c r="F80" s="612"/>
      <c r="G80" s="1116"/>
      <c r="H80" s="8"/>
    </row>
    <row r="81" spans="2:12" s="9" customFormat="1" ht="25" customHeight="1" x14ac:dyDescent="0.25">
      <c r="B81" s="74" t="s">
        <v>0</v>
      </c>
      <c r="C81" s="11" t="s">
        <v>1</v>
      </c>
      <c r="D81" s="11" t="s">
        <v>2</v>
      </c>
      <c r="E81" s="11" t="s">
        <v>3</v>
      </c>
      <c r="F81" s="11" t="s">
        <v>4</v>
      </c>
      <c r="G81" s="11" t="s">
        <v>5</v>
      </c>
      <c r="H81" s="12"/>
      <c r="I81" s="408" t="s">
        <v>996</v>
      </c>
      <c r="J81" s="253" t="s">
        <v>997</v>
      </c>
      <c r="K81" s="253" t="s">
        <v>998</v>
      </c>
      <c r="L81" s="253" t="s">
        <v>999</v>
      </c>
    </row>
    <row r="82" spans="2:12" s="28" customFormat="1" ht="20.149999999999999" customHeight="1" x14ac:dyDescent="0.25">
      <c r="B82" s="80"/>
      <c r="C82" s="30" t="s">
        <v>27</v>
      </c>
      <c r="D82" s="31"/>
      <c r="E82" s="32"/>
      <c r="F82" s="31"/>
      <c r="G82" s="33">
        <f>G73</f>
        <v>201015</v>
      </c>
      <c r="H82" s="34"/>
      <c r="I82" s="416"/>
      <c r="J82" s="409"/>
      <c r="K82" s="419">
        <f>K73</f>
        <v>6983.9999999999991</v>
      </c>
      <c r="L82" s="410" t="str">
        <f>IF(E82="","",IF(SUM(H82)=0,"",K82/H82))</f>
        <v/>
      </c>
    </row>
    <row r="83" spans="2:12" x14ac:dyDescent="0.25">
      <c r="B83" s="75"/>
      <c r="C83" s="14"/>
      <c r="D83" s="15"/>
      <c r="E83" s="15"/>
      <c r="F83" s="422"/>
      <c r="G83" s="17" t="str">
        <f t="shared" ref="G83" si="6">IF(D83="","",E83*F83)</f>
        <v/>
      </c>
      <c r="H83" s="18"/>
      <c r="I83" s="61"/>
      <c r="J83" s="399"/>
      <c r="K83" s="420" t="str">
        <f t="shared" ref="K83" si="7">IF(I83="","",E83*J83)</f>
        <v/>
      </c>
      <c r="L83" s="401" t="str">
        <f t="shared" ref="L83" si="8">IF(I83="","",IF(SUM(G83)=0,"",K83/G83))</f>
        <v/>
      </c>
    </row>
    <row r="84" spans="2:12" ht="13" x14ac:dyDescent="0.25">
      <c r="B84" s="73"/>
      <c r="C84" s="19"/>
      <c r="D84" s="15"/>
      <c r="E84" s="15"/>
      <c r="F84" s="422"/>
      <c r="G84" s="17" t="str">
        <f t="shared" ref="G84:G139" si="9">IF(D84="","",E84*F84)</f>
        <v/>
      </c>
      <c r="H84" s="18"/>
      <c r="I84" s="61"/>
      <c r="J84" s="399"/>
      <c r="K84" s="420" t="str">
        <f t="shared" ref="K84:K139" si="10">IF(I84="","",E84*J84)</f>
        <v/>
      </c>
      <c r="L84" s="401" t="str">
        <f t="shared" ref="L84:L139" si="11">IF(I84="","",IF(SUM(G84)=0,"",K84/G84))</f>
        <v/>
      </c>
    </row>
    <row r="85" spans="2:12" x14ac:dyDescent="0.25">
      <c r="B85" s="46"/>
      <c r="C85" s="14"/>
      <c r="D85" s="15"/>
      <c r="E85" s="15"/>
      <c r="F85" s="422"/>
      <c r="G85" s="17" t="str">
        <f t="shared" si="9"/>
        <v/>
      </c>
      <c r="H85" s="18"/>
      <c r="I85" s="61"/>
      <c r="J85" s="399"/>
      <c r="K85" s="420" t="str">
        <f t="shared" si="10"/>
        <v/>
      </c>
      <c r="L85" s="401" t="str">
        <f t="shared" si="11"/>
        <v/>
      </c>
    </row>
    <row r="86" spans="2:12" x14ac:dyDescent="0.25">
      <c r="B86" s="46"/>
      <c r="C86" s="14"/>
      <c r="D86" s="15"/>
      <c r="E86" s="15"/>
      <c r="F86" s="422"/>
      <c r="G86" s="17" t="str">
        <f t="shared" si="9"/>
        <v/>
      </c>
      <c r="H86" s="18"/>
      <c r="I86" s="61"/>
      <c r="J86" s="399"/>
      <c r="K86" s="420" t="str">
        <f t="shared" si="10"/>
        <v/>
      </c>
      <c r="L86" s="401" t="str">
        <f t="shared" si="11"/>
        <v/>
      </c>
    </row>
    <row r="87" spans="2:12" x14ac:dyDescent="0.25">
      <c r="B87" s="46"/>
      <c r="C87" s="14"/>
      <c r="D87" s="15"/>
      <c r="E87" s="15"/>
      <c r="F87" s="422"/>
      <c r="G87" s="17" t="str">
        <f t="shared" si="9"/>
        <v/>
      </c>
      <c r="H87" s="18"/>
      <c r="I87" s="61"/>
      <c r="J87" s="400"/>
      <c r="K87" s="420" t="str">
        <f t="shared" si="10"/>
        <v/>
      </c>
      <c r="L87" s="401" t="str">
        <f t="shared" si="11"/>
        <v/>
      </c>
    </row>
    <row r="88" spans="2:12" x14ac:dyDescent="0.25">
      <c r="B88" s="46"/>
      <c r="C88" s="14"/>
      <c r="D88" s="15"/>
      <c r="E88" s="580"/>
      <c r="F88" s="422"/>
      <c r="G88" s="17" t="str">
        <f t="shared" si="9"/>
        <v/>
      </c>
      <c r="H88" s="18"/>
      <c r="I88" s="61"/>
      <c r="J88" s="399"/>
      <c r="K88" s="420" t="str">
        <f t="shared" si="10"/>
        <v/>
      </c>
      <c r="L88" s="401" t="str">
        <f t="shared" si="11"/>
        <v/>
      </c>
    </row>
    <row r="89" spans="2:12" x14ac:dyDescent="0.25">
      <c r="B89" s="46"/>
      <c r="C89" s="14"/>
      <c r="D89" s="15"/>
      <c r="E89" s="15"/>
      <c r="F89" s="422"/>
      <c r="G89" s="17" t="str">
        <f t="shared" si="9"/>
        <v/>
      </c>
      <c r="H89" s="18"/>
      <c r="I89" s="61"/>
      <c r="J89" s="399"/>
      <c r="K89" s="420" t="str">
        <f t="shared" si="10"/>
        <v/>
      </c>
      <c r="L89" s="401" t="str">
        <f t="shared" si="11"/>
        <v/>
      </c>
    </row>
    <row r="90" spans="2:12" x14ac:dyDescent="0.25">
      <c r="B90" s="46"/>
      <c r="C90" s="14"/>
      <c r="D90" s="15"/>
      <c r="E90" s="15"/>
      <c r="F90" s="422"/>
      <c r="G90" s="17" t="str">
        <f t="shared" si="9"/>
        <v/>
      </c>
      <c r="H90" s="18"/>
      <c r="I90" s="61"/>
      <c r="J90" s="399"/>
      <c r="K90" s="420" t="str">
        <f t="shared" si="10"/>
        <v/>
      </c>
      <c r="L90" s="401" t="str">
        <f t="shared" si="11"/>
        <v/>
      </c>
    </row>
    <row r="91" spans="2:12" x14ac:dyDescent="0.25">
      <c r="B91" s="46"/>
      <c r="C91" s="14"/>
      <c r="D91" s="15"/>
      <c r="E91" s="15"/>
      <c r="F91" s="422"/>
      <c r="G91" s="17" t="str">
        <f t="shared" si="9"/>
        <v/>
      </c>
      <c r="H91" s="18"/>
      <c r="I91" s="61"/>
      <c r="J91" s="402"/>
      <c r="K91" s="420" t="str">
        <f t="shared" si="10"/>
        <v/>
      </c>
      <c r="L91" s="401" t="str">
        <f t="shared" si="11"/>
        <v/>
      </c>
    </row>
    <row r="92" spans="2:12" x14ac:dyDescent="0.25">
      <c r="B92" s="46"/>
      <c r="C92" s="14"/>
      <c r="D92" s="15"/>
      <c r="E92" s="15"/>
      <c r="F92" s="422"/>
      <c r="G92" s="17" t="str">
        <f t="shared" si="9"/>
        <v/>
      </c>
      <c r="H92" s="18"/>
      <c r="I92" s="61"/>
      <c r="J92" s="402"/>
      <c r="K92" s="420" t="str">
        <f t="shared" si="10"/>
        <v/>
      </c>
      <c r="L92" s="401" t="str">
        <f t="shared" si="11"/>
        <v/>
      </c>
    </row>
    <row r="93" spans="2:12" x14ac:dyDescent="0.25">
      <c r="B93" s="46"/>
      <c r="C93" s="14"/>
      <c r="D93" s="15"/>
      <c r="E93" s="15"/>
      <c r="F93" s="422"/>
      <c r="G93" s="17" t="str">
        <f t="shared" si="9"/>
        <v/>
      </c>
      <c r="H93" s="18"/>
      <c r="I93" s="61"/>
      <c r="J93" s="402"/>
      <c r="K93" s="420" t="str">
        <f t="shared" si="10"/>
        <v/>
      </c>
      <c r="L93" s="401" t="str">
        <f t="shared" si="11"/>
        <v/>
      </c>
    </row>
    <row r="94" spans="2:12" x14ac:dyDescent="0.25">
      <c r="B94" s="46"/>
      <c r="C94" s="14"/>
      <c r="D94" s="15"/>
      <c r="E94" s="15"/>
      <c r="F94" s="422"/>
      <c r="G94" s="17" t="str">
        <f t="shared" si="9"/>
        <v/>
      </c>
      <c r="H94" s="18"/>
      <c r="I94" s="61"/>
      <c r="J94" s="402"/>
      <c r="K94" s="420" t="str">
        <f t="shared" si="10"/>
        <v/>
      </c>
      <c r="L94" s="401" t="str">
        <f t="shared" si="11"/>
        <v/>
      </c>
    </row>
    <row r="95" spans="2:12" x14ac:dyDescent="0.25">
      <c r="B95" s="46"/>
      <c r="C95" s="14"/>
      <c r="D95" s="15"/>
      <c r="E95" s="15"/>
      <c r="F95" s="422"/>
      <c r="G95" s="17" t="str">
        <f t="shared" si="9"/>
        <v/>
      </c>
      <c r="H95" s="18"/>
      <c r="I95" s="61"/>
      <c r="J95" s="402"/>
      <c r="K95" s="420" t="str">
        <f t="shared" si="10"/>
        <v/>
      </c>
      <c r="L95" s="401" t="str">
        <f t="shared" si="11"/>
        <v/>
      </c>
    </row>
    <row r="96" spans="2:12" x14ac:dyDescent="0.25">
      <c r="B96" s="46"/>
      <c r="C96" s="14"/>
      <c r="D96" s="15"/>
      <c r="E96" s="15"/>
      <c r="F96" s="422"/>
      <c r="G96" s="17" t="str">
        <f t="shared" si="9"/>
        <v/>
      </c>
      <c r="H96" s="18"/>
      <c r="I96" s="61"/>
      <c r="J96" s="402"/>
      <c r="K96" s="420" t="str">
        <f t="shared" si="10"/>
        <v/>
      </c>
      <c r="L96" s="401" t="str">
        <f t="shared" si="11"/>
        <v/>
      </c>
    </row>
    <row r="97" spans="2:12" x14ac:dyDescent="0.25">
      <c r="B97" s="46"/>
      <c r="C97" s="14"/>
      <c r="D97" s="15"/>
      <c r="E97" s="15"/>
      <c r="F97" s="422"/>
      <c r="G97" s="17" t="str">
        <f t="shared" si="9"/>
        <v/>
      </c>
      <c r="H97" s="18"/>
      <c r="I97" s="61"/>
      <c r="J97" s="399"/>
      <c r="K97" s="420" t="str">
        <f t="shared" si="10"/>
        <v/>
      </c>
      <c r="L97" s="401" t="str">
        <f t="shared" si="11"/>
        <v/>
      </c>
    </row>
    <row r="98" spans="2:12" x14ac:dyDescent="0.25">
      <c r="B98" s="46"/>
      <c r="C98" s="14"/>
      <c r="D98" s="15"/>
      <c r="E98" s="15"/>
      <c r="F98" s="422"/>
      <c r="G98" s="17" t="str">
        <f t="shared" si="9"/>
        <v/>
      </c>
      <c r="H98" s="18"/>
      <c r="I98" s="61"/>
      <c r="J98" s="399"/>
      <c r="K98" s="420" t="str">
        <f t="shared" si="10"/>
        <v/>
      </c>
      <c r="L98" s="401" t="str">
        <f t="shared" si="11"/>
        <v/>
      </c>
    </row>
    <row r="99" spans="2:12" x14ac:dyDescent="0.25">
      <c r="B99" s="46"/>
      <c r="C99" s="14"/>
      <c r="D99" s="15"/>
      <c r="E99" s="15"/>
      <c r="F99" s="422"/>
      <c r="G99" s="17" t="str">
        <f t="shared" si="9"/>
        <v/>
      </c>
      <c r="H99" s="18"/>
      <c r="I99" s="61"/>
      <c r="J99" s="400"/>
      <c r="K99" s="420" t="str">
        <f t="shared" si="10"/>
        <v/>
      </c>
      <c r="L99" s="401" t="str">
        <f t="shared" si="11"/>
        <v/>
      </c>
    </row>
    <row r="100" spans="2:12" x14ac:dyDescent="0.25">
      <c r="B100" s="46"/>
      <c r="C100" s="14"/>
      <c r="D100" s="15"/>
      <c r="E100" s="15"/>
      <c r="F100" s="422"/>
      <c r="G100" s="17" t="str">
        <f t="shared" si="9"/>
        <v/>
      </c>
      <c r="H100" s="18"/>
      <c r="I100" s="61"/>
      <c r="J100" s="399"/>
      <c r="K100" s="420" t="str">
        <f t="shared" si="10"/>
        <v/>
      </c>
      <c r="L100" s="401" t="str">
        <f t="shared" si="11"/>
        <v/>
      </c>
    </row>
    <row r="101" spans="2:12" x14ac:dyDescent="0.25">
      <c r="B101" s="46"/>
      <c r="C101" s="14"/>
      <c r="D101" s="15"/>
      <c r="E101" s="15"/>
      <c r="F101" s="422"/>
      <c r="G101" s="17" t="str">
        <f t="shared" si="9"/>
        <v/>
      </c>
      <c r="H101" s="18"/>
      <c r="I101" s="61"/>
      <c r="J101" s="399"/>
      <c r="K101" s="420" t="str">
        <f t="shared" si="10"/>
        <v/>
      </c>
      <c r="L101" s="401" t="str">
        <f t="shared" si="11"/>
        <v/>
      </c>
    </row>
    <row r="102" spans="2:12" x14ac:dyDescent="0.25">
      <c r="B102" s="46"/>
      <c r="C102" s="14"/>
      <c r="D102" s="15"/>
      <c r="E102" s="15"/>
      <c r="F102" s="422"/>
      <c r="G102" s="17" t="str">
        <f t="shared" si="9"/>
        <v/>
      </c>
      <c r="H102" s="18"/>
      <c r="I102" s="61"/>
      <c r="J102" s="399"/>
      <c r="K102" s="420" t="str">
        <f t="shared" si="10"/>
        <v/>
      </c>
      <c r="L102" s="401" t="str">
        <f t="shared" si="11"/>
        <v/>
      </c>
    </row>
    <row r="103" spans="2:12" x14ac:dyDescent="0.25">
      <c r="B103" s="46"/>
      <c r="C103" s="14"/>
      <c r="D103" s="15"/>
      <c r="E103" s="15"/>
      <c r="F103" s="422"/>
      <c r="G103" s="17" t="str">
        <f t="shared" si="9"/>
        <v/>
      </c>
      <c r="H103" s="18"/>
      <c r="I103" s="61"/>
      <c r="J103" s="399"/>
      <c r="K103" s="420" t="str">
        <f t="shared" si="10"/>
        <v/>
      </c>
      <c r="L103" s="401" t="str">
        <f t="shared" si="11"/>
        <v/>
      </c>
    </row>
    <row r="104" spans="2:12" x14ac:dyDescent="0.25">
      <c r="B104" s="46"/>
      <c r="C104" s="14"/>
      <c r="D104" s="15"/>
      <c r="E104" s="15"/>
      <c r="F104" s="422"/>
      <c r="G104" s="17" t="str">
        <f t="shared" si="9"/>
        <v/>
      </c>
      <c r="H104" s="18"/>
      <c r="I104" s="61"/>
      <c r="J104" s="399"/>
      <c r="K104" s="420" t="str">
        <f t="shared" si="10"/>
        <v/>
      </c>
      <c r="L104" s="401" t="str">
        <f t="shared" si="11"/>
        <v/>
      </c>
    </row>
    <row r="105" spans="2:12" x14ac:dyDescent="0.25">
      <c r="B105" s="46"/>
      <c r="C105" s="14"/>
      <c r="D105" s="15"/>
      <c r="E105" s="15"/>
      <c r="F105" s="422"/>
      <c r="G105" s="17" t="str">
        <f t="shared" si="9"/>
        <v/>
      </c>
      <c r="H105" s="18"/>
      <c r="I105" s="61"/>
      <c r="J105" s="400"/>
      <c r="K105" s="420" t="str">
        <f t="shared" si="10"/>
        <v/>
      </c>
      <c r="L105" s="401" t="str">
        <f t="shared" si="11"/>
        <v/>
      </c>
    </row>
    <row r="106" spans="2:12" x14ac:dyDescent="0.25">
      <c r="B106" s="46"/>
      <c r="C106" s="14"/>
      <c r="D106" s="15"/>
      <c r="E106" s="15"/>
      <c r="F106" s="422"/>
      <c r="G106" s="17" t="str">
        <f t="shared" si="9"/>
        <v/>
      </c>
      <c r="H106" s="18"/>
      <c r="I106" s="61"/>
      <c r="J106" s="399"/>
      <c r="K106" s="420" t="str">
        <f t="shared" si="10"/>
        <v/>
      </c>
      <c r="L106" s="401" t="str">
        <f t="shared" si="11"/>
        <v/>
      </c>
    </row>
    <row r="107" spans="2:12" x14ac:dyDescent="0.25">
      <c r="B107" s="46"/>
      <c r="C107" s="14"/>
      <c r="D107" s="15"/>
      <c r="E107" s="15"/>
      <c r="F107" s="422"/>
      <c r="G107" s="17" t="str">
        <f t="shared" si="9"/>
        <v/>
      </c>
      <c r="H107" s="18"/>
      <c r="I107" s="61"/>
      <c r="J107" s="399"/>
      <c r="K107" s="420" t="str">
        <f t="shared" si="10"/>
        <v/>
      </c>
      <c r="L107" s="401" t="str">
        <f t="shared" si="11"/>
        <v/>
      </c>
    </row>
    <row r="108" spans="2:12" x14ac:dyDescent="0.25">
      <c r="B108" s="46"/>
      <c r="C108" s="14"/>
      <c r="D108" s="15"/>
      <c r="E108" s="15"/>
      <c r="F108" s="422"/>
      <c r="G108" s="17" t="str">
        <f t="shared" si="9"/>
        <v/>
      </c>
      <c r="H108" s="18"/>
      <c r="I108" s="61"/>
      <c r="J108" s="399"/>
      <c r="K108" s="420" t="str">
        <f t="shared" si="10"/>
        <v/>
      </c>
      <c r="L108" s="401" t="str">
        <f t="shared" si="11"/>
        <v/>
      </c>
    </row>
    <row r="109" spans="2:12" x14ac:dyDescent="0.25">
      <c r="B109" s="46"/>
      <c r="C109" s="14"/>
      <c r="D109" s="15"/>
      <c r="E109" s="15"/>
      <c r="F109" s="422"/>
      <c r="G109" s="17" t="str">
        <f t="shared" si="9"/>
        <v/>
      </c>
      <c r="H109" s="18"/>
      <c r="I109" s="61"/>
      <c r="J109" s="399"/>
      <c r="K109" s="420" t="str">
        <f t="shared" si="10"/>
        <v/>
      </c>
      <c r="L109" s="401" t="str">
        <f t="shared" si="11"/>
        <v/>
      </c>
    </row>
    <row r="110" spans="2:12" x14ac:dyDescent="0.25">
      <c r="B110" s="46"/>
      <c r="C110" s="14"/>
      <c r="D110" s="15"/>
      <c r="E110" s="15"/>
      <c r="F110" s="422"/>
      <c r="G110" s="17" t="str">
        <f t="shared" si="9"/>
        <v/>
      </c>
      <c r="H110" s="18"/>
      <c r="I110" s="61"/>
      <c r="J110" s="399"/>
      <c r="K110" s="420" t="str">
        <f t="shared" si="10"/>
        <v/>
      </c>
      <c r="L110" s="401" t="str">
        <f t="shared" si="11"/>
        <v/>
      </c>
    </row>
    <row r="111" spans="2:12" x14ac:dyDescent="0.25">
      <c r="B111" s="46"/>
      <c r="C111" s="14"/>
      <c r="D111" s="15"/>
      <c r="E111" s="15"/>
      <c r="F111" s="422"/>
      <c r="G111" s="17" t="str">
        <f t="shared" si="9"/>
        <v/>
      </c>
      <c r="H111" s="18"/>
      <c r="I111" s="61"/>
      <c r="J111" s="399"/>
      <c r="K111" s="420" t="str">
        <f t="shared" si="10"/>
        <v/>
      </c>
      <c r="L111" s="401" t="str">
        <f t="shared" si="11"/>
        <v/>
      </c>
    </row>
    <row r="112" spans="2:12" x14ac:dyDescent="0.25">
      <c r="B112" s="46"/>
      <c r="C112" s="14"/>
      <c r="D112" s="15"/>
      <c r="E112" s="15"/>
      <c r="F112" s="735"/>
      <c r="G112" s="17" t="str">
        <f t="shared" si="9"/>
        <v/>
      </c>
      <c r="H112" s="18"/>
      <c r="I112" s="61"/>
      <c r="J112" s="399"/>
      <c r="K112" s="420" t="str">
        <f t="shared" si="10"/>
        <v/>
      </c>
      <c r="L112" s="401" t="str">
        <f t="shared" si="11"/>
        <v/>
      </c>
    </row>
    <row r="113" spans="2:12" x14ac:dyDescent="0.25">
      <c r="B113" s="46"/>
      <c r="C113" s="14"/>
      <c r="D113" s="15"/>
      <c r="E113" s="15"/>
      <c r="F113" s="422"/>
      <c r="G113" s="17" t="str">
        <f t="shared" si="9"/>
        <v/>
      </c>
      <c r="H113" s="18"/>
      <c r="I113" s="61"/>
      <c r="J113" s="399"/>
      <c r="K113" s="420" t="str">
        <f t="shared" si="10"/>
        <v/>
      </c>
      <c r="L113" s="401" t="str">
        <f t="shared" si="11"/>
        <v/>
      </c>
    </row>
    <row r="114" spans="2:12" x14ac:dyDescent="0.25">
      <c r="B114" s="46"/>
      <c r="C114" s="14"/>
      <c r="D114" s="15"/>
      <c r="E114" s="15"/>
      <c r="F114" s="735"/>
      <c r="G114" s="17" t="str">
        <f t="shared" si="9"/>
        <v/>
      </c>
      <c r="H114" s="18"/>
      <c r="I114" s="61"/>
      <c r="J114" s="399"/>
      <c r="K114" s="420" t="str">
        <f t="shared" si="10"/>
        <v/>
      </c>
      <c r="L114" s="401" t="str">
        <f t="shared" si="11"/>
        <v/>
      </c>
    </row>
    <row r="115" spans="2:12" x14ac:dyDescent="0.25">
      <c r="B115" s="46"/>
      <c r="C115" s="14"/>
      <c r="D115" s="15"/>
      <c r="E115" s="15"/>
      <c r="F115" s="422"/>
      <c r="G115" s="17" t="str">
        <f t="shared" si="9"/>
        <v/>
      </c>
      <c r="H115" s="18"/>
      <c r="I115" s="61"/>
      <c r="J115" s="399"/>
      <c r="K115" s="420" t="str">
        <f t="shared" si="10"/>
        <v/>
      </c>
      <c r="L115" s="401" t="str">
        <f t="shared" si="11"/>
        <v/>
      </c>
    </row>
    <row r="116" spans="2:12" x14ac:dyDescent="0.25">
      <c r="B116" s="46"/>
      <c r="C116" s="14"/>
      <c r="D116" s="15"/>
      <c r="E116" s="15"/>
      <c r="F116" s="422"/>
      <c r="G116" s="17" t="str">
        <f t="shared" si="9"/>
        <v/>
      </c>
      <c r="H116" s="18"/>
      <c r="I116" s="61"/>
      <c r="J116" s="399"/>
      <c r="K116" s="420" t="str">
        <f t="shared" si="10"/>
        <v/>
      </c>
      <c r="L116" s="401" t="str">
        <f t="shared" si="11"/>
        <v/>
      </c>
    </row>
    <row r="117" spans="2:12" x14ac:dyDescent="0.25">
      <c r="B117" s="46"/>
      <c r="C117" s="14"/>
      <c r="D117" s="15"/>
      <c r="E117" s="15"/>
      <c r="F117" s="422"/>
      <c r="G117" s="17" t="str">
        <f t="shared" si="9"/>
        <v/>
      </c>
      <c r="H117" s="18"/>
      <c r="I117" s="61"/>
      <c r="J117" s="402"/>
      <c r="K117" s="420" t="str">
        <f t="shared" si="10"/>
        <v/>
      </c>
      <c r="L117" s="401" t="str">
        <f t="shared" si="11"/>
        <v/>
      </c>
    </row>
    <row r="118" spans="2:12" x14ac:dyDescent="0.25">
      <c r="B118" s="46"/>
      <c r="C118" s="14"/>
      <c r="D118" s="15"/>
      <c r="E118" s="15"/>
      <c r="F118" s="422"/>
      <c r="G118" s="17" t="str">
        <f t="shared" si="9"/>
        <v/>
      </c>
      <c r="H118" s="18"/>
      <c r="I118" s="61"/>
      <c r="J118" s="399"/>
      <c r="K118" s="420" t="str">
        <f t="shared" si="10"/>
        <v/>
      </c>
      <c r="L118" s="401" t="str">
        <f t="shared" si="11"/>
        <v/>
      </c>
    </row>
    <row r="119" spans="2:12" x14ac:dyDescent="0.25">
      <c r="B119" s="46"/>
      <c r="C119" s="14"/>
      <c r="D119" s="15"/>
      <c r="E119" s="15"/>
      <c r="F119" s="422"/>
      <c r="G119" s="17" t="str">
        <f t="shared" si="9"/>
        <v/>
      </c>
      <c r="H119" s="18"/>
      <c r="I119" s="61"/>
      <c r="J119" s="402"/>
      <c r="K119" s="420" t="str">
        <f t="shared" si="10"/>
        <v/>
      </c>
      <c r="L119" s="401" t="str">
        <f t="shared" si="11"/>
        <v/>
      </c>
    </row>
    <row r="120" spans="2:12" x14ac:dyDescent="0.25">
      <c r="B120" s="46"/>
      <c r="C120" s="14"/>
      <c r="D120" s="15"/>
      <c r="E120" s="15"/>
      <c r="F120" s="422"/>
      <c r="G120" s="17" t="str">
        <f t="shared" si="9"/>
        <v/>
      </c>
      <c r="H120" s="18"/>
      <c r="I120" s="62"/>
      <c r="J120" s="62"/>
      <c r="K120" s="420" t="str">
        <f t="shared" si="10"/>
        <v/>
      </c>
      <c r="L120" s="401" t="str">
        <f t="shared" si="11"/>
        <v/>
      </c>
    </row>
    <row r="121" spans="2:12" x14ac:dyDescent="0.25">
      <c r="B121" s="46"/>
      <c r="C121" s="14"/>
      <c r="D121" s="15"/>
      <c r="E121" s="15"/>
      <c r="F121" s="422"/>
      <c r="G121" s="17" t="str">
        <f t="shared" si="9"/>
        <v/>
      </c>
      <c r="H121" s="18"/>
      <c r="I121" s="62"/>
      <c r="J121" s="62"/>
      <c r="K121" s="420" t="str">
        <f t="shared" si="10"/>
        <v/>
      </c>
      <c r="L121" s="401" t="str">
        <f t="shared" si="11"/>
        <v/>
      </c>
    </row>
    <row r="122" spans="2:12" x14ac:dyDescent="0.25">
      <c r="B122" s="46"/>
      <c r="C122" s="14"/>
      <c r="D122" s="15"/>
      <c r="E122" s="15"/>
      <c r="F122" s="422"/>
      <c r="G122" s="17" t="str">
        <f t="shared" si="9"/>
        <v/>
      </c>
      <c r="H122" s="18"/>
      <c r="I122" s="62"/>
      <c r="J122" s="62"/>
      <c r="K122" s="420" t="str">
        <f t="shared" si="10"/>
        <v/>
      </c>
      <c r="L122" s="401" t="str">
        <f t="shared" si="11"/>
        <v/>
      </c>
    </row>
    <row r="123" spans="2:12" x14ac:dyDescent="0.25">
      <c r="B123" s="46"/>
      <c r="C123" s="14"/>
      <c r="D123" s="15"/>
      <c r="E123" s="15"/>
      <c r="F123" s="422"/>
      <c r="G123" s="17" t="str">
        <f t="shared" si="9"/>
        <v/>
      </c>
      <c r="H123" s="18"/>
      <c r="I123" s="62"/>
      <c r="J123" s="62"/>
      <c r="K123" s="420" t="str">
        <f t="shared" si="10"/>
        <v/>
      </c>
      <c r="L123" s="401" t="str">
        <f t="shared" si="11"/>
        <v/>
      </c>
    </row>
    <row r="124" spans="2:12" x14ac:dyDescent="0.25">
      <c r="B124" s="46"/>
      <c r="C124" s="14"/>
      <c r="D124" s="15"/>
      <c r="E124" s="15"/>
      <c r="F124" s="422"/>
      <c r="G124" s="17" t="str">
        <f t="shared" si="9"/>
        <v/>
      </c>
      <c r="H124" s="18"/>
      <c r="I124" s="62"/>
      <c r="J124" s="62"/>
      <c r="K124" s="420" t="str">
        <f t="shared" si="10"/>
        <v/>
      </c>
      <c r="L124" s="401" t="str">
        <f t="shared" si="11"/>
        <v/>
      </c>
    </row>
    <row r="125" spans="2:12" x14ac:dyDescent="0.25">
      <c r="B125" s="46"/>
      <c r="C125" s="14"/>
      <c r="D125" s="15"/>
      <c r="E125" s="15"/>
      <c r="F125" s="422"/>
      <c r="G125" s="17" t="str">
        <f t="shared" si="9"/>
        <v/>
      </c>
      <c r="H125" s="18"/>
      <c r="I125" s="62"/>
      <c r="J125" s="62"/>
      <c r="K125" s="420" t="str">
        <f t="shared" si="10"/>
        <v/>
      </c>
      <c r="L125" s="401" t="str">
        <f t="shared" si="11"/>
        <v/>
      </c>
    </row>
    <row r="126" spans="2:12" x14ac:dyDescent="0.25">
      <c r="B126" s="46"/>
      <c r="C126" s="14"/>
      <c r="D126" s="15"/>
      <c r="E126" s="15"/>
      <c r="F126" s="422"/>
      <c r="G126" s="17" t="str">
        <f t="shared" si="9"/>
        <v/>
      </c>
      <c r="H126" s="18"/>
      <c r="I126" s="62"/>
      <c r="J126" s="62"/>
      <c r="K126" s="420" t="str">
        <f t="shared" si="10"/>
        <v/>
      </c>
      <c r="L126" s="401" t="str">
        <f t="shared" si="11"/>
        <v/>
      </c>
    </row>
    <row r="127" spans="2:12" x14ac:dyDescent="0.25">
      <c r="B127" s="46"/>
      <c r="C127" s="14"/>
      <c r="D127" s="15"/>
      <c r="E127" s="15"/>
      <c r="F127" s="422"/>
      <c r="G127" s="17" t="str">
        <f t="shared" si="9"/>
        <v/>
      </c>
      <c r="H127" s="18"/>
      <c r="I127" s="62"/>
      <c r="J127" s="62"/>
      <c r="K127" s="420" t="str">
        <f t="shared" si="10"/>
        <v/>
      </c>
      <c r="L127" s="401" t="str">
        <f t="shared" si="11"/>
        <v/>
      </c>
    </row>
    <row r="128" spans="2:12" x14ac:dyDescent="0.25">
      <c r="B128" s="46"/>
      <c r="C128" s="14"/>
      <c r="D128" s="15"/>
      <c r="E128" s="15"/>
      <c r="F128" s="422"/>
      <c r="G128" s="17" t="str">
        <f t="shared" si="9"/>
        <v/>
      </c>
      <c r="H128" s="18"/>
      <c r="I128" s="62"/>
      <c r="J128" s="62"/>
      <c r="K128" s="420" t="str">
        <f t="shared" si="10"/>
        <v/>
      </c>
      <c r="L128" s="401" t="str">
        <f t="shared" si="11"/>
        <v/>
      </c>
    </row>
    <row r="129" spans="2:12" x14ac:dyDescent="0.25">
      <c r="B129" s="46"/>
      <c r="C129" s="14"/>
      <c r="D129" s="15"/>
      <c r="E129" s="15"/>
      <c r="F129" s="422"/>
      <c r="G129" s="17" t="str">
        <f t="shared" si="9"/>
        <v/>
      </c>
      <c r="H129" s="18"/>
      <c r="I129" s="62"/>
      <c r="J129" s="62"/>
      <c r="K129" s="420" t="str">
        <f t="shared" si="10"/>
        <v/>
      </c>
      <c r="L129" s="401" t="str">
        <f t="shared" si="11"/>
        <v/>
      </c>
    </row>
    <row r="130" spans="2:12" x14ac:dyDescent="0.25">
      <c r="B130" s="46"/>
      <c r="C130" s="14"/>
      <c r="D130" s="15"/>
      <c r="E130" s="15"/>
      <c r="F130" s="422"/>
      <c r="G130" s="17" t="str">
        <f t="shared" si="9"/>
        <v/>
      </c>
      <c r="H130" s="18"/>
      <c r="I130" s="62"/>
      <c r="J130" s="62"/>
      <c r="K130" s="420" t="str">
        <f t="shared" si="10"/>
        <v/>
      </c>
      <c r="L130" s="401" t="str">
        <f t="shared" si="11"/>
        <v/>
      </c>
    </row>
    <row r="131" spans="2:12" x14ac:dyDescent="0.25">
      <c r="B131" s="46"/>
      <c r="C131" s="14"/>
      <c r="D131" s="15"/>
      <c r="E131" s="15"/>
      <c r="F131" s="422"/>
      <c r="G131" s="17" t="str">
        <f t="shared" si="9"/>
        <v/>
      </c>
      <c r="H131" s="18"/>
      <c r="I131" s="62"/>
      <c r="J131" s="62"/>
      <c r="K131" s="420" t="str">
        <f t="shared" si="10"/>
        <v/>
      </c>
      <c r="L131" s="401" t="str">
        <f t="shared" si="11"/>
        <v/>
      </c>
    </row>
    <row r="132" spans="2:12" x14ac:dyDescent="0.25">
      <c r="B132" s="46"/>
      <c r="C132" s="14"/>
      <c r="D132" s="15"/>
      <c r="E132" s="15"/>
      <c r="F132" s="422"/>
      <c r="G132" s="17" t="str">
        <f t="shared" si="9"/>
        <v/>
      </c>
      <c r="H132" s="18"/>
      <c r="I132" s="62"/>
      <c r="J132" s="62"/>
      <c r="K132" s="420" t="str">
        <f t="shared" si="10"/>
        <v/>
      </c>
      <c r="L132" s="401" t="str">
        <f t="shared" si="11"/>
        <v/>
      </c>
    </row>
    <row r="133" spans="2:12" x14ac:dyDescent="0.25">
      <c r="B133" s="46"/>
      <c r="C133" s="14"/>
      <c r="D133" s="15"/>
      <c r="E133" s="15"/>
      <c r="F133" s="422"/>
      <c r="G133" s="17" t="str">
        <f t="shared" si="9"/>
        <v/>
      </c>
      <c r="H133" s="18"/>
      <c r="I133" s="62"/>
      <c r="J133" s="62"/>
      <c r="K133" s="420" t="str">
        <f t="shared" si="10"/>
        <v/>
      </c>
      <c r="L133" s="401" t="str">
        <f t="shared" si="11"/>
        <v/>
      </c>
    </row>
    <row r="134" spans="2:12" x14ac:dyDescent="0.25">
      <c r="B134" s="46"/>
      <c r="C134" s="14"/>
      <c r="D134" s="15"/>
      <c r="E134" s="15"/>
      <c r="F134" s="422"/>
      <c r="G134" s="17" t="str">
        <f t="shared" si="9"/>
        <v/>
      </c>
      <c r="H134" s="18"/>
      <c r="I134" s="62"/>
      <c r="J134" s="62"/>
      <c r="K134" s="420" t="str">
        <f t="shared" si="10"/>
        <v/>
      </c>
      <c r="L134" s="401" t="str">
        <f t="shared" si="11"/>
        <v/>
      </c>
    </row>
    <row r="135" spans="2:12" x14ac:dyDescent="0.25">
      <c r="B135" s="46"/>
      <c r="C135" s="14"/>
      <c r="D135" s="15"/>
      <c r="E135" s="15"/>
      <c r="F135" s="422"/>
      <c r="G135" s="17" t="str">
        <f t="shared" si="9"/>
        <v/>
      </c>
      <c r="H135" s="18"/>
      <c r="I135" s="62"/>
      <c r="J135" s="62"/>
      <c r="K135" s="420" t="str">
        <f t="shared" si="10"/>
        <v/>
      </c>
      <c r="L135" s="401" t="str">
        <f t="shared" si="11"/>
        <v/>
      </c>
    </row>
    <row r="136" spans="2:12" x14ac:dyDescent="0.25">
      <c r="B136" s="46"/>
      <c r="C136" s="14"/>
      <c r="D136" s="15"/>
      <c r="E136" s="15"/>
      <c r="F136" s="422"/>
      <c r="G136" s="17" t="str">
        <f t="shared" si="9"/>
        <v/>
      </c>
      <c r="H136" s="18"/>
      <c r="I136" s="62"/>
      <c r="J136" s="62"/>
      <c r="K136" s="420" t="str">
        <f t="shared" si="10"/>
        <v/>
      </c>
      <c r="L136" s="401" t="str">
        <f t="shared" si="11"/>
        <v/>
      </c>
    </row>
    <row r="137" spans="2:12" x14ac:dyDescent="0.25">
      <c r="B137" s="46"/>
      <c r="C137" s="14"/>
      <c r="D137" s="15"/>
      <c r="E137" s="15"/>
      <c r="F137" s="422"/>
      <c r="G137" s="17" t="str">
        <f t="shared" si="9"/>
        <v/>
      </c>
      <c r="H137" s="18"/>
      <c r="I137" s="62"/>
      <c r="J137" s="62"/>
      <c r="K137" s="420" t="str">
        <f t="shared" si="10"/>
        <v/>
      </c>
      <c r="L137" s="401" t="str">
        <f t="shared" si="11"/>
        <v/>
      </c>
    </row>
    <row r="138" spans="2:12" x14ac:dyDescent="0.25">
      <c r="B138" s="46"/>
      <c r="C138" s="14"/>
      <c r="D138" s="15"/>
      <c r="E138" s="15"/>
      <c r="F138" s="422"/>
      <c r="G138" s="17" t="str">
        <f t="shared" si="9"/>
        <v/>
      </c>
      <c r="H138" s="18"/>
      <c r="I138" s="62"/>
      <c r="J138" s="62"/>
      <c r="K138" s="420" t="str">
        <f t="shared" si="10"/>
        <v/>
      </c>
      <c r="L138" s="401" t="str">
        <f t="shared" si="11"/>
        <v/>
      </c>
    </row>
    <row r="139" spans="2:12" x14ac:dyDescent="0.25">
      <c r="B139" s="46"/>
      <c r="C139" s="14"/>
      <c r="D139" s="15"/>
      <c r="E139" s="15"/>
      <c r="F139" s="422"/>
      <c r="G139" s="17" t="str">
        <f t="shared" si="9"/>
        <v/>
      </c>
      <c r="H139" s="18"/>
      <c r="I139" s="61"/>
      <c r="J139" s="696"/>
      <c r="K139" s="420" t="str">
        <f t="shared" si="10"/>
        <v/>
      </c>
      <c r="L139" s="401" t="str">
        <f t="shared" si="11"/>
        <v/>
      </c>
    </row>
    <row r="140" spans="2:12" s="28" customFormat="1" ht="20.149999999999999" customHeight="1" x14ac:dyDescent="0.25">
      <c r="B140" s="80" t="str">
        <f>B73</f>
        <v>C1.2</v>
      </c>
      <c r="C140" s="30" t="s">
        <v>12</v>
      </c>
      <c r="D140" s="31"/>
      <c r="E140" s="32"/>
      <c r="F140" s="31"/>
      <c r="G140" s="33">
        <f>SUM(G82:G139)</f>
        <v>201015</v>
      </c>
      <c r="H140" s="34"/>
      <c r="I140" s="408"/>
      <c r="J140" s="406"/>
      <c r="K140" s="418">
        <f>SUM(K82:K139)</f>
        <v>6983.9999999999991</v>
      </c>
      <c r="L140" s="407" t="str">
        <f t="shared" ref="L140" si="12">IF(I140="","",IF(SUM(G140)=0,"",K140/G140))</f>
        <v/>
      </c>
    </row>
    <row r="141" spans="2:12" ht="13" x14ac:dyDescent="0.25">
      <c r="B141" s="1108" t="str">
        <f>Client1</f>
        <v>Province of KwaZulu-Natal</v>
      </c>
      <c r="C141" s="1108"/>
      <c r="D141" s="1108"/>
      <c r="E141" s="1109" t="str">
        <f>"Contract No. "&amp;ContractNo</f>
        <v>Contract No. ZNB 00399/00000/HOD/INF/21/T</v>
      </c>
      <c r="F141" s="1109"/>
      <c r="G141" s="1109"/>
    </row>
    <row r="142" spans="2:12" ht="13" x14ac:dyDescent="0.25">
      <c r="B142" s="1108" t="str">
        <f>Client2</f>
        <v>Department of Transport</v>
      </c>
      <c r="C142" s="1108"/>
      <c r="D142" s="1108"/>
      <c r="E142" s="1109"/>
      <c r="F142" s="1109"/>
      <c r="G142" s="1109"/>
    </row>
    <row r="143" spans="2:12" x14ac:dyDescent="0.25">
      <c r="B143" s="1111"/>
      <c r="C143" s="1111"/>
      <c r="D143" s="1111"/>
      <c r="E143" s="1110"/>
      <c r="F143" s="1110"/>
      <c r="G143" s="1110"/>
    </row>
    <row r="144" spans="2:12" ht="13" x14ac:dyDescent="0.25">
      <c r="B144" s="1112" t="s">
        <v>1773</v>
      </c>
      <c r="C144" s="1113"/>
      <c r="D144" s="1113"/>
      <c r="E144" s="1113"/>
      <c r="F144" s="1113"/>
      <c r="G144" s="1114" t="str">
        <f>$G$6</f>
        <v>CHAPTER C1.2</v>
      </c>
      <c r="H144" s="6"/>
    </row>
    <row r="145" spans="2:12" ht="33.75" customHeight="1" x14ac:dyDescent="0.25">
      <c r="B145" s="1117" t="str">
        <f>ContractDescription</f>
        <v>THE CONSTRUCTION OF EARTHWORKS, LAYERWORKS, SURFACING, CULVERTS AND CWAKA RIVER BRIDGE FROM KM 11.600 TO KM 14.000 ON MAIN ROAD P494 IN THE KING CETSHWAYO DISTRICT UNDER EMPANGENI REGION</v>
      </c>
      <c r="C145" s="1148"/>
      <c r="D145" s="1148"/>
      <c r="E145" s="1148"/>
      <c r="F145" s="1148"/>
      <c r="G145" s="1115"/>
      <c r="H145" s="8"/>
    </row>
    <row r="146" spans="2:12" ht="23.25" customHeight="1" x14ac:dyDescent="0.25">
      <c r="B146" s="1149" t="s">
        <v>1772</v>
      </c>
      <c r="C146" s="1150"/>
      <c r="D146" s="1150"/>
      <c r="E146" s="1150"/>
      <c r="F146" s="1150"/>
      <c r="G146" s="1115"/>
      <c r="H146" s="8"/>
    </row>
    <row r="147" spans="2:12" ht="7.5" customHeight="1" x14ac:dyDescent="0.25">
      <c r="B147" s="611"/>
      <c r="C147" s="612"/>
      <c r="D147" s="612"/>
      <c r="E147" s="612"/>
      <c r="F147" s="612"/>
      <c r="G147" s="1116"/>
      <c r="H147" s="8"/>
    </row>
    <row r="148" spans="2:12" s="9" customFormat="1" ht="25" customHeight="1" x14ac:dyDescent="0.25">
      <c r="B148" s="74" t="s">
        <v>0</v>
      </c>
      <c r="C148" s="11" t="s">
        <v>1</v>
      </c>
      <c r="D148" s="11" t="s">
        <v>2</v>
      </c>
      <c r="E148" s="11" t="s">
        <v>3</v>
      </c>
      <c r="F148" s="11" t="s">
        <v>4</v>
      </c>
      <c r="G148" s="11" t="s">
        <v>5</v>
      </c>
      <c r="H148" s="12"/>
      <c r="I148" s="408" t="s">
        <v>996</v>
      </c>
      <c r="J148" s="253" t="s">
        <v>997</v>
      </c>
      <c r="K148" s="253" t="s">
        <v>998</v>
      </c>
      <c r="L148" s="253" t="s">
        <v>999</v>
      </c>
    </row>
    <row r="149" spans="2:12" s="28" customFormat="1" ht="20.149999999999999" customHeight="1" x14ac:dyDescent="0.25">
      <c r="B149" s="80"/>
      <c r="C149" s="30" t="s">
        <v>27</v>
      </c>
      <c r="D149" s="31"/>
      <c r="E149" s="32"/>
      <c r="F149" s="31"/>
      <c r="G149" s="33">
        <f>G140</f>
        <v>201015</v>
      </c>
      <c r="H149" s="34"/>
      <c r="I149" s="416"/>
      <c r="J149" s="409"/>
      <c r="K149" s="419">
        <f>K140</f>
        <v>6983.9999999999991</v>
      </c>
      <c r="L149" s="410" t="str">
        <f>IF(E149="","",IF(SUM(H149)=0,"",K149/H149))</f>
        <v/>
      </c>
    </row>
    <row r="150" spans="2:12" x14ac:dyDescent="0.25">
      <c r="B150" s="75"/>
      <c r="C150" s="14"/>
      <c r="D150" s="15"/>
      <c r="E150" s="15"/>
      <c r="F150" s="422"/>
      <c r="G150" s="17" t="str">
        <f t="shared" ref="G150:G152" si="13">IF(D150="","",E150*F150)</f>
        <v/>
      </c>
      <c r="H150" s="18"/>
      <c r="I150" s="61"/>
      <c r="J150" s="399"/>
      <c r="K150" s="420" t="str">
        <f t="shared" ref="K150:K152" si="14">IF(I150="","",E150*J150)</f>
        <v/>
      </c>
      <c r="L150" s="401" t="str">
        <f t="shared" ref="L150:L152" si="15">IF(I150="","",IF(SUM(G150)=0,"",K150/G150))</f>
        <v/>
      </c>
    </row>
    <row r="151" spans="2:12" x14ac:dyDescent="0.25">
      <c r="B151" s="75"/>
      <c r="C151" s="14"/>
      <c r="D151" s="15"/>
      <c r="E151" s="15"/>
      <c r="F151" s="422"/>
      <c r="G151" s="17" t="str">
        <f t="shared" si="13"/>
        <v/>
      </c>
      <c r="H151" s="18"/>
      <c r="I151" s="61"/>
      <c r="J151" s="399"/>
      <c r="K151" s="420" t="str">
        <f t="shared" si="14"/>
        <v/>
      </c>
      <c r="L151" s="401" t="str">
        <f t="shared" si="15"/>
        <v/>
      </c>
    </row>
    <row r="152" spans="2:12" x14ac:dyDescent="0.25">
      <c r="B152" s="75"/>
      <c r="C152" s="14"/>
      <c r="D152" s="15"/>
      <c r="E152" s="15"/>
      <c r="F152" s="422"/>
      <c r="G152" s="17" t="str">
        <f t="shared" si="13"/>
        <v/>
      </c>
      <c r="H152" s="18"/>
      <c r="I152" s="61"/>
      <c r="J152" s="399"/>
      <c r="K152" s="420" t="str">
        <f t="shared" si="14"/>
        <v/>
      </c>
      <c r="L152" s="401" t="str">
        <f t="shared" si="15"/>
        <v/>
      </c>
    </row>
    <row r="153" spans="2:12" x14ac:dyDescent="0.25">
      <c r="B153" s="75"/>
      <c r="C153" s="14"/>
      <c r="D153" s="15"/>
      <c r="E153" s="15"/>
      <c r="F153" s="422"/>
      <c r="G153" s="17" t="str">
        <f t="shared" ref="G153" si="16">IF(D153="","",E153*F153)</f>
        <v/>
      </c>
      <c r="H153" s="18"/>
      <c r="I153" s="61"/>
      <c r="J153" s="399"/>
      <c r="K153" s="420" t="str">
        <f t="shared" ref="K153" si="17">IF(I153="","",E153*J153)</f>
        <v/>
      </c>
      <c r="L153" s="401" t="str">
        <f t="shared" ref="L153:L208" si="18">IF(I153="","",IF(SUM(G153)=0,"",K153/G153))</f>
        <v/>
      </c>
    </row>
    <row r="154" spans="2:12" x14ac:dyDescent="0.25">
      <c r="B154" s="75"/>
      <c r="C154" s="14"/>
      <c r="D154" s="15"/>
      <c r="E154" s="15"/>
      <c r="F154" s="422"/>
      <c r="G154" s="17" t="str">
        <f t="shared" ref="G154:G207" si="19">IF(D154="","",E154*F154)</f>
        <v/>
      </c>
      <c r="H154" s="18"/>
      <c r="I154" s="61"/>
      <c r="J154" s="400"/>
      <c r="K154" s="420" t="str">
        <f t="shared" ref="K154:K207" si="20">IF(I154="","",E154*J154)</f>
        <v/>
      </c>
      <c r="L154" s="401" t="str">
        <f t="shared" ref="L154:L207" si="21">IF(I154="","",IF(SUM(G154)=0,"",K154/G154))</f>
        <v/>
      </c>
    </row>
    <row r="155" spans="2:12" x14ac:dyDescent="0.25">
      <c r="B155" s="75"/>
      <c r="C155" s="14"/>
      <c r="D155" s="15"/>
      <c r="E155" s="15"/>
      <c r="F155" s="422"/>
      <c r="G155" s="17" t="str">
        <f t="shared" si="19"/>
        <v/>
      </c>
      <c r="H155" s="18"/>
      <c r="I155" s="61"/>
      <c r="J155" s="399"/>
      <c r="K155" s="420" t="str">
        <f t="shared" si="20"/>
        <v/>
      </c>
      <c r="L155" s="401" t="str">
        <f t="shared" si="21"/>
        <v/>
      </c>
    </row>
    <row r="156" spans="2:12" x14ac:dyDescent="0.25">
      <c r="B156" s="75"/>
      <c r="C156" s="14"/>
      <c r="D156" s="15"/>
      <c r="E156" s="15"/>
      <c r="F156" s="422"/>
      <c r="G156" s="17" t="str">
        <f t="shared" si="19"/>
        <v/>
      </c>
      <c r="H156" s="18"/>
      <c r="I156" s="61"/>
      <c r="J156" s="399"/>
      <c r="K156" s="420" t="str">
        <f t="shared" si="20"/>
        <v/>
      </c>
      <c r="L156" s="401" t="str">
        <f t="shared" si="21"/>
        <v/>
      </c>
    </row>
    <row r="157" spans="2:12" x14ac:dyDescent="0.25">
      <c r="B157" s="75"/>
      <c r="C157" s="14"/>
      <c r="D157" s="15"/>
      <c r="E157" s="15"/>
      <c r="F157" s="422"/>
      <c r="G157" s="17" t="str">
        <f t="shared" si="19"/>
        <v/>
      </c>
      <c r="H157" s="18"/>
      <c r="I157" s="61"/>
      <c r="J157" s="399"/>
      <c r="K157" s="420" t="str">
        <f t="shared" si="20"/>
        <v/>
      </c>
      <c r="L157" s="401" t="str">
        <f t="shared" si="21"/>
        <v/>
      </c>
    </row>
    <row r="158" spans="2:12" x14ac:dyDescent="0.25">
      <c r="B158" s="75"/>
      <c r="C158" s="14"/>
      <c r="D158" s="15"/>
      <c r="E158" s="15"/>
      <c r="F158" s="422"/>
      <c r="G158" s="17" t="str">
        <f t="shared" si="19"/>
        <v/>
      </c>
      <c r="H158" s="18"/>
      <c r="I158" s="61"/>
      <c r="J158" s="402"/>
      <c r="K158" s="420" t="str">
        <f t="shared" si="20"/>
        <v/>
      </c>
      <c r="L158" s="401" t="str">
        <f t="shared" si="21"/>
        <v/>
      </c>
    </row>
    <row r="159" spans="2:12" x14ac:dyDescent="0.25">
      <c r="B159" s="75"/>
      <c r="C159" s="14"/>
      <c r="D159" s="15"/>
      <c r="E159" s="15"/>
      <c r="F159" s="422"/>
      <c r="G159" s="17" t="str">
        <f t="shared" si="19"/>
        <v/>
      </c>
      <c r="H159" s="18"/>
      <c r="I159" s="61"/>
      <c r="J159" s="402"/>
      <c r="K159" s="420" t="str">
        <f t="shared" si="20"/>
        <v/>
      </c>
      <c r="L159" s="401" t="str">
        <f t="shared" si="21"/>
        <v/>
      </c>
    </row>
    <row r="160" spans="2:12" x14ac:dyDescent="0.25">
      <c r="B160" s="75"/>
      <c r="C160" s="14"/>
      <c r="D160" s="15"/>
      <c r="E160" s="15"/>
      <c r="F160" s="422"/>
      <c r="G160" s="17" t="str">
        <f t="shared" si="19"/>
        <v/>
      </c>
      <c r="H160" s="18"/>
      <c r="I160" s="61"/>
      <c r="J160" s="402"/>
      <c r="K160" s="420" t="str">
        <f t="shared" si="20"/>
        <v/>
      </c>
      <c r="L160" s="401" t="str">
        <f t="shared" si="21"/>
        <v/>
      </c>
    </row>
    <row r="161" spans="2:12" x14ac:dyDescent="0.25">
      <c r="B161" s="75"/>
      <c r="C161" s="14"/>
      <c r="D161" s="15"/>
      <c r="E161" s="15"/>
      <c r="F161" s="422"/>
      <c r="G161" s="17" t="str">
        <f t="shared" si="19"/>
        <v/>
      </c>
      <c r="H161" s="18"/>
      <c r="I161" s="61"/>
      <c r="J161" s="402"/>
      <c r="K161" s="420" t="str">
        <f t="shared" si="20"/>
        <v/>
      </c>
      <c r="L161" s="401" t="str">
        <f t="shared" si="21"/>
        <v/>
      </c>
    </row>
    <row r="162" spans="2:12" x14ac:dyDescent="0.25">
      <c r="B162" s="75"/>
      <c r="C162" s="14"/>
      <c r="D162" s="15"/>
      <c r="E162" s="15"/>
      <c r="F162" s="422"/>
      <c r="G162" s="17" t="str">
        <f t="shared" si="19"/>
        <v/>
      </c>
      <c r="H162" s="18"/>
      <c r="I162" s="61"/>
      <c r="J162" s="402"/>
      <c r="K162" s="420" t="str">
        <f t="shared" si="20"/>
        <v/>
      </c>
      <c r="L162" s="401" t="str">
        <f t="shared" si="21"/>
        <v/>
      </c>
    </row>
    <row r="163" spans="2:12" x14ac:dyDescent="0.25">
      <c r="B163" s="75"/>
      <c r="C163" s="14"/>
      <c r="D163" s="15"/>
      <c r="E163" s="15"/>
      <c r="F163" s="422"/>
      <c r="G163" s="17" t="str">
        <f t="shared" si="19"/>
        <v/>
      </c>
      <c r="H163" s="18"/>
      <c r="I163" s="61"/>
      <c r="J163" s="402"/>
      <c r="K163" s="420" t="str">
        <f t="shared" si="20"/>
        <v/>
      </c>
      <c r="L163" s="401" t="str">
        <f t="shared" si="21"/>
        <v/>
      </c>
    </row>
    <row r="164" spans="2:12" x14ac:dyDescent="0.25">
      <c r="B164" s="75"/>
      <c r="C164" s="14"/>
      <c r="D164" s="15"/>
      <c r="E164" s="15"/>
      <c r="F164" s="422"/>
      <c r="G164" s="17" t="str">
        <f t="shared" si="19"/>
        <v/>
      </c>
      <c r="H164" s="18"/>
      <c r="I164" s="61"/>
      <c r="J164" s="399"/>
      <c r="K164" s="420" t="str">
        <f t="shared" si="20"/>
        <v/>
      </c>
      <c r="L164" s="401" t="str">
        <f t="shared" si="21"/>
        <v/>
      </c>
    </row>
    <row r="165" spans="2:12" x14ac:dyDescent="0.25">
      <c r="B165" s="75"/>
      <c r="C165" s="14"/>
      <c r="D165" s="15"/>
      <c r="E165" s="15"/>
      <c r="F165" s="422"/>
      <c r="G165" s="17" t="str">
        <f t="shared" si="19"/>
        <v/>
      </c>
      <c r="H165" s="18"/>
      <c r="I165" s="61"/>
      <c r="J165" s="399"/>
      <c r="K165" s="420" t="str">
        <f t="shared" si="20"/>
        <v/>
      </c>
      <c r="L165" s="401" t="str">
        <f t="shared" si="21"/>
        <v/>
      </c>
    </row>
    <row r="166" spans="2:12" x14ac:dyDescent="0.25">
      <c r="B166" s="75"/>
      <c r="C166" s="14"/>
      <c r="D166" s="15"/>
      <c r="E166" s="15"/>
      <c r="F166" s="422"/>
      <c r="G166" s="17" t="str">
        <f t="shared" si="19"/>
        <v/>
      </c>
      <c r="H166" s="18"/>
      <c r="I166" s="61"/>
      <c r="J166" s="400"/>
      <c r="K166" s="420" t="str">
        <f t="shared" si="20"/>
        <v/>
      </c>
      <c r="L166" s="401" t="str">
        <f t="shared" si="21"/>
        <v/>
      </c>
    </row>
    <row r="167" spans="2:12" x14ac:dyDescent="0.25">
      <c r="B167" s="75"/>
      <c r="C167" s="14"/>
      <c r="D167" s="15"/>
      <c r="E167" s="15"/>
      <c r="F167" s="422"/>
      <c r="G167" s="17" t="str">
        <f t="shared" si="19"/>
        <v/>
      </c>
      <c r="H167" s="18"/>
      <c r="I167" s="61"/>
      <c r="J167" s="399"/>
      <c r="K167" s="420" t="str">
        <f t="shared" si="20"/>
        <v/>
      </c>
      <c r="L167" s="401" t="str">
        <f t="shared" si="21"/>
        <v/>
      </c>
    </row>
    <row r="168" spans="2:12" x14ac:dyDescent="0.25">
      <c r="B168" s="75"/>
      <c r="C168" s="14"/>
      <c r="D168" s="15"/>
      <c r="E168" s="15"/>
      <c r="F168" s="422"/>
      <c r="G168" s="17" t="str">
        <f t="shared" si="19"/>
        <v/>
      </c>
      <c r="H168" s="18"/>
      <c r="I168" s="61"/>
      <c r="J168" s="399"/>
      <c r="K168" s="420" t="str">
        <f t="shared" si="20"/>
        <v/>
      </c>
      <c r="L168" s="401" t="str">
        <f t="shared" si="21"/>
        <v/>
      </c>
    </row>
    <row r="169" spans="2:12" x14ac:dyDescent="0.25">
      <c r="B169" s="75"/>
      <c r="C169" s="14"/>
      <c r="D169" s="15"/>
      <c r="E169" s="15"/>
      <c r="F169" s="422"/>
      <c r="G169" s="17" t="str">
        <f t="shared" si="19"/>
        <v/>
      </c>
      <c r="H169" s="18"/>
      <c r="I169" s="61"/>
      <c r="J169" s="399"/>
      <c r="K169" s="420" t="str">
        <f t="shared" si="20"/>
        <v/>
      </c>
      <c r="L169" s="401" t="str">
        <f t="shared" si="21"/>
        <v/>
      </c>
    </row>
    <row r="170" spans="2:12" x14ac:dyDescent="0.25">
      <c r="B170" s="75"/>
      <c r="C170" s="14"/>
      <c r="D170" s="15"/>
      <c r="E170" s="15"/>
      <c r="F170" s="422"/>
      <c r="G170" s="17" t="str">
        <f t="shared" si="19"/>
        <v/>
      </c>
      <c r="H170" s="18"/>
      <c r="I170" s="61"/>
      <c r="J170" s="399"/>
      <c r="K170" s="420" t="str">
        <f t="shared" si="20"/>
        <v/>
      </c>
      <c r="L170" s="401" t="str">
        <f t="shared" si="21"/>
        <v/>
      </c>
    </row>
    <row r="171" spans="2:12" x14ac:dyDescent="0.25">
      <c r="B171" s="75"/>
      <c r="C171" s="14"/>
      <c r="D171" s="15"/>
      <c r="E171" s="15"/>
      <c r="F171" s="422"/>
      <c r="G171" s="17" t="str">
        <f t="shared" si="19"/>
        <v/>
      </c>
      <c r="H171" s="18"/>
      <c r="I171" s="61"/>
      <c r="J171" s="399"/>
      <c r="K171" s="420" t="str">
        <f t="shared" si="20"/>
        <v/>
      </c>
      <c r="L171" s="401" t="str">
        <f t="shared" si="21"/>
        <v/>
      </c>
    </row>
    <row r="172" spans="2:12" x14ac:dyDescent="0.25">
      <c r="B172" s="75"/>
      <c r="C172" s="14"/>
      <c r="D172" s="15"/>
      <c r="E172" s="15"/>
      <c r="F172" s="422"/>
      <c r="G172" s="17" t="str">
        <f t="shared" si="19"/>
        <v/>
      </c>
      <c r="H172" s="18"/>
      <c r="I172" s="61"/>
      <c r="J172" s="400"/>
      <c r="K172" s="420" t="str">
        <f t="shared" si="20"/>
        <v/>
      </c>
      <c r="L172" s="401" t="str">
        <f t="shared" si="21"/>
        <v/>
      </c>
    </row>
    <row r="173" spans="2:12" x14ac:dyDescent="0.25">
      <c r="B173" s="75"/>
      <c r="C173" s="14"/>
      <c r="D173" s="15"/>
      <c r="E173" s="15"/>
      <c r="F173" s="422"/>
      <c r="G173" s="17" t="str">
        <f t="shared" si="19"/>
        <v/>
      </c>
      <c r="H173" s="18"/>
      <c r="I173" s="61"/>
      <c r="J173" s="399"/>
      <c r="K173" s="420" t="str">
        <f t="shared" si="20"/>
        <v/>
      </c>
      <c r="L173" s="401" t="str">
        <f t="shared" si="21"/>
        <v/>
      </c>
    </row>
    <row r="174" spans="2:12" x14ac:dyDescent="0.25">
      <c r="B174" s="75"/>
      <c r="C174" s="14"/>
      <c r="D174" s="15"/>
      <c r="E174" s="15"/>
      <c r="F174" s="422"/>
      <c r="G174" s="17" t="str">
        <f t="shared" si="19"/>
        <v/>
      </c>
      <c r="H174" s="18"/>
      <c r="I174" s="61"/>
      <c r="J174" s="399"/>
      <c r="K174" s="420" t="str">
        <f t="shared" si="20"/>
        <v/>
      </c>
      <c r="L174" s="401" t="str">
        <f t="shared" si="21"/>
        <v/>
      </c>
    </row>
    <row r="175" spans="2:12" x14ac:dyDescent="0.25">
      <c r="B175" s="234"/>
      <c r="C175" s="234"/>
      <c r="D175" s="15"/>
      <c r="E175" s="15"/>
      <c r="F175" s="422"/>
      <c r="G175" s="17" t="str">
        <f t="shared" si="19"/>
        <v/>
      </c>
      <c r="H175" s="18"/>
      <c r="I175" s="61"/>
      <c r="J175" s="399"/>
      <c r="K175" s="420" t="str">
        <f t="shared" si="20"/>
        <v/>
      </c>
      <c r="L175" s="401" t="str">
        <f t="shared" si="21"/>
        <v/>
      </c>
    </row>
    <row r="176" spans="2:12" x14ac:dyDescent="0.25">
      <c r="B176" s="75"/>
      <c r="C176" s="14"/>
      <c r="D176" s="15"/>
      <c r="E176" s="15"/>
      <c r="F176" s="422"/>
      <c r="G176" s="17" t="str">
        <f t="shared" si="19"/>
        <v/>
      </c>
      <c r="H176" s="18"/>
      <c r="I176" s="61"/>
      <c r="J176" s="399"/>
      <c r="K176" s="420" t="str">
        <f t="shared" si="20"/>
        <v/>
      </c>
      <c r="L176" s="401" t="str">
        <f t="shared" si="21"/>
        <v/>
      </c>
    </row>
    <row r="177" spans="2:12" x14ac:dyDescent="0.25">
      <c r="B177" s="234"/>
      <c r="C177" s="234"/>
      <c r="D177" s="15"/>
      <c r="E177" s="15"/>
      <c r="F177" s="422"/>
      <c r="G177" s="17" t="str">
        <f t="shared" si="19"/>
        <v/>
      </c>
      <c r="H177" s="18"/>
      <c r="I177" s="61"/>
      <c r="J177" s="399"/>
      <c r="K177" s="420" t="str">
        <f t="shared" si="20"/>
        <v/>
      </c>
      <c r="L177" s="401" t="str">
        <f t="shared" si="21"/>
        <v/>
      </c>
    </row>
    <row r="178" spans="2:12" x14ac:dyDescent="0.25">
      <c r="B178" s="75"/>
      <c r="C178" s="14"/>
      <c r="D178" s="15"/>
      <c r="E178" s="15"/>
      <c r="F178" s="422"/>
      <c r="G178" s="17" t="str">
        <f t="shared" si="19"/>
        <v/>
      </c>
      <c r="H178" s="18"/>
      <c r="I178" s="61"/>
      <c r="J178" s="399"/>
      <c r="K178" s="420" t="str">
        <f t="shared" si="20"/>
        <v/>
      </c>
      <c r="L178" s="401" t="str">
        <f t="shared" si="21"/>
        <v/>
      </c>
    </row>
    <row r="179" spans="2:12" x14ac:dyDescent="0.25">
      <c r="B179" s="234"/>
      <c r="C179" s="235"/>
      <c r="D179" s="15"/>
      <c r="E179" s="15"/>
      <c r="F179" s="422"/>
      <c r="G179" s="17" t="str">
        <f t="shared" si="19"/>
        <v/>
      </c>
      <c r="H179" s="18"/>
      <c r="I179" s="61"/>
      <c r="J179" s="399"/>
      <c r="K179" s="420" t="str">
        <f t="shared" si="20"/>
        <v/>
      </c>
      <c r="L179" s="401" t="str">
        <f t="shared" si="21"/>
        <v/>
      </c>
    </row>
    <row r="180" spans="2:12" x14ac:dyDescent="0.25">
      <c r="B180" s="75"/>
      <c r="C180" s="14"/>
      <c r="D180" s="15"/>
      <c r="E180" s="15"/>
      <c r="F180" s="422"/>
      <c r="G180" s="17" t="str">
        <f t="shared" si="19"/>
        <v/>
      </c>
      <c r="H180" s="18"/>
      <c r="I180" s="61"/>
      <c r="J180" s="399"/>
      <c r="K180" s="420" t="str">
        <f t="shared" si="20"/>
        <v/>
      </c>
      <c r="L180" s="401" t="str">
        <f t="shared" si="21"/>
        <v/>
      </c>
    </row>
    <row r="181" spans="2:12" x14ac:dyDescent="0.25">
      <c r="B181" s="75"/>
      <c r="C181" s="14"/>
      <c r="D181" s="15"/>
      <c r="E181" s="15"/>
      <c r="F181" s="422"/>
      <c r="G181" s="17" t="str">
        <f t="shared" si="19"/>
        <v/>
      </c>
      <c r="H181" s="18"/>
      <c r="I181" s="61"/>
      <c r="J181" s="399"/>
      <c r="K181" s="420" t="str">
        <f t="shared" si="20"/>
        <v/>
      </c>
      <c r="L181" s="401" t="str">
        <f t="shared" si="21"/>
        <v/>
      </c>
    </row>
    <row r="182" spans="2:12" x14ac:dyDescent="0.25">
      <c r="B182" s="75"/>
      <c r="C182" s="14"/>
      <c r="D182" s="15"/>
      <c r="E182" s="15"/>
      <c r="F182" s="422"/>
      <c r="G182" s="17" t="str">
        <f t="shared" si="19"/>
        <v/>
      </c>
      <c r="H182" s="18"/>
      <c r="I182" s="61"/>
      <c r="J182" s="399"/>
      <c r="K182" s="420" t="str">
        <f t="shared" si="20"/>
        <v/>
      </c>
      <c r="L182" s="401" t="str">
        <f t="shared" si="21"/>
        <v/>
      </c>
    </row>
    <row r="183" spans="2:12" x14ac:dyDescent="0.25">
      <c r="B183" s="75"/>
      <c r="C183" s="14"/>
      <c r="D183" s="15"/>
      <c r="E183" s="15"/>
      <c r="F183" s="422"/>
      <c r="G183" s="17" t="str">
        <f t="shared" si="19"/>
        <v/>
      </c>
      <c r="H183" s="18"/>
      <c r="I183" s="61"/>
      <c r="J183" s="399"/>
      <c r="K183" s="420" t="str">
        <f t="shared" si="20"/>
        <v/>
      </c>
      <c r="L183" s="401" t="str">
        <f t="shared" si="21"/>
        <v/>
      </c>
    </row>
    <row r="184" spans="2:12" x14ac:dyDescent="0.25">
      <c r="B184" s="75"/>
      <c r="C184" s="14"/>
      <c r="D184" s="15"/>
      <c r="E184" s="15"/>
      <c r="F184" s="422"/>
      <c r="G184" s="17" t="str">
        <f t="shared" si="19"/>
        <v/>
      </c>
      <c r="H184" s="18"/>
      <c r="I184" s="61"/>
      <c r="J184" s="402"/>
      <c r="K184" s="420" t="str">
        <f t="shared" si="20"/>
        <v/>
      </c>
      <c r="L184" s="401" t="str">
        <f t="shared" si="21"/>
        <v/>
      </c>
    </row>
    <row r="185" spans="2:12" x14ac:dyDescent="0.25">
      <c r="B185" s="75"/>
      <c r="C185" s="14"/>
      <c r="D185" s="15"/>
      <c r="E185" s="15"/>
      <c r="F185" s="422"/>
      <c r="G185" s="17" t="str">
        <f t="shared" si="19"/>
        <v/>
      </c>
      <c r="H185" s="18"/>
      <c r="I185" s="61"/>
      <c r="J185" s="399"/>
      <c r="K185" s="420" t="str">
        <f t="shared" si="20"/>
        <v/>
      </c>
      <c r="L185" s="401" t="str">
        <f t="shared" si="21"/>
        <v/>
      </c>
    </row>
    <row r="186" spans="2:12" x14ac:dyDescent="0.25">
      <c r="B186" s="75"/>
      <c r="C186" s="14"/>
      <c r="D186" s="15"/>
      <c r="E186" s="15"/>
      <c r="F186" s="422"/>
      <c r="G186" s="17" t="str">
        <f t="shared" si="19"/>
        <v/>
      </c>
      <c r="H186" s="18"/>
      <c r="I186" s="61"/>
      <c r="J186" s="402"/>
      <c r="K186" s="420" t="str">
        <f t="shared" si="20"/>
        <v/>
      </c>
      <c r="L186" s="401" t="str">
        <f t="shared" si="21"/>
        <v/>
      </c>
    </row>
    <row r="187" spans="2:12" x14ac:dyDescent="0.25">
      <c r="B187" s="75"/>
      <c r="C187" s="14"/>
      <c r="D187" s="15"/>
      <c r="E187" s="15"/>
      <c r="F187" s="422"/>
      <c r="G187" s="17" t="str">
        <f t="shared" si="19"/>
        <v/>
      </c>
      <c r="H187" s="18"/>
      <c r="I187" s="62"/>
      <c r="J187" s="62"/>
      <c r="K187" s="420" t="str">
        <f t="shared" si="20"/>
        <v/>
      </c>
      <c r="L187" s="401" t="str">
        <f t="shared" si="21"/>
        <v/>
      </c>
    </row>
    <row r="188" spans="2:12" x14ac:dyDescent="0.25">
      <c r="B188" s="75"/>
      <c r="C188" s="14"/>
      <c r="D188" s="15"/>
      <c r="E188" s="15"/>
      <c r="F188" s="422"/>
      <c r="G188" s="17" t="str">
        <f t="shared" si="19"/>
        <v/>
      </c>
      <c r="H188" s="18"/>
      <c r="I188" s="62"/>
      <c r="J188" s="62"/>
      <c r="K188" s="420" t="str">
        <f t="shared" si="20"/>
        <v/>
      </c>
      <c r="L188" s="401" t="str">
        <f t="shared" si="21"/>
        <v/>
      </c>
    </row>
    <row r="189" spans="2:12" x14ac:dyDescent="0.25">
      <c r="B189" s="75"/>
      <c r="C189" s="14"/>
      <c r="D189" s="15"/>
      <c r="E189" s="15"/>
      <c r="F189" s="422"/>
      <c r="G189" s="17" t="str">
        <f t="shared" si="19"/>
        <v/>
      </c>
      <c r="H189" s="18"/>
      <c r="I189" s="62"/>
      <c r="J189" s="62"/>
      <c r="K189" s="420" t="str">
        <f t="shared" si="20"/>
        <v/>
      </c>
      <c r="L189" s="401" t="str">
        <f t="shared" si="21"/>
        <v/>
      </c>
    </row>
    <row r="190" spans="2:12" x14ac:dyDescent="0.25">
      <c r="B190" s="75"/>
      <c r="C190" s="14"/>
      <c r="D190" s="15"/>
      <c r="E190" s="15"/>
      <c r="F190" s="422"/>
      <c r="G190" s="17" t="str">
        <f t="shared" si="19"/>
        <v/>
      </c>
      <c r="H190" s="18"/>
      <c r="I190" s="62"/>
      <c r="J190" s="62"/>
      <c r="K190" s="420" t="str">
        <f t="shared" si="20"/>
        <v/>
      </c>
      <c r="L190" s="401" t="str">
        <f t="shared" si="21"/>
        <v/>
      </c>
    </row>
    <row r="191" spans="2:12" x14ac:dyDescent="0.25">
      <c r="B191" s="75"/>
      <c r="C191" s="14"/>
      <c r="D191" s="15"/>
      <c r="E191" s="15"/>
      <c r="F191" s="422"/>
      <c r="G191" s="17" t="str">
        <f t="shared" si="19"/>
        <v/>
      </c>
      <c r="H191" s="18"/>
      <c r="I191" s="62"/>
      <c r="J191" s="62"/>
      <c r="K191" s="420" t="str">
        <f t="shared" si="20"/>
        <v/>
      </c>
      <c r="L191" s="401" t="str">
        <f t="shared" si="21"/>
        <v/>
      </c>
    </row>
    <row r="192" spans="2:12" x14ac:dyDescent="0.25">
      <c r="B192" s="75"/>
      <c r="C192" s="14"/>
      <c r="D192" s="15"/>
      <c r="E192" s="15"/>
      <c r="F192" s="422"/>
      <c r="G192" s="17" t="str">
        <f t="shared" si="19"/>
        <v/>
      </c>
      <c r="H192" s="18"/>
      <c r="I192" s="62"/>
      <c r="J192" s="62"/>
      <c r="K192" s="420" t="str">
        <f t="shared" si="20"/>
        <v/>
      </c>
      <c r="L192" s="401" t="str">
        <f t="shared" si="21"/>
        <v/>
      </c>
    </row>
    <row r="193" spans="2:12" x14ac:dyDescent="0.25">
      <c r="B193" s="75"/>
      <c r="C193" s="14"/>
      <c r="D193" s="15"/>
      <c r="E193" s="15"/>
      <c r="F193" s="422"/>
      <c r="G193" s="17" t="str">
        <f t="shared" si="19"/>
        <v/>
      </c>
      <c r="H193" s="18"/>
      <c r="I193" s="62"/>
      <c r="J193" s="62"/>
      <c r="K193" s="420" t="str">
        <f t="shared" si="20"/>
        <v/>
      </c>
      <c r="L193" s="401" t="str">
        <f t="shared" si="21"/>
        <v/>
      </c>
    </row>
    <row r="194" spans="2:12" x14ac:dyDescent="0.25">
      <c r="B194" s="75"/>
      <c r="C194" s="14"/>
      <c r="D194" s="15"/>
      <c r="E194" s="15"/>
      <c r="F194" s="422"/>
      <c r="G194" s="17" t="str">
        <f t="shared" si="19"/>
        <v/>
      </c>
      <c r="H194" s="18"/>
      <c r="I194" s="62"/>
      <c r="J194" s="62"/>
      <c r="K194" s="420" t="str">
        <f t="shared" si="20"/>
        <v/>
      </c>
      <c r="L194" s="401" t="str">
        <f t="shared" si="21"/>
        <v/>
      </c>
    </row>
    <row r="195" spans="2:12" x14ac:dyDescent="0.25">
      <c r="B195" s="75"/>
      <c r="C195" s="14"/>
      <c r="D195" s="15"/>
      <c r="E195" s="15"/>
      <c r="F195" s="422"/>
      <c r="G195" s="17" t="str">
        <f t="shared" si="19"/>
        <v/>
      </c>
      <c r="H195" s="18"/>
      <c r="I195" s="62"/>
      <c r="J195" s="62"/>
      <c r="K195" s="420" t="str">
        <f t="shared" si="20"/>
        <v/>
      </c>
      <c r="L195" s="401" t="str">
        <f t="shared" si="21"/>
        <v/>
      </c>
    </row>
    <row r="196" spans="2:12" x14ac:dyDescent="0.25">
      <c r="B196" s="75"/>
      <c r="C196" s="14"/>
      <c r="D196" s="15"/>
      <c r="E196" s="15"/>
      <c r="F196" s="422"/>
      <c r="G196" s="17" t="str">
        <f t="shared" si="19"/>
        <v/>
      </c>
      <c r="H196" s="18"/>
      <c r="I196" s="62"/>
      <c r="J196" s="62"/>
      <c r="K196" s="420" t="str">
        <f t="shared" si="20"/>
        <v/>
      </c>
      <c r="L196" s="401" t="str">
        <f t="shared" si="21"/>
        <v/>
      </c>
    </row>
    <row r="197" spans="2:12" x14ac:dyDescent="0.25">
      <c r="B197" s="75"/>
      <c r="C197" s="14"/>
      <c r="D197" s="15"/>
      <c r="E197" s="15"/>
      <c r="F197" s="422"/>
      <c r="G197" s="17" t="str">
        <f t="shared" si="19"/>
        <v/>
      </c>
      <c r="H197" s="18"/>
      <c r="I197" s="62"/>
      <c r="J197" s="62"/>
      <c r="K197" s="420" t="str">
        <f t="shared" si="20"/>
        <v/>
      </c>
      <c r="L197" s="401" t="str">
        <f t="shared" si="21"/>
        <v/>
      </c>
    </row>
    <row r="198" spans="2:12" x14ac:dyDescent="0.25">
      <c r="B198" s="75"/>
      <c r="C198" s="14"/>
      <c r="D198" s="15"/>
      <c r="E198" s="15"/>
      <c r="F198" s="422"/>
      <c r="G198" s="17" t="str">
        <f t="shared" si="19"/>
        <v/>
      </c>
      <c r="H198" s="18"/>
      <c r="I198" s="62"/>
      <c r="J198" s="62"/>
      <c r="K198" s="420" t="str">
        <f t="shared" si="20"/>
        <v/>
      </c>
      <c r="L198" s="401" t="str">
        <f t="shared" si="21"/>
        <v/>
      </c>
    </row>
    <row r="199" spans="2:12" x14ac:dyDescent="0.25">
      <c r="B199" s="75"/>
      <c r="C199" s="14"/>
      <c r="D199" s="15"/>
      <c r="E199" s="15"/>
      <c r="F199" s="422"/>
      <c r="G199" s="17" t="str">
        <f t="shared" si="19"/>
        <v/>
      </c>
      <c r="H199" s="18"/>
      <c r="I199" s="61"/>
      <c r="J199" s="62"/>
      <c r="K199" s="420" t="str">
        <f t="shared" si="20"/>
        <v/>
      </c>
      <c r="L199" s="401" t="str">
        <f t="shared" si="21"/>
        <v/>
      </c>
    </row>
    <row r="200" spans="2:12" x14ac:dyDescent="0.25">
      <c r="B200" s="75"/>
      <c r="C200" s="14"/>
      <c r="D200" s="15"/>
      <c r="E200" s="15"/>
      <c r="F200" s="422"/>
      <c r="G200" s="17" t="str">
        <f t="shared" si="19"/>
        <v/>
      </c>
      <c r="H200" s="18"/>
      <c r="I200" s="62"/>
      <c r="J200" s="62"/>
      <c r="K200" s="420" t="str">
        <f t="shared" si="20"/>
        <v/>
      </c>
      <c r="L200" s="401" t="str">
        <f t="shared" si="21"/>
        <v/>
      </c>
    </row>
    <row r="201" spans="2:12" x14ac:dyDescent="0.25">
      <c r="B201" s="75"/>
      <c r="C201" s="14"/>
      <c r="D201" s="15"/>
      <c r="E201" s="15"/>
      <c r="F201" s="422"/>
      <c r="G201" s="17" t="str">
        <f t="shared" si="19"/>
        <v/>
      </c>
      <c r="H201" s="18"/>
      <c r="I201" s="62"/>
      <c r="J201" s="62"/>
      <c r="K201" s="420" t="str">
        <f t="shared" si="20"/>
        <v/>
      </c>
      <c r="L201" s="401" t="str">
        <f t="shared" si="21"/>
        <v/>
      </c>
    </row>
    <row r="202" spans="2:12" x14ac:dyDescent="0.25">
      <c r="B202" s="75"/>
      <c r="C202" s="14"/>
      <c r="D202" s="15"/>
      <c r="E202" s="15"/>
      <c r="F202" s="422"/>
      <c r="G202" s="17" t="str">
        <f t="shared" si="19"/>
        <v/>
      </c>
      <c r="H202" s="18"/>
      <c r="I202" s="62"/>
      <c r="J202" s="62"/>
      <c r="K202" s="420" t="str">
        <f t="shared" si="20"/>
        <v/>
      </c>
      <c r="L202" s="401" t="str">
        <f t="shared" si="21"/>
        <v/>
      </c>
    </row>
    <row r="203" spans="2:12" x14ac:dyDescent="0.25">
      <c r="B203" s="75"/>
      <c r="C203" s="14"/>
      <c r="D203" s="15"/>
      <c r="E203" s="15"/>
      <c r="F203" s="422"/>
      <c r="G203" s="17" t="str">
        <f t="shared" si="19"/>
        <v/>
      </c>
      <c r="H203" s="18"/>
      <c r="I203" s="62"/>
      <c r="J203" s="62"/>
      <c r="K203" s="420" t="str">
        <f t="shared" si="20"/>
        <v/>
      </c>
      <c r="L203" s="401" t="str">
        <f t="shared" si="21"/>
        <v/>
      </c>
    </row>
    <row r="204" spans="2:12" x14ac:dyDescent="0.25">
      <c r="B204" s="75"/>
      <c r="C204" s="14"/>
      <c r="D204" s="15"/>
      <c r="E204" s="15"/>
      <c r="F204" s="422"/>
      <c r="G204" s="17" t="str">
        <f t="shared" si="19"/>
        <v/>
      </c>
      <c r="H204" s="18"/>
      <c r="I204" s="62"/>
      <c r="J204" s="62"/>
      <c r="K204" s="420" t="str">
        <f t="shared" si="20"/>
        <v/>
      </c>
      <c r="L204" s="401" t="str">
        <f t="shared" si="21"/>
        <v/>
      </c>
    </row>
    <row r="205" spans="2:12" x14ac:dyDescent="0.25">
      <c r="B205" s="75"/>
      <c r="C205" s="14"/>
      <c r="D205" s="15"/>
      <c r="E205" s="15"/>
      <c r="F205" s="422"/>
      <c r="G205" s="17" t="str">
        <f t="shared" si="19"/>
        <v/>
      </c>
      <c r="H205" s="18"/>
      <c r="I205" s="61"/>
      <c r="J205" s="62"/>
      <c r="K205" s="420" t="str">
        <f t="shared" si="20"/>
        <v/>
      </c>
      <c r="L205" s="401" t="str">
        <f t="shared" si="21"/>
        <v/>
      </c>
    </row>
    <row r="206" spans="2:12" x14ac:dyDescent="0.25">
      <c r="B206" s="75"/>
      <c r="C206" s="14"/>
      <c r="D206" s="15"/>
      <c r="E206" s="15"/>
      <c r="F206" s="422"/>
      <c r="G206" s="17" t="str">
        <f t="shared" si="19"/>
        <v/>
      </c>
      <c r="H206" s="18"/>
      <c r="I206" s="61"/>
      <c r="J206" s="695"/>
      <c r="K206" s="420" t="str">
        <f t="shared" si="20"/>
        <v/>
      </c>
      <c r="L206" s="401" t="str">
        <f t="shared" si="21"/>
        <v/>
      </c>
    </row>
    <row r="207" spans="2:12" x14ac:dyDescent="0.25">
      <c r="B207" s="75"/>
      <c r="C207" s="14"/>
      <c r="D207" s="15"/>
      <c r="E207" s="15"/>
      <c r="F207" s="422"/>
      <c r="G207" s="17" t="str">
        <f t="shared" si="19"/>
        <v/>
      </c>
      <c r="H207" s="18"/>
      <c r="I207" s="61"/>
      <c r="J207" s="696"/>
      <c r="K207" s="420" t="str">
        <f t="shared" si="20"/>
        <v/>
      </c>
      <c r="L207" s="401" t="str">
        <f t="shared" si="21"/>
        <v/>
      </c>
    </row>
    <row r="208" spans="2:12" s="28" customFormat="1" ht="25" customHeight="1" x14ac:dyDescent="0.25">
      <c r="B208" s="29" t="str">
        <f>B12</f>
        <v>C1.2</v>
      </c>
      <c r="C208" s="30" t="s">
        <v>790</v>
      </c>
      <c r="D208" s="31"/>
      <c r="E208" s="32"/>
      <c r="F208" s="31"/>
      <c r="G208" s="33">
        <f>SUM(G149:G207)</f>
        <v>201015</v>
      </c>
      <c r="H208" s="34"/>
      <c r="I208" s="408"/>
      <c r="J208" s="406"/>
      <c r="K208" s="418">
        <f>SUM(K149:K207)</f>
        <v>6983.9999999999991</v>
      </c>
      <c r="L208" s="407" t="str">
        <f t="shared" si="18"/>
        <v/>
      </c>
    </row>
  </sheetData>
  <mergeCells count="24">
    <mergeCell ref="B141:D141"/>
    <mergeCell ref="E141:G143"/>
    <mergeCell ref="B142:D142"/>
    <mergeCell ref="B143:D143"/>
    <mergeCell ref="B144:F144"/>
    <mergeCell ref="G144:G147"/>
    <mergeCell ref="B145:F145"/>
    <mergeCell ref="B146:F146"/>
    <mergeCell ref="B74:D74"/>
    <mergeCell ref="E74:G76"/>
    <mergeCell ref="B75:D75"/>
    <mergeCell ref="B76:D76"/>
    <mergeCell ref="B77:F77"/>
    <mergeCell ref="G77:G80"/>
    <mergeCell ref="B78:F78"/>
    <mergeCell ref="B79:F79"/>
    <mergeCell ref="B3:D3"/>
    <mergeCell ref="E3:G5"/>
    <mergeCell ref="B4:D4"/>
    <mergeCell ref="B5:D5"/>
    <mergeCell ref="B6:F6"/>
    <mergeCell ref="G6:G9"/>
    <mergeCell ref="B7:F7"/>
    <mergeCell ref="B8:F8"/>
  </mergeCells>
  <conditionalFormatting sqref="F11:G73 F82:G140 F149:G208">
    <cfRule type="expression" dxfId="4" priority="1">
      <formula>_Show_Price=FALSE</formula>
    </cfRule>
  </conditionalFormatting>
  <pageMargins left="0.43307086614173229" right="0.31496062992125984" top="0.43307086614173229" bottom="0.62992125984251968" header="0.35433070866141736" footer="0.31496062992125984"/>
  <pageSetup paperSize="9" scale="77" firstPageNumber="31"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2" manualBreakCount="2">
    <brk id="73" max="7" man="1"/>
    <brk id="14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35"/>
  <dimension ref="A1:Q76"/>
  <sheetViews>
    <sheetView view="pageBreakPreview" zoomScaleNormal="125" zoomScaleSheetLayoutView="100" zoomScalePageLayoutView="125" workbookViewId="0">
      <pane ySplit="2" topLeftCell="A3"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3.7265625" style="4" customWidth="1"/>
    <col min="5" max="5" width="15.7265625" style="4" customWidth="1"/>
    <col min="6" max="6" width="15.7265625" style="1" customWidth="1"/>
    <col min="7" max="7" width="15.7265625" style="5" customWidth="1"/>
    <col min="8" max="8" width="0.81640625" style="5" customWidth="1"/>
    <col min="9" max="9" width="6.81640625" style="1"/>
    <col min="10" max="10" width="12.81640625" style="1" customWidth="1"/>
    <col min="11" max="11" width="14.1796875" style="1" customWidth="1"/>
    <col min="12" max="13" width="14.7265625" style="1" customWidth="1"/>
    <col min="14" max="16384" width="6.81640625" style="1"/>
  </cols>
  <sheetData>
    <row r="1" spans="1:17" s="242" customFormat="1" ht="11.5" x14ac:dyDescent="0.25">
      <c r="B1" s="243"/>
      <c r="C1" s="244" t="s">
        <v>993</v>
      </c>
      <c r="D1" s="245"/>
      <c r="E1" s="246" t="s">
        <v>994</v>
      </c>
      <c r="F1" s="244">
        <v>1</v>
      </c>
      <c r="G1" s="247">
        <f>MAX(G2:G76)*0</f>
        <v>0</v>
      </c>
      <c r="H1" s="247">
        <f>MAX(H2:H210)</f>
        <v>0</v>
      </c>
      <c r="I1" s="248"/>
      <c r="J1" s="247">
        <f>MAX(J2:J76)</f>
        <v>0</v>
      </c>
      <c r="K1" s="249">
        <f>MAX(K2:K210)</f>
        <v>0</v>
      </c>
      <c r="L1" s="249"/>
      <c r="M1" s="250"/>
      <c r="N1" s="256"/>
      <c r="O1" s="257" t="s">
        <v>1001</v>
      </c>
      <c r="P1" s="255">
        <f>J1</f>
        <v>0</v>
      </c>
      <c r="Q1" s="256"/>
    </row>
    <row r="2" spans="1:17" s="242" customFormat="1" ht="11.5" x14ac:dyDescent="0.25">
      <c r="A2" s="250"/>
      <c r="B2" s="251" t="s">
        <v>995</v>
      </c>
      <c r="C2" s="252" t="s">
        <v>1</v>
      </c>
      <c r="D2" s="252" t="s">
        <v>2</v>
      </c>
      <c r="E2" s="252" t="s">
        <v>3</v>
      </c>
      <c r="F2" s="252" t="s">
        <v>4</v>
      </c>
      <c r="G2" s="252" t="s">
        <v>5</v>
      </c>
      <c r="H2" s="254"/>
      <c r="I2" s="398" t="s">
        <v>996</v>
      </c>
      <c r="J2" s="253" t="s">
        <v>997</v>
      </c>
      <c r="K2" s="253" t="s">
        <v>998</v>
      </c>
      <c r="L2" s="253" t="s">
        <v>999</v>
      </c>
      <c r="M2" s="253" t="s">
        <v>1000</v>
      </c>
      <c r="N2" s="256"/>
      <c r="O2" s="256"/>
      <c r="P2" s="256"/>
      <c r="Q2" s="256"/>
    </row>
    <row r="3" spans="1:17" ht="13" x14ac:dyDescent="0.25">
      <c r="B3" s="2" t="str">
        <f>Client1</f>
        <v>Province of KwaZulu-Natal</v>
      </c>
      <c r="E3" s="1124" t="str">
        <f>"Contract No. "&amp;ContractNo</f>
        <v>Contract No. ZNB 00399/00000/HOD/INF/21/T</v>
      </c>
      <c r="F3" s="1124"/>
      <c r="G3" s="1124"/>
    </row>
    <row r="4" spans="1:17" ht="13" x14ac:dyDescent="0.25">
      <c r="B4" s="87" t="str">
        <f>Client2</f>
        <v>Department of Transport</v>
      </c>
    </row>
    <row r="5" spans="1:17" x14ac:dyDescent="0.25">
      <c r="B5" s="77"/>
      <c r="C5" s="77"/>
      <c r="D5" s="78"/>
      <c r="E5" s="78"/>
      <c r="F5" s="79"/>
      <c r="G5" s="89"/>
    </row>
    <row r="6" spans="1:17" ht="13" x14ac:dyDescent="0.25">
      <c r="B6" s="1112" t="s">
        <v>1773</v>
      </c>
      <c r="C6" s="1113"/>
      <c r="D6" s="1113"/>
      <c r="E6" s="1113"/>
      <c r="F6" s="1113"/>
      <c r="G6" s="1121" t="str">
        <f>"CHAPTER "&amp;B12</f>
        <v>CHAPTER C1.3</v>
      </c>
      <c r="H6" s="6"/>
    </row>
    <row r="7" spans="1:17" ht="33.75"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22"/>
      <c r="H7" s="8"/>
    </row>
    <row r="8" spans="1:17" ht="12.75" customHeight="1" x14ac:dyDescent="0.25">
      <c r="B8" s="1149" t="s">
        <v>1772</v>
      </c>
      <c r="C8" s="1150"/>
      <c r="D8" s="1150"/>
      <c r="E8" s="1150"/>
      <c r="F8" s="1150"/>
      <c r="G8" s="1122"/>
      <c r="H8" s="8"/>
    </row>
    <row r="9" spans="1:17" ht="9.75" customHeight="1" x14ac:dyDescent="0.25">
      <c r="B9" s="611"/>
      <c r="C9" s="612"/>
      <c r="D9" s="612"/>
      <c r="E9" s="612"/>
      <c r="F9" s="612"/>
      <c r="G9" s="1123"/>
      <c r="H9" s="8"/>
    </row>
    <row r="10" spans="1:17" s="9" customFormat="1" ht="25" customHeight="1" x14ac:dyDescent="0.25">
      <c r="B10" s="10" t="s">
        <v>0</v>
      </c>
      <c r="C10" s="11" t="s">
        <v>1</v>
      </c>
      <c r="D10" s="11" t="s">
        <v>2</v>
      </c>
      <c r="E10" s="11" t="s">
        <v>3</v>
      </c>
      <c r="F10" s="11" t="s">
        <v>4</v>
      </c>
      <c r="G10" s="11" t="s">
        <v>5</v>
      </c>
      <c r="H10" s="12"/>
      <c r="I10" s="408" t="s">
        <v>996</v>
      </c>
      <c r="J10" s="253" t="s">
        <v>997</v>
      </c>
      <c r="K10" s="253" t="s">
        <v>998</v>
      </c>
      <c r="L10" s="253" t="s">
        <v>999</v>
      </c>
    </row>
    <row r="11" spans="1:17" x14ac:dyDescent="0.25">
      <c r="B11" s="58"/>
      <c r="C11" s="65"/>
      <c r="D11" s="15"/>
      <c r="E11" s="15"/>
      <c r="F11" s="411"/>
      <c r="G11" s="17" t="str">
        <f t="shared" ref="G11:G73" si="0">IF(D11="","",E11*F11)</f>
        <v/>
      </c>
      <c r="H11" s="18"/>
      <c r="I11" s="61"/>
      <c r="J11" s="399"/>
      <c r="K11" s="420" t="str">
        <f t="shared" ref="K11" si="1">IF(I11="","",E11*J11)</f>
        <v/>
      </c>
      <c r="L11" s="401" t="str">
        <f t="shared" ref="L11" si="2">IF(I11="","",IF(SUM(G11)=0,"",K11/G11))</f>
        <v/>
      </c>
    </row>
    <row r="12" spans="1:17" ht="26" x14ac:dyDescent="0.25">
      <c r="B12" s="146" t="s">
        <v>53</v>
      </c>
      <c r="C12" s="672" t="s">
        <v>54</v>
      </c>
      <c r="D12" s="15"/>
      <c r="E12" s="15"/>
      <c r="F12" s="411"/>
      <c r="G12" s="17" t="str">
        <f t="shared" si="0"/>
        <v/>
      </c>
      <c r="H12" s="18"/>
      <c r="I12" s="61"/>
      <c r="J12" s="399"/>
      <c r="K12" s="420" t="str">
        <f t="shared" ref="K12:K73" si="3">IF(I12="","",E12*J12)</f>
        <v/>
      </c>
      <c r="L12" s="401" t="str">
        <f t="shared" ref="L12:L73" si="4">IF(I12="","",IF(SUM(G12)=0,"",K12/G12))</f>
        <v/>
      </c>
    </row>
    <row r="13" spans="1:17" x14ac:dyDescent="0.25">
      <c r="B13" s="58"/>
      <c r="C13" s="65"/>
      <c r="D13" s="15"/>
      <c r="E13" s="15"/>
      <c r="F13" s="411"/>
      <c r="G13" s="17" t="str">
        <f t="shared" si="0"/>
        <v/>
      </c>
      <c r="H13" s="18"/>
      <c r="I13" s="61"/>
      <c r="J13" s="399"/>
      <c r="K13" s="420" t="str">
        <f t="shared" si="3"/>
        <v/>
      </c>
      <c r="L13" s="401" t="str">
        <f t="shared" si="4"/>
        <v/>
      </c>
    </row>
    <row r="14" spans="1:17" ht="13" x14ac:dyDescent="0.25">
      <c r="B14" s="146" t="s">
        <v>1864</v>
      </c>
      <c r="C14" s="672" t="s">
        <v>55</v>
      </c>
      <c r="D14" s="15"/>
      <c r="E14" s="15"/>
      <c r="F14" s="411"/>
      <c r="G14" s="17" t="str">
        <f t="shared" si="0"/>
        <v/>
      </c>
      <c r="H14" s="18"/>
      <c r="I14" s="61"/>
      <c r="J14" s="399"/>
      <c r="K14" s="420" t="str">
        <f t="shared" si="3"/>
        <v/>
      </c>
      <c r="L14" s="401" t="str">
        <f t="shared" si="4"/>
        <v/>
      </c>
    </row>
    <row r="15" spans="1:17" x14ac:dyDescent="0.25">
      <c r="B15" s="58"/>
      <c r="C15" s="65"/>
      <c r="D15" s="15"/>
      <c r="E15" s="15"/>
      <c r="F15" s="411"/>
      <c r="G15" s="17" t="str">
        <f t="shared" si="0"/>
        <v/>
      </c>
      <c r="H15" s="18"/>
      <c r="I15" s="61"/>
      <c r="J15" s="399"/>
      <c r="K15" s="420" t="str">
        <f t="shared" si="3"/>
        <v/>
      </c>
      <c r="L15" s="401" t="str">
        <f t="shared" si="4"/>
        <v/>
      </c>
    </row>
    <row r="16" spans="1:17" x14ac:dyDescent="0.25">
      <c r="B16" s="58" t="s">
        <v>56</v>
      </c>
      <c r="C16" s="65" t="s">
        <v>58</v>
      </c>
      <c r="D16" s="15" t="s">
        <v>11</v>
      </c>
      <c r="E16" s="24">
        <v>1</v>
      </c>
      <c r="F16" s="703">
        <v>75000</v>
      </c>
      <c r="G16" s="17">
        <f t="shared" si="0"/>
        <v>75000</v>
      </c>
      <c r="H16" s="57"/>
      <c r="I16" s="61"/>
      <c r="J16" s="400"/>
      <c r="K16" s="420" t="str">
        <f t="shared" si="3"/>
        <v/>
      </c>
      <c r="L16" s="401" t="str">
        <f t="shared" si="4"/>
        <v/>
      </c>
    </row>
    <row r="17" spans="2:12" x14ac:dyDescent="0.25">
      <c r="B17" s="58"/>
      <c r="C17" s="65"/>
      <c r="D17" s="15"/>
      <c r="E17" s="24"/>
      <c r="F17" s="703"/>
      <c r="G17" s="17" t="str">
        <f t="shared" si="0"/>
        <v/>
      </c>
      <c r="H17" s="57"/>
      <c r="I17" s="61"/>
      <c r="J17" s="399"/>
      <c r="K17" s="420" t="str">
        <f t="shared" si="3"/>
        <v/>
      </c>
      <c r="L17" s="401" t="str">
        <f t="shared" si="4"/>
        <v/>
      </c>
    </row>
    <row r="18" spans="2:12" x14ac:dyDescent="0.25">
      <c r="B18" s="58" t="s">
        <v>57</v>
      </c>
      <c r="C18" s="65" t="s">
        <v>59</v>
      </c>
      <c r="D18" s="15" t="s">
        <v>18</v>
      </c>
      <c r="E18" s="24">
        <v>10</v>
      </c>
      <c r="F18" s="703">
        <v>37000</v>
      </c>
      <c r="G18" s="17">
        <f t="shared" si="0"/>
        <v>370000</v>
      </c>
      <c r="H18" s="57"/>
      <c r="I18" s="61"/>
      <c r="J18" s="399"/>
      <c r="K18" s="420" t="str">
        <f t="shared" si="3"/>
        <v/>
      </c>
      <c r="L18" s="401" t="str">
        <f t="shared" si="4"/>
        <v/>
      </c>
    </row>
    <row r="19" spans="2:12" x14ac:dyDescent="0.25">
      <c r="B19" s="58"/>
      <c r="C19" s="65"/>
      <c r="D19" s="15"/>
      <c r="E19" s="24"/>
      <c r="F19" s="703"/>
      <c r="G19" s="17" t="str">
        <f t="shared" si="0"/>
        <v/>
      </c>
      <c r="H19" s="57"/>
      <c r="I19" s="61"/>
      <c r="J19" s="399"/>
      <c r="K19" s="420" t="str">
        <f t="shared" si="3"/>
        <v/>
      </c>
      <c r="L19" s="401" t="str">
        <f t="shared" si="4"/>
        <v/>
      </c>
    </row>
    <row r="20" spans="2:12" x14ac:dyDescent="0.25">
      <c r="B20" s="58"/>
      <c r="C20" s="65"/>
      <c r="D20" s="15"/>
      <c r="E20" s="24"/>
      <c r="F20" s="703"/>
      <c r="G20" s="17" t="str">
        <f t="shared" si="0"/>
        <v/>
      </c>
      <c r="H20" s="57"/>
      <c r="I20" s="61"/>
      <c r="J20" s="402"/>
      <c r="K20" s="420" t="str">
        <f t="shared" si="3"/>
        <v/>
      </c>
      <c r="L20" s="401" t="str">
        <f t="shared" si="4"/>
        <v/>
      </c>
    </row>
    <row r="21" spans="2:12" x14ac:dyDescent="0.25">
      <c r="B21" s="58"/>
      <c r="C21" s="65"/>
      <c r="D21" s="15"/>
      <c r="E21" s="24"/>
      <c r="F21" s="411"/>
      <c r="G21" s="17" t="str">
        <f t="shared" si="0"/>
        <v/>
      </c>
      <c r="H21" s="18"/>
      <c r="I21" s="61"/>
      <c r="J21" s="402"/>
      <c r="K21" s="420" t="str">
        <f t="shared" si="3"/>
        <v/>
      </c>
      <c r="L21" s="401" t="str">
        <f t="shared" si="4"/>
        <v/>
      </c>
    </row>
    <row r="22" spans="2:12" x14ac:dyDescent="0.25">
      <c r="B22" s="58"/>
      <c r="C22" s="65"/>
      <c r="D22" s="15"/>
      <c r="E22" s="24"/>
      <c r="F22" s="703"/>
      <c r="G22" s="17" t="str">
        <f t="shared" si="0"/>
        <v/>
      </c>
      <c r="H22" s="18"/>
      <c r="I22" s="61"/>
      <c r="J22" s="402"/>
      <c r="K22" s="420" t="str">
        <f t="shared" si="3"/>
        <v/>
      </c>
      <c r="L22" s="401" t="str">
        <f t="shared" si="4"/>
        <v/>
      </c>
    </row>
    <row r="23" spans="2:12" x14ac:dyDescent="0.25">
      <c r="B23" s="58"/>
      <c r="C23" s="65"/>
      <c r="D23" s="15"/>
      <c r="E23" s="24"/>
      <c r="F23" s="411"/>
      <c r="G23" s="17" t="str">
        <f t="shared" si="0"/>
        <v/>
      </c>
      <c r="H23" s="60"/>
      <c r="I23" s="61"/>
      <c r="J23" s="402"/>
      <c r="K23" s="420" t="str">
        <f t="shared" si="3"/>
        <v/>
      </c>
      <c r="L23" s="401" t="str">
        <f t="shared" si="4"/>
        <v/>
      </c>
    </row>
    <row r="24" spans="2:12" x14ac:dyDescent="0.25">
      <c r="B24" s="58"/>
      <c r="C24" s="65"/>
      <c r="D24" s="15"/>
      <c r="E24" s="15"/>
      <c r="F24" s="422"/>
      <c r="G24" s="17" t="str">
        <f t="shared" si="0"/>
        <v/>
      </c>
      <c r="H24" s="18"/>
      <c r="I24" s="61"/>
      <c r="J24" s="402"/>
      <c r="K24" s="420" t="str">
        <f t="shared" si="3"/>
        <v/>
      </c>
      <c r="L24" s="401" t="str">
        <f t="shared" si="4"/>
        <v/>
      </c>
    </row>
    <row r="25" spans="2:12" x14ac:dyDescent="0.25">
      <c r="B25" s="58"/>
      <c r="C25" s="65"/>
      <c r="D25" s="15"/>
      <c r="E25" s="15"/>
      <c r="F25" s="422"/>
      <c r="G25" s="17" t="str">
        <f t="shared" si="0"/>
        <v/>
      </c>
      <c r="H25" s="18"/>
      <c r="I25" s="61"/>
      <c r="J25" s="402"/>
      <c r="K25" s="420" t="str">
        <f t="shared" si="3"/>
        <v/>
      </c>
      <c r="L25" s="401" t="str">
        <f t="shared" si="4"/>
        <v/>
      </c>
    </row>
    <row r="26" spans="2:12" x14ac:dyDescent="0.25">
      <c r="B26" s="58"/>
      <c r="C26" s="65"/>
      <c r="D26" s="15"/>
      <c r="E26" s="15"/>
      <c r="F26" s="422"/>
      <c r="G26" s="17" t="str">
        <f t="shared" si="0"/>
        <v/>
      </c>
      <c r="H26" s="18"/>
      <c r="I26" s="61"/>
      <c r="J26" s="399"/>
      <c r="K26" s="420" t="str">
        <f t="shared" si="3"/>
        <v/>
      </c>
      <c r="L26" s="401" t="str">
        <f t="shared" si="4"/>
        <v/>
      </c>
    </row>
    <row r="27" spans="2:12" x14ac:dyDescent="0.25">
      <c r="B27" s="58"/>
      <c r="C27" s="65"/>
      <c r="D27" s="15"/>
      <c r="E27" s="15"/>
      <c r="F27" s="422"/>
      <c r="G27" s="17" t="str">
        <f t="shared" si="0"/>
        <v/>
      </c>
      <c r="H27" s="18"/>
      <c r="I27" s="61"/>
      <c r="J27" s="399"/>
      <c r="K27" s="420" t="str">
        <f t="shared" si="3"/>
        <v/>
      </c>
      <c r="L27" s="401" t="str">
        <f t="shared" si="4"/>
        <v/>
      </c>
    </row>
    <row r="28" spans="2:12" x14ac:dyDescent="0.25">
      <c r="B28" s="58"/>
      <c r="C28" s="65"/>
      <c r="D28" s="15"/>
      <c r="E28" s="15"/>
      <c r="F28" s="422"/>
      <c r="G28" s="17" t="str">
        <f t="shared" si="0"/>
        <v/>
      </c>
      <c r="H28" s="18"/>
      <c r="I28" s="61"/>
      <c r="J28" s="400"/>
      <c r="K28" s="420" t="str">
        <f t="shared" si="3"/>
        <v/>
      </c>
      <c r="L28" s="401" t="str">
        <f t="shared" si="4"/>
        <v/>
      </c>
    </row>
    <row r="29" spans="2:12" x14ac:dyDescent="0.25">
      <c r="B29" s="58"/>
      <c r="C29" s="65"/>
      <c r="D29" s="15"/>
      <c r="E29" s="15"/>
      <c r="F29" s="422"/>
      <c r="G29" s="17" t="str">
        <f t="shared" si="0"/>
        <v/>
      </c>
      <c r="H29" s="18"/>
      <c r="I29" s="61"/>
      <c r="J29" s="399"/>
      <c r="K29" s="420" t="str">
        <f t="shared" si="3"/>
        <v/>
      </c>
      <c r="L29" s="401" t="str">
        <f t="shared" si="4"/>
        <v/>
      </c>
    </row>
    <row r="30" spans="2:12" x14ac:dyDescent="0.25">
      <c r="B30" s="58"/>
      <c r="C30" s="65"/>
      <c r="D30" s="15"/>
      <c r="E30" s="15"/>
      <c r="F30" s="422"/>
      <c r="G30" s="17" t="str">
        <f t="shared" si="0"/>
        <v/>
      </c>
      <c r="H30" s="18"/>
      <c r="I30" s="61"/>
      <c r="J30" s="399"/>
      <c r="K30" s="420" t="str">
        <f t="shared" si="3"/>
        <v/>
      </c>
      <c r="L30" s="401" t="str">
        <f t="shared" si="4"/>
        <v/>
      </c>
    </row>
    <row r="31" spans="2:12" x14ac:dyDescent="0.25">
      <c r="B31" s="58"/>
      <c r="C31" s="65"/>
      <c r="D31" s="15"/>
      <c r="E31" s="15"/>
      <c r="F31" s="422"/>
      <c r="G31" s="17" t="str">
        <f t="shared" si="0"/>
        <v/>
      </c>
      <c r="H31" s="18"/>
      <c r="I31" s="61"/>
      <c r="J31" s="399"/>
      <c r="K31" s="420" t="str">
        <f t="shared" si="3"/>
        <v/>
      </c>
      <c r="L31" s="401" t="str">
        <f t="shared" si="4"/>
        <v/>
      </c>
    </row>
    <row r="32" spans="2:12" x14ac:dyDescent="0.25">
      <c r="B32" s="58"/>
      <c r="C32" s="65"/>
      <c r="D32" s="15"/>
      <c r="E32" s="15"/>
      <c r="F32" s="422"/>
      <c r="G32" s="17" t="str">
        <f t="shared" si="0"/>
        <v/>
      </c>
      <c r="H32" s="18"/>
      <c r="I32" s="61"/>
      <c r="J32" s="399"/>
      <c r="K32" s="420" t="str">
        <f t="shared" si="3"/>
        <v/>
      </c>
      <c r="L32" s="401" t="str">
        <f t="shared" si="4"/>
        <v/>
      </c>
    </row>
    <row r="33" spans="2:12" x14ac:dyDescent="0.25">
      <c r="B33" s="58"/>
      <c r="C33" s="65"/>
      <c r="D33" s="15"/>
      <c r="E33" s="15"/>
      <c r="F33" s="422"/>
      <c r="G33" s="17" t="str">
        <f t="shared" si="0"/>
        <v/>
      </c>
      <c r="H33" s="18"/>
      <c r="I33" s="61"/>
      <c r="J33" s="399"/>
      <c r="K33" s="420" t="str">
        <f t="shared" si="3"/>
        <v/>
      </c>
      <c r="L33" s="401" t="str">
        <f t="shared" si="4"/>
        <v/>
      </c>
    </row>
    <row r="34" spans="2:12" x14ac:dyDescent="0.25">
      <c r="B34" s="58"/>
      <c r="C34" s="65"/>
      <c r="D34" s="15"/>
      <c r="E34" s="15"/>
      <c r="F34" s="422"/>
      <c r="G34" s="17" t="str">
        <f t="shared" si="0"/>
        <v/>
      </c>
      <c r="H34" s="18"/>
      <c r="I34" s="61"/>
      <c r="J34" s="400"/>
      <c r="K34" s="420" t="str">
        <f t="shared" si="3"/>
        <v/>
      </c>
      <c r="L34" s="401" t="str">
        <f t="shared" si="4"/>
        <v/>
      </c>
    </row>
    <row r="35" spans="2:12" x14ac:dyDescent="0.25">
      <c r="B35" s="58"/>
      <c r="C35" s="65"/>
      <c r="D35" s="15"/>
      <c r="E35" s="15"/>
      <c r="F35" s="422"/>
      <c r="G35" s="17" t="str">
        <f t="shared" si="0"/>
        <v/>
      </c>
      <c r="H35" s="18"/>
      <c r="I35" s="61"/>
      <c r="J35" s="399"/>
      <c r="K35" s="420" t="str">
        <f t="shared" si="3"/>
        <v/>
      </c>
      <c r="L35" s="401" t="str">
        <f t="shared" si="4"/>
        <v/>
      </c>
    </row>
    <row r="36" spans="2:12" x14ac:dyDescent="0.25">
      <c r="B36" s="58"/>
      <c r="C36" s="65"/>
      <c r="D36" s="15"/>
      <c r="E36" s="15"/>
      <c r="F36" s="422"/>
      <c r="G36" s="17" t="str">
        <f t="shared" si="0"/>
        <v/>
      </c>
      <c r="H36" s="18"/>
      <c r="I36" s="61"/>
      <c r="J36" s="399"/>
      <c r="K36" s="420" t="str">
        <f t="shared" si="3"/>
        <v/>
      </c>
      <c r="L36" s="401" t="str">
        <f t="shared" si="4"/>
        <v/>
      </c>
    </row>
    <row r="37" spans="2:12" x14ac:dyDescent="0.25">
      <c r="B37" s="58"/>
      <c r="C37" s="65"/>
      <c r="D37" s="15"/>
      <c r="E37" s="15"/>
      <c r="F37" s="422"/>
      <c r="G37" s="17" t="str">
        <f t="shared" si="0"/>
        <v/>
      </c>
      <c r="H37" s="18"/>
      <c r="I37" s="61"/>
      <c r="J37" s="399"/>
      <c r="K37" s="420" t="str">
        <f t="shared" si="3"/>
        <v/>
      </c>
      <c r="L37" s="401" t="str">
        <f t="shared" si="4"/>
        <v/>
      </c>
    </row>
    <row r="38" spans="2:12" x14ac:dyDescent="0.25">
      <c r="B38" s="58"/>
      <c r="C38" s="65"/>
      <c r="D38" s="15"/>
      <c r="E38" s="15"/>
      <c r="F38" s="422"/>
      <c r="G38" s="17" t="str">
        <f t="shared" si="0"/>
        <v/>
      </c>
      <c r="H38" s="18"/>
      <c r="I38" s="61"/>
      <c r="J38" s="399"/>
      <c r="K38" s="420" t="str">
        <f t="shared" si="3"/>
        <v/>
      </c>
      <c r="L38" s="401" t="str">
        <f t="shared" si="4"/>
        <v/>
      </c>
    </row>
    <row r="39" spans="2:12" x14ac:dyDescent="0.25">
      <c r="B39" s="58"/>
      <c r="C39" s="65"/>
      <c r="D39" s="15"/>
      <c r="E39" s="15"/>
      <c r="F39" s="422"/>
      <c r="G39" s="17" t="str">
        <f t="shared" si="0"/>
        <v/>
      </c>
      <c r="H39" s="18"/>
      <c r="I39" s="61"/>
      <c r="J39" s="399"/>
      <c r="K39" s="420" t="str">
        <f t="shared" si="3"/>
        <v/>
      </c>
      <c r="L39" s="401" t="str">
        <f t="shared" si="4"/>
        <v/>
      </c>
    </row>
    <row r="40" spans="2:12" x14ac:dyDescent="0.25">
      <c r="B40" s="58"/>
      <c r="C40" s="65"/>
      <c r="D40" s="15"/>
      <c r="E40" s="15"/>
      <c r="F40" s="422"/>
      <c r="G40" s="17" t="str">
        <f t="shared" si="0"/>
        <v/>
      </c>
      <c r="H40" s="18"/>
      <c r="I40" s="61"/>
      <c r="J40" s="399"/>
      <c r="K40" s="420" t="str">
        <f t="shared" si="3"/>
        <v/>
      </c>
      <c r="L40" s="401" t="str">
        <f t="shared" si="4"/>
        <v/>
      </c>
    </row>
    <row r="41" spans="2:12" x14ac:dyDescent="0.25">
      <c r="B41" s="58"/>
      <c r="C41" s="65"/>
      <c r="D41" s="15"/>
      <c r="E41" s="15"/>
      <c r="F41" s="422"/>
      <c r="G41" s="17" t="str">
        <f t="shared" si="0"/>
        <v/>
      </c>
      <c r="H41" s="18"/>
      <c r="I41" s="61"/>
      <c r="J41" s="399"/>
      <c r="K41" s="420" t="str">
        <f t="shared" si="3"/>
        <v/>
      </c>
      <c r="L41" s="401" t="str">
        <f t="shared" si="4"/>
        <v/>
      </c>
    </row>
    <row r="42" spans="2:12" x14ac:dyDescent="0.25">
      <c r="B42" s="58"/>
      <c r="C42" s="65"/>
      <c r="D42" s="15"/>
      <c r="E42" s="15"/>
      <c r="F42" s="422"/>
      <c r="G42" s="17" t="str">
        <f t="shared" si="0"/>
        <v/>
      </c>
      <c r="H42" s="18"/>
      <c r="I42" s="61"/>
      <c r="J42" s="399"/>
      <c r="K42" s="420" t="str">
        <f t="shared" si="3"/>
        <v/>
      </c>
      <c r="L42" s="401" t="str">
        <f t="shared" si="4"/>
        <v/>
      </c>
    </row>
    <row r="43" spans="2:12" x14ac:dyDescent="0.25">
      <c r="B43" s="58"/>
      <c r="C43" s="65"/>
      <c r="D43" s="15"/>
      <c r="E43" s="15"/>
      <c r="F43" s="422"/>
      <c r="G43" s="17" t="str">
        <f t="shared" si="0"/>
        <v/>
      </c>
      <c r="H43" s="18"/>
      <c r="I43" s="61"/>
      <c r="J43" s="399"/>
      <c r="K43" s="420" t="str">
        <f t="shared" si="3"/>
        <v/>
      </c>
      <c r="L43" s="401" t="str">
        <f t="shared" si="4"/>
        <v/>
      </c>
    </row>
    <row r="44" spans="2:12" x14ac:dyDescent="0.25">
      <c r="B44" s="58"/>
      <c r="C44" s="65"/>
      <c r="D44" s="15"/>
      <c r="E44" s="15"/>
      <c r="F44" s="422"/>
      <c r="G44" s="17" t="str">
        <f t="shared" si="0"/>
        <v/>
      </c>
      <c r="H44" s="18"/>
      <c r="I44" s="61"/>
      <c r="J44" s="399"/>
      <c r="K44" s="420" t="str">
        <f t="shared" si="3"/>
        <v/>
      </c>
      <c r="L44" s="401" t="str">
        <f t="shared" si="4"/>
        <v/>
      </c>
    </row>
    <row r="45" spans="2:12" x14ac:dyDescent="0.25">
      <c r="B45" s="58"/>
      <c r="C45" s="65"/>
      <c r="D45" s="15"/>
      <c r="E45" s="15"/>
      <c r="F45" s="422"/>
      <c r="G45" s="17" t="str">
        <f t="shared" si="0"/>
        <v/>
      </c>
      <c r="H45" s="18"/>
      <c r="I45" s="61"/>
      <c r="J45" s="399"/>
      <c r="K45" s="420" t="str">
        <f t="shared" si="3"/>
        <v/>
      </c>
      <c r="L45" s="401" t="str">
        <f t="shared" si="4"/>
        <v/>
      </c>
    </row>
    <row r="46" spans="2:12" x14ac:dyDescent="0.25">
      <c r="B46" s="58"/>
      <c r="C46" s="65"/>
      <c r="D46" s="15"/>
      <c r="E46" s="15"/>
      <c r="F46" s="422"/>
      <c r="G46" s="17" t="str">
        <f t="shared" si="0"/>
        <v/>
      </c>
      <c r="H46" s="18"/>
      <c r="I46" s="61"/>
      <c r="J46" s="402"/>
      <c r="K46" s="420" t="str">
        <f t="shared" si="3"/>
        <v/>
      </c>
      <c r="L46" s="401" t="str">
        <f t="shared" si="4"/>
        <v/>
      </c>
    </row>
    <row r="47" spans="2:12" x14ac:dyDescent="0.25">
      <c r="B47" s="58"/>
      <c r="C47" s="65"/>
      <c r="D47" s="15"/>
      <c r="E47" s="15"/>
      <c r="F47" s="422"/>
      <c r="G47" s="17" t="str">
        <f t="shared" si="0"/>
        <v/>
      </c>
      <c r="H47" s="18"/>
      <c r="I47" s="61"/>
      <c r="J47" s="399"/>
      <c r="K47" s="420" t="str">
        <f t="shared" si="3"/>
        <v/>
      </c>
      <c r="L47" s="401" t="str">
        <f t="shared" si="4"/>
        <v/>
      </c>
    </row>
    <row r="48" spans="2:12" x14ac:dyDescent="0.25">
      <c r="B48" s="58"/>
      <c r="C48" s="65"/>
      <c r="D48" s="15"/>
      <c r="E48" s="15"/>
      <c r="F48" s="422"/>
      <c r="G48" s="17" t="str">
        <f t="shared" si="0"/>
        <v/>
      </c>
      <c r="H48" s="18"/>
      <c r="I48" s="61"/>
      <c r="J48" s="402"/>
      <c r="K48" s="420" t="str">
        <f t="shared" si="3"/>
        <v/>
      </c>
      <c r="L48" s="401" t="str">
        <f t="shared" si="4"/>
        <v/>
      </c>
    </row>
    <row r="49" spans="2:12" x14ac:dyDescent="0.25">
      <c r="B49" s="58"/>
      <c r="C49" s="65"/>
      <c r="D49" s="15"/>
      <c r="E49" s="15"/>
      <c r="F49" s="422"/>
      <c r="G49" s="17" t="str">
        <f t="shared" si="0"/>
        <v/>
      </c>
      <c r="H49" s="18"/>
      <c r="I49" s="62"/>
      <c r="J49" s="62"/>
      <c r="K49" s="420" t="str">
        <f t="shared" si="3"/>
        <v/>
      </c>
      <c r="L49" s="401" t="str">
        <f t="shared" si="4"/>
        <v/>
      </c>
    </row>
    <row r="50" spans="2:12" x14ac:dyDescent="0.25">
      <c r="B50" s="58"/>
      <c r="C50" s="65"/>
      <c r="D50" s="15"/>
      <c r="E50" s="15"/>
      <c r="F50" s="422"/>
      <c r="G50" s="17" t="str">
        <f t="shared" si="0"/>
        <v/>
      </c>
      <c r="H50" s="18"/>
      <c r="I50" s="62"/>
      <c r="J50" s="62"/>
      <c r="K50" s="420" t="str">
        <f t="shared" si="3"/>
        <v/>
      </c>
      <c r="L50" s="401" t="str">
        <f t="shared" si="4"/>
        <v/>
      </c>
    </row>
    <row r="51" spans="2:12" x14ac:dyDescent="0.25">
      <c r="B51" s="58"/>
      <c r="C51" s="65"/>
      <c r="D51" s="15"/>
      <c r="E51" s="15"/>
      <c r="F51" s="422"/>
      <c r="G51" s="17" t="str">
        <f t="shared" si="0"/>
        <v/>
      </c>
      <c r="H51" s="18"/>
      <c r="I51" s="62"/>
      <c r="J51" s="62"/>
      <c r="K51" s="420" t="str">
        <f t="shared" si="3"/>
        <v/>
      </c>
      <c r="L51" s="401" t="str">
        <f t="shared" si="4"/>
        <v/>
      </c>
    </row>
    <row r="52" spans="2:12" x14ac:dyDescent="0.25">
      <c r="B52" s="58"/>
      <c r="C52" s="65"/>
      <c r="D52" s="15"/>
      <c r="E52" s="15"/>
      <c r="F52" s="422"/>
      <c r="G52" s="17" t="str">
        <f t="shared" si="0"/>
        <v/>
      </c>
      <c r="H52" s="18"/>
      <c r="I52" s="62"/>
      <c r="J52" s="62"/>
      <c r="K52" s="420" t="str">
        <f t="shared" si="3"/>
        <v/>
      </c>
      <c r="L52" s="401" t="str">
        <f t="shared" si="4"/>
        <v/>
      </c>
    </row>
    <row r="53" spans="2:12" x14ac:dyDescent="0.25">
      <c r="B53" s="58"/>
      <c r="C53" s="65"/>
      <c r="D53" s="15"/>
      <c r="E53" s="15"/>
      <c r="F53" s="422"/>
      <c r="G53" s="17" t="str">
        <f t="shared" si="0"/>
        <v/>
      </c>
      <c r="H53" s="18"/>
      <c r="I53" s="62"/>
      <c r="J53" s="62"/>
      <c r="K53" s="420" t="str">
        <f t="shared" si="3"/>
        <v/>
      </c>
      <c r="L53" s="401" t="str">
        <f t="shared" si="4"/>
        <v/>
      </c>
    </row>
    <row r="54" spans="2:12" x14ac:dyDescent="0.25">
      <c r="B54" s="58"/>
      <c r="C54" s="65"/>
      <c r="D54" s="15"/>
      <c r="E54" s="15"/>
      <c r="F54" s="422"/>
      <c r="G54" s="17" t="str">
        <f t="shared" si="0"/>
        <v/>
      </c>
      <c r="H54" s="18"/>
      <c r="I54" s="62"/>
      <c r="J54" s="62"/>
      <c r="K54" s="420" t="str">
        <f t="shared" si="3"/>
        <v/>
      </c>
      <c r="L54" s="401" t="str">
        <f t="shared" si="4"/>
        <v/>
      </c>
    </row>
    <row r="55" spans="2:12" x14ac:dyDescent="0.25">
      <c r="B55" s="58"/>
      <c r="C55" s="65"/>
      <c r="D55" s="15"/>
      <c r="E55" s="15"/>
      <c r="F55" s="422"/>
      <c r="G55" s="17" t="str">
        <f t="shared" si="0"/>
        <v/>
      </c>
      <c r="H55" s="18"/>
      <c r="I55" s="62"/>
      <c r="J55" s="62"/>
      <c r="K55" s="420" t="str">
        <f t="shared" si="3"/>
        <v/>
      </c>
      <c r="L55" s="401" t="str">
        <f t="shared" si="4"/>
        <v/>
      </c>
    </row>
    <row r="56" spans="2:12" x14ac:dyDescent="0.25">
      <c r="B56" s="58"/>
      <c r="C56" s="65"/>
      <c r="D56" s="15"/>
      <c r="E56" s="15"/>
      <c r="F56" s="422"/>
      <c r="G56" s="17" t="str">
        <f t="shared" si="0"/>
        <v/>
      </c>
      <c r="H56" s="18"/>
      <c r="I56" s="62"/>
      <c r="J56" s="62"/>
      <c r="K56" s="420" t="str">
        <f t="shared" si="3"/>
        <v/>
      </c>
      <c r="L56" s="401" t="str">
        <f t="shared" si="4"/>
        <v/>
      </c>
    </row>
    <row r="57" spans="2:12" x14ac:dyDescent="0.25">
      <c r="B57" s="58"/>
      <c r="C57" s="65"/>
      <c r="D57" s="15"/>
      <c r="E57" s="15"/>
      <c r="F57" s="422"/>
      <c r="G57" s="17" t="str">
        <f t="shared" si="0"/>
        <v/>
      </c>
      <c r="H57" s="18"/>
      <c r="I57" s="62"/>
      <c r="J57" s="62"/>
      <c r="K57" s="420" t="str">
        <f t="shared" si="3"/>
        <v/>
      </c>
      <c r="L57" s="401" t="str">
        <f t="shared" si="4"/>
        <v/>
      </c>
    </row>
    <row r="58" spans="2:12" x14ac:dyDescent="0.25">
      <c r="B58" s="58"/>
      <c r="C58" s="65"/>
      <c r="D58" s="15"/>
      <c r="E58" s="15"/>
      <c r="F58" s="422"/>
      <c r="G58" s="17" t="str">
        <f t="shared" si="0"/>
        <v/>
      </c>
      <c r="H58" s="18"/>
      <c r="I58" s="62"/>
      <c r="J58" s="62"/>
      <c r="K58" s="420" t="str">
        <f t="shared" si="3"/>
        <v/>
      </c>
      <c r="L58" s="401" t="str">
        <f t="shared" si="4"/>
        <v/>
      </c>
    </row>
    <row r="59" spans="2:12" x14ac:dyDescent="0.25">
      <c r="B59" s="58"/>
      <c r="C59" s="65"/>
      <c r="D59" s="15"/>
      <c r="E59" s="15"/>
      <c r="F59" s="422"/>
      <c r="G59" s="17" t="str">
        <f t="shared" si="0"/>
        <v/>
      </c>
      <c r="H59" s="18"/>
      <c r="I59" s="62"/>
      <c r="J59" s="62"/>
      <c r="K59" s="420" t="str">
        <f t="shared" si="3"/>
        <v/>
      </c>
      <c r="L59" s="401" t="str">
        <f t="shared" si="4"/>
        <v/>
      </c>
    </row>
    <row r="60" spans="2:12" x14ac:dyDescent="0.25">
      <c r="B60" s="58"/>
      <c r="C60" s="65"/>
      <c r="D60" s="15"/>
      <c r="E60" s="15"/>
      <c r="F60" s="422"/>
      <c r="G60" s="17" t="str">
        <f t="shared" si="0"/>
        <v/>
      </c>
      <c r="H60" s="18"/>
      <c r="I60" s="62"/>
      <c r="J60" s="62"/>
      <c r="K60" s="420" t="str">
        <f t="shared" si="3"/>
        <v/>
      </c>
      <c r="L60" s="401" t="str">
        <f t="shared" si="4"/>
        <v/>
      </c>
    </row>
    <row r="61" spans="2:12" x14ac:dyDescent="0.25">
      <c r="B61" s="58"/>
      <c r="C61" s="65"/>
      <c r="D61" s="15"/>
      <c r="E61" s="15"/>
      <c r="F61" s="422"/>
      <c r="G61" s="17" t="str">
        <f t="shared" si="0"/>
        <v/>
      </c>
      <c r="H61" s="18"/>
      <c r="I61" s="61"/>
      <c r="J61" s="62"/>
      <c r="K61" s="420" t="str">
        <f t="shared" si="3"/>
        <v/>
      </c>
      <c r="L61" s="401" t="str">
        <f t="shared" si="4"/>
        <v/>
      </c>
    </row>
    <row r="62" spans="2:12" x14ac:dyDescent="0.25">
      <c r="B62" s="58"/>
      <c r="C62" s="65"/>
      <c r="D62" s="15"/>
      <c r="E62" s="15"/>
      <c r="F62" s="422"/>
      <c r="G62" s="17" t="str">
        <f t="shared" si="0"/>
        <v/>
      </c>
      <c r="H62" s="18"/>
      <c r="I62" s="62"/>
      <c r="J62" s="62"/>
      <c r="K62" s="420" t="str">
        <f t="shared" si="3"/>
        <v/>
      </c>
      <c r="L62" s="401" t="str">
        <f t="shared" si="4"/>
        <v/>
      </c>
    </row>
    <row r="63" spans="2:12" x14ac:dyDescent="0.25">
      <c r="B63" s="58"/>
      <c r="C63" s="65"/>
      <c r="D63" s="15"/>
      <c r="E63" s="15"/>
      <c r="F63" s="422"/>
      <c r="G63" s="17" t="str">
        <f t="shared" si="0"/>
        <v/>
      </c>
      <c r="H63" s="18"/>
      <c r="I63" s="62"/>
      <c r="J63" s="62"/>
      <c r="K63" s="420" t="str">
        <f t="shared" si="3"/>
        <v/>
      </c>
      <c r="L63" s="401" t="str">
        <f t="shared" si="4"/>
        <v/>
      </c>
    </row>
    <row r="64" spans="2:12" x14ac:dyDescent="0.25">
      <c r="B64" s="58"/>
      <c r="C64" s="65"/>
      <c r="D64" s="15"/>
      <c r="E64" s="15"/>
      <c r="F64" s="422"/>
      <c r="G64" s="17" t="str">
        <f t="shared" si="0"/>
        <v/>
      </c>
      <c r="H64" s="18"/>
      <c r="I64" s="62"/>
      <c r="J64" s="62"/>
      <c r="K64" s="420" t="str">
        <f t="shared" si="3"/>
        <v/>
      </c>
      <c r="L64" s="401" t="str">
        <f t="shared" si="4"/>
        <v/>
      </c>
    </row>
    <row r="65" spans="2:12" x14ac:dyDescent="0.25">
      <c r="B65" s="58"/>
      <c r="C65" s="65"/>
      <c r="D65" s="15"/>
      <c r="E65" s="15"/>
      <c r="F65" s="422"/>
      <c r="G65" s="17" t="str">
        <f t="shared" si="0"/>
        <v/>
      </c>
      <c r="H65" s="18"/>
      <c r="I65" s="62"/>
      <c r="J65" s="62"/>
      <c r="K65" s="420" t="str">
        <f t="shared" si="3"/>
        <v/>
      </c>
      <c r="L65" s="401" t="str">
        <f t="shared" si="4"/>
        <v/>
      </c>
    </row>
    <row r="66" spans="2:12" x14ac:dyDescent="0.25">
      <c r="B66" s="58"/>
      <c r="C66" s="65"/>
      <c r="D66" s="15"/>
      <c r="E66" s="15"/>
      <c r="F66" s="422"/>
      <c r="G66" s="17" t="str">
        <f t="shared" si="0"/>
        <v/>
      </c>
      <c r="H66" s="18"/>
      <c r="I66" s="62"/>
      <c r="J66" s="62"/>
      <c r="K66" s="420" t="str">
        <f t="shared" si="3"/>
        <v/>
      </c>
      <c r="L66" s="401" t="str">
        <f t="shared" si="4"/>
        <v/>
      </c>
    </row>
    <row r="67" spans="2:12" x14ac:dyDescent="0.25">
      <c r="B67" s="58"/>
      <c r="C67" s="65"/>
      <c r="D67" s="15"/>
      <c r="E67" s="15"/>
      <c r="F67" s="422"/>
      <c r="G67" s="17" t="str">
        <f t="shared" si="0"/>
        <v/>
      </c>
      <c r="H67" s="18"/>
      <c r="I67" s="62"/>
      <c r="J67" s="62"/>
      <c r="K67" s="420" t="str">
        <f t="shared" si="3"/>
        <v/>
      </c>
      <c r="L67" s="401" t="str">
        <f t="shared" si="4"/>
        <v/>
      </c>
    </row>
    <row r="68" spans="2:12" x14ac:dyDescent="0.25">
      <c r="B68" s="58"/>
      <c r="C68" s="65"/>
      <c r="D68" s="15"/>
      <c r="E68" s="15"/>
      <c r="F68" s="422"/>
      <c r="G68" s="17" t="str">
        <f t="shared" si="0"/>
        <v/>
      </c>
      <c r="H68" s="18"/>
      <c r="I68" s="62"/>
      <c r="J68" s="62"/>
      <c r="K68" s="420" t="str">
        <f t="shared" si="3"/>
        <v/>
      </c>
      <c r="L68" s="401" t="str">
        <f t="shared" si="4"/>
        <v/>
      </c>
    </row>
    <row r="69" spans="2:12" x14ac:dyDescent="0.25">
      <c r="B69" s="58"/>
      <c r="C69" s="65"/>
      <c r="D69" s="15"/>
      <c r="E69" s="15"/>
      <c r="F69" s="422"/>
      <c r="G69" s="17" t="str">
        <f t="shared" si="0"/>
        <v/>
      </c>
      <c r="H69" s="18"/>
      <c r="I69" s="62"/>
      <c r="J69" s="62"/>
      <c r="K69" s="420" t="str">
        <f t="shared" si="3"/>
        <v/>
      </c>
      <c r="L69" s="401" t="str">
        <f t="shared" si="4"/>
        <v/>
      </c>
    </row>
    <row r="70" spans="2:12" x14ac:dyDescent="0.25">
      <c r="B70" s="58"/>
      <c r="C70" s="65"/>
      <c r="D70" s="15"/>
      <c r="E70" s="15"/>
      <c r="F70" s="422"/>
      <c r="G70" s="17" t="str">
        <f t="shared" si="0"/>
        <v/>
      </c>
      <c r="H70" s="18"/>
      <c r="I70" s="62"/>
      <c r="J70" s="62"/>
      <c r="K70" s="420" t="str">
        <f t="shared" si="3"/>
        <v/>
      </c>
      <c r="L70" s="401" t="str">
        <f t="shared" si="4"/>
        <v/>
      </c>
    </row>
    <row r="71" spans="2:12" x14ac:dyDescent="0.25">
      <c r="B71" s="58"/>
      <c r="C71" s="65"/>
      <c r="D71" s="15"/>
      <c r="E71" s="15"/>
      <c r="F71" s="422"/>
      <c r="G71" s="17" t="str">
        <f t="shared" si="0"/>
        <v/>
      </c>
      <c r="H71" s="18"/>
      <c r="I71" s="62"/>
      <c r="J71" s="62"/>
      <c r="K71" s="420" t="str">
        <f t="shared" si="3"/>
        <v/>
      </c>
      <c r="L71" s="401" t="str">
        <f t="shared" si="4"/>
        <v/>
      </c>
    </row>
    <row r="72" spans="2:12" x14ac:dyDescent="0.25">
      <c r="B72" s="58"/>
      <c r="C72" s="65"/>
      <c r="D72" s="15"/>
      <c r="E72" s="15"/>
      <c r="F72" s="422"/>
      <c r="G72" s="17" t="str">
        <f t="shared" si="0"/>
        <v/>
      </c>
      <c r="H72" s="18"/>
      <c r="I72" s="62"/>
      <c r="J72" s="62"/>
      <c r="K72" s="420" t="str">
        <f t="shared" si="3"/>
        <v/>
      </c>
      <c r="L72" s="401" t="str">
        <f t="shared" si="4"/>
        <v/>
      </c>
    </row>
    <row r="73" spans="2:12" x14ac:dyDescent="0.25">
      <c r="B73" s="58"/>
      <c r="C73" s="65"/>
      <c r="D73" s="15"/>
      <c r="E73" s="15"/>
      <c r="F73" s="422"/>
      <c r="G73" s="17" t="str">
        <f t="shared" si="0"/>
        <v/>
      </c>
      <c r="H73" s="18"/>
      <c r="I73" s="62"/>
      <c r="J73" s="62"/>
      <c r="K73" s="420" t="str">
        <f t="shared" si="3"/>
        <v/>
      </c>
      <c r="L73" s="401" t="str">
        <f t="shared" si="4"/>
        <v/>
      </c>
    </row>
    <row r="74" spans="2:12" x14ac:dyDescent="0.25">
      <c r="B74" s="58"/>
      <c r="C74" s="65"/>
      <c r="D74" s="15"/>
      <c r="E74" s="15"/>
      <c r="F74" s="422"/>
      <c r="G74" s="17" t="str">
        <f t="shared" ref="G74:G75" si="5">IF(D74="","",E74*F74)</f>
        <v/>
      </c>
      <c r="H74" s="18"/>
      <c r="I74" s="61"/>
      <c r="J74" s="695"/>
      <c r="K74" s="420" t="str">
        <f t="shared" ref="K74:K75" si="6">IF(I74="","",E74*J74)</f>
        <v/>
      </c>
      <c r="L74" s="401" t="str">
        <f t="shared" ref="L74:L75" si="7">IF(I74="","",IF(SUM(G74)=0,"",K74/G74))</f>
        <v/>
      </c>
    </row>
    <row r="75" spans="2:12" x14ac:dyDescent="0.25">
      <c r="B75" s="58"/>
      <c r="C75" s="65"/>
      <c r="D75" s="15"/>
      <c r="E75" s="15"/>
      <c r="F75" s="422"/>
      <c r="G75" s="17" t="str">
        <f t="shared" si="5"/>
        <v/>
      </c>
      <c r="H75" s="18"/>
      <c r="I75" s="61"/>
      <c r="J75" s="696"/>
      <c r="K75" s="420" t="str">
        <f t="shared" si="6"/>
        <v/>
      </c>
      <c r="L75" s="401" t="str">
        <f t="shared" si="7"/>
        <v/>
      </c>
    </row>
    <row r="76" spans="2:12" s="28" customFormat="1" ht="25" customHeight="1" x14ac:dyDescent="0.25">
      <c r="B76" s="29" t="str">
        <f>B12</f>
        <v>C1.3</v>
      </c>
      <c r="C76" s="30" t="s">
        <v>791</v>
      </c>
      <c r="D76" s="31"/>
      <c r="E76" s="32"/>
      <c r="F76" s="31"/>
      <c r="G76" s="33">
        <f>SUM(G11:G75)</f>
        <v>445000</v>
      </c>
      <c r="H76" s="34"/>
      <c r="I76" s="408"/>
      <c r="J76" s="406"/>
      <c r="K76" s="418">
        <f>SUM(K11:K75)</f>
        <v>0</v>
      </c>
      <c r="L76" s="407" t="str">
        <f t="shared" ref="L76" si="8">IF(I76="","",IF(SUM(G76)=0,"",K76/G76))</f>
        <v/>
      </c>
    </row>
  </sheetData>
  <mergeCells count="5">
    <mergeCell ref="E3:G3"/>
    <mergeCell ref="B6:F6"/>
    <mergeCell ref="G6:G9"/>
    <mergeCell ref="B7:F7"/>
    <mergeCell ref="B8:F8"/>
  </mergeCells>
  <conditionalFormatting sqref="F11:G76">
    <cfRule type="expression" dxfId="3"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6"/>
  <dimension ref="A1:Q211"/>
  <sheetViews>
    <sheetView view="pageBreakPreview" zoomScaleNormal="85" zoomScaleSheetLayoutView="100" workbookViewId="0">
      <selection activeCell="B26" sqref="B26:G26"/>
    </sheetView>
  </sheetViews>
  <sheetFormatPr defaultColWidth="6.81640625" defaultRowHeight="12.5" x14ac:dyDescent="0.25"/>
  <cols>
    <col min="1" max="1" width="0.81640625" style="1" customWidth="1"/>
    <col min="2" max="2" width="11.7265625" style="76" customWidth="1"/>
    <col min="3" max="3" width="45.7265625" style="3" customWidth="1"/>
    <col min="4" max="4" width="13.7265625" style="4" customWidth="1"/>
    <col min="5" max="5" width="15.7265625" style="4" customWidth="1"/>
    <col min="6" max="6" width="15.7265625" style="1" customWidth="1"/>
    <col min="7" max="7" width="15.7265625" style="5" customWidth="1"/>
    <col min="8" max="8" width="0.81640625" style="5" customWidth="1"/>
    <col min="9" max="9" width="6.81640625" style="1"/>
    <col min="10" max="10" width="12.81640625" style="1" customWidth="1"/>
    <col min="11" max="11" width="14.1796875" style="1" customWidth="1"/>
    <col min="12" max="13" width="14.7265625" style="1" customWidth="1"/>
    <col min="14" max="16384" width="6.81640625" style="1"/>
  </cols>
  <sheetData>
    <row r="1" spans="1:17" s="242" customFormat="1" ht="11.5" x14ac:dyDescent="0.25">
      <c r="B1" s="243"/>
      <c r="C1" s="244" t="s">
        <v>993</v>
      </c>
      <c r="D1" s="245"/>
      <c r="E1" s="246" t="s">
        <v>994</v>
      </c>
      <c r="F1" s="244">
        <v>1</v>
      </c>
      <c r="G1" s="247">
        <f>MAX(G2:G211)*0</f>
        <v>0</v>
      </c>
      <c r="H1" s="247">
        <f>MAX(H2:H207)</f>
        <v>0</v>
      </c>
      <c r="I1" s="248"/>
      <c r="J1" s="247"/>
      <c r="K1" s="247">
        <f>MAX(K2:K211)</f>
        <v>6983.9999999999991</v>
      </c>
      <c r="L1" s="249"/>
      <c r="M1" s="250"/>
      <c r="N1" s="256"/>
      <c r="O1" s="257" t="s">
        <v>1001</v>
      </c>
      <c r="P1" s="255">
        <f>J1</f>
        <v>0</v>
      </c>
      <c r="Q1" s="256"/>
    </row>
    <row r="2" spans="1:17" s="242" customFormat="1" ht="11.5" x14ac:dyDescent="0.25">
      <c r="A2" s="250"/>
      <c r="B2" s="251" t="s">
        <v>995</v>
      </c>
      <c r="C2" s="252" t="s">
        <v>1</v>
      </c>
      <c r="D2" s="252" t="s">
        <v>2</v>
      </c>
      <c r="E2" s="252" t="s">
        <v>3</v>
      </c>
      <c r="F2" s="252" t="s">
        <v>4</v>
      </c>
      <c r="G2" s="252" t="s">
        <v>5</v>
      </c>
      <c r="H2" s="254"/>
      <c r="I2" s="398" t="s">
        <v>996</v>
      </c>
      <c r="J2" s="253" t="s">
        <v>997</v>
      </c>
      <c r="K2" s="253" t="s">
        <v>998</v>
      </c>
      <c r="L2" s="253" t="s">
        <v>999</v>
      </c>
      <c r="M2" s="253" t="s">
        <v>1000</v>
      </c>
      <c r="N2" s="256"/>
      <c r="O2" s="256"/>
      <c r="P2" s="256"/>
      <c r="Q2" s="256"/>
    </row>
    <row r="3" spans="1:17" ht="13" x14ac:dyDescent="0.25">
      <c r="B3" s="1108" t="str">
        <f>Client1</f>
        <v>Province of KwaZulu-Natal</v>
      </c>
      <c r="C3" s="1108"/>
      <c r="D3" s="1108"/>
      <c r="E3" s="1109" t="str">
        <f>"Contract No. "&amp;ContractNo</f>
        <v>Contract No. ZNB 00399/00000/HOD/INF/21/T</v>
      </c>
      <c r="F3" s="1109"/>
      <c r="G3" s="1109"/>
    </row>
    <row r="4" spans="1:17" ht="13" x14ac:dyDescent="0.25">
      <c r="B4" s="1108" t="str">
        <f>Client2</f>
        <v>Department of Transport</v>
      </c>
      <c r="C4" s="1108"/>
      <c r="D4" s="1108"/>
      <c r="E4" s="1109"/>
      <c r="F4" s="1109"/>
      <c r="G4" s="1109"/>
    </row>
    <row r="5" spans="1:17" x14ac:dyDescent="0.25">
      <c r="B5" s="1111"/>
      <c r="C5" s="1111"/>
      <c r="D5" s="1111"/>
      <c r="E5" s="1110"/>
      <c r="F5" s="1110"/>
      <c r="G5" s="1110"/>
    </row>
    <row r="6" spans="1:17" ht="13" x14ac:dyDescent="0.25">
      <c r="B6" s="1112" t="s">
        <v>1773</v>
      </c>
      <c r="C6" s="1113"/>
      <c r="D6" s="1113"/>
      <c r="E6" s="1113"/>
      <c r="F6" s="1113"/>
      <c r="G6" s="1121" t="str">
        <f>"CHAPTER "&amp;B12</f>
        <v>CHAPTER C1.2</v>
      </c>
      <c r="H6" s="6"/>
    </row>
    <row r="7" spans="1:17" ht="37.5" customHeight="1" x14ac:dyDescent="0.25">
      <c r="B7" s="1117" t="str">
        <f>ContractDescription</f>
        <v>THE CONSTRUCTION OF EARTHWORKS, LAYERWORKS, SURFACING, CULVERTS AND CWAKA RIVER BRIDGE FROM KM 11.600 TO KM 14.000 ON MAIN ROAD P494 IN THE KING CETSHWAYO DISTRICT UNDER EMPANGENI REGION</v>
      </c>
      <c r="C7" s="1148"/>
      <c r="D7" s="1148"/>
      <c r="E7" s="1148"/>
      <c r="F7" s="1148"/>
      <c r="G7" s="1122"/>
      <c r="H7" s="8"/>
    </row>
    <row r="8" spans="1:17" ht="26.25" customHeight="1" x14ac:dyDescent="0.25">
      <c r="B8" s="1149" t="s">
        <v>1774</v>
      </c>
      <c r="C8" s="1150"/>
      <c r="D8" s="1150"/>
      <c r="E8" s="1150"/>
      <c r="F8" s="1150"/>
      <c r="G8" s="1122"/>
      <c r="H8" s="8"/>
    </row>
    <row r="9" spans="1:17" ht="7.5" customHeight="1" x14ac:dyDescent="0.25">
      <c r="B9" s="611"/>
      <c r="C9" s="612"/>
      <c r="D9" s="612"/>
      <c r="E9" s="612"/>
      <c r="F9" s="612"/>
      <c r="G9" s="1123"/>
      <c r="H9" s="8"/>
    </row>
    <row r="10" spans="1:17" s="9" customFormat="1" ht="25" customHeight="1" x14ac:dyDescent="0.25">
      <c r="B10" s="74" t="s">
        <v>0</v>
      </c>
      <c r="C10" s="11" t="s">
        <v>1</v>
      </c>
      <c r="D10" s="11" t="s">
        <v>2</v>
      </c>
      <c r="E10" s="11" t="s">
        <v>3</v>
      </c>
      <c r="F10" s="11" t="s">
        <v>4</v>
      </c>
      <c r="G10" s="11" t="s">
        <v>5</v>
      </c>
      <c r="H10" s="12"/>
      <c r="I10" s="408" t="s">
        <v>996</v>
      </c>
      <c r="J10" s="253" t="s">
        <v>997</v>
      </c>
      <c r="K10" s="253" t="s">
        <v>998</v>
      </c>
      <c r="L10" s="253" t="s">
        <v>999</v>
      </c>
    </row>
    <row r="11" spans="1:17" x14ac:dyDescent="0.25">
      <c r="B11" s="58"/>
      <c r="C11" s="65"/>
      <c r="D11" s="15"/>
      <c r="E11" s="15"/>
      <c r="F11" s="16"/>
      <c r="G11" s="17" t="str">
        <f t="shared" ref="G11:G71" si="0">IF(D11="","",E11*F11)</f>
        <v/>
      </c>
      <c r="H11" s="18"/>
      <c r="I11" s="61"/>
      <c r="J11" s="399"/>
      <c r="K11" s="420" t="str">
        <f t="shared" ref="K11" si="1">IF(I11="","",E11*J11)</f>
        <v/>
      </c>
      <c r="L11" s="401" t="str">
        <f t="shared" ref="L11" si="2">IF(I11="","",IF(SUM(G11)=0,"",K11/G11))</f>
        <v/>
      </c>
    </row>
    <row r="12" spans="1:17" ht="13" x14ac:dyDescent="0.25">
      <c r="B12" s="146" t="s">
        <v>14</v>
      </c>
      <c r="C12" s="672" t="s">
        <v>13</v>
      </c>
      <c r="D12" s="15"/>
      <c r="E12" s="15"/>
      <c r="F12" s="16"/>
      <c r="G12" s="17" t="str">
        <f t="shared" si="0"/>
        <v/>
      </c>
      <c r="H12" s="18"/>
      <c r="I12" s="61"/>
      <c r="J12" s="399"/>
      <c r="K12" s="420" t="str">
        <f t="shared" ref="K12:K71" si="3">IF(I12="","",E12*J12)</f>
        <v/>
      </c>
      <c r="L12" s="401" t="str">
        <f t="shared" ref="L12:L71" si="4">IF(I12="","",IF(SUM(G12)=0,"",K12/G12))</f>
        <v/>
      </c>
    </row>
    <row r="13" spans="1:17" x14ac:dyDescent="0.25">
      <c r="B13" s="58"/>
      <c r="C13" s="65"/>
      <c r="D13" s="15"/>
      <c r="E13" s="15"/>
      <c r="F13" s="16"/>
      <c r="G13" s="17" t="str">
        <f t="shared" si="0"/>
        <v/>
      </c>
      <c r="H13" s="18"/>
      <c r="I13" s="61"/>
      <c r="J13" s="399"/>
      <c r="K13" s="420" t="str">
        <f t="shared" si="3"/>
        <v/>
      </c>
      <c r="L13" s="401" t="str">
        <f t="shared" si="4"/>
        <v/>
      </c>
    </row>
    <row r="14" spans="1:17" ht="13" x14ac:dyDescent="0.25">
      <c r="B14" s="146" t="s">
        <v>1860</v>
      </c>
      <c r="C14" s="672" t="s">
        <v>15</v>
      </c>
      <c r="D14" s="15"/>
      <c r="E14" s="15"/>
      <c r="F14" s="16"/>
      <c r="G14" s="17" t="str">
        <f t="shared" si="0"/>
        <v/>
      </c>
      <c r="H14" s="18"/>
      <c r="I14" s="61"/>
      <c r="J14" s="399"/>
      <c r="K14" s="420" t="str">
        <f t="shared" si="3"/>
        <v/>
      </c>
      <c r="L14" s="401" t="str">
        <f t="shared" si="4"/>
        <v/>
      </c>
    </row>
    <row r="15" spans="1:17" x14ac:dyDescent="0.25">
      <c r="B15" s="58"/>
      <c r="C15" s="65"/>
      <c r="D15" s="15"/>
      <c r="E15" s="15"/>
      <c r="F15" s="16"/>
      <c r="G15" s="17" t="str">
        <f t="shared" si="0"/>
        <v/>
      </c>
      <c r="H15" s="18"/>
      <c r="I15" s="61"/>
      <c r="J15" s="399"/>
      <c r="K15" s="420" t="str">
        <f t="shared" si="3"/>
        <v/>
      </c>
      <c r="L15" s="401" t="str">
        <f t="shared" si="4"/>
        <v/>
      </c>
    </row>
    <row r="16" spans="1:17" ht="25" x14ac:dyDescent="0.25">
      <c r="B16" s="58" t="s">
        <v>16</v>
      </c>
      <c r="C16" s="65" t="s">
        <v>17</v>
      </c>
      <c r="D16" s="15" t="s">
        <v>18</v>
      </c>
      <c r="E16" s="24">
        <f>'C1.3(STC3960)'!E18</f>
        <v>10</v>
      </c>
      <c r="F16" s="724">
        <v>5000</v>
      </c>
      <c r="G16" s="17">
        <f t="shared" si="0"/>
        <v>50000</v>
      </c>
      <c r="H16" s="57"/>
      <c r="I16" s="61"/>
      <c r="J16" s="400"/>
      <c r="K16" s="420" t="str">
        <f t="shared" si="3"/>
        <v/>
      </c>
      <c r="L16" s="401" t="str">
        <f t="shared" si="4"/>
        <v/>
      </c>
    </row>
    <row r="17" spans="2:12" x14ac:dyDescent="0.25">
      <c r="B17" s="58"/>
      <c r="C17" s="65"/>
      <c r="D17" s="15"/>
      <c r="E17" s="24"/>
      <c r="F17" s="724"/>
      <c r="G17" s="17" t="str">
        <f t="shared" si="0"/>
        <v/>
      </c>
      <c r="H17" s="57"/>
      <c r="I17" s="61"/>
      <c r="J17" s="399"/>
      <c r="K17" s="420" t="str">
        <f t="shared" si="3"/>
        <v/>
      </c>
      <c r="L17" s="401" t="str">
        <f t="shared" si="4"/>
        <v/>
      </c>
    </row>
    <row r="18" spans="2:12" ht="25" x14ac:dyDescent="0.25">
      <c r="B18" s="58" t="s">
        <v>19</v>
      </c>
      <c r="C18" s="65" t="s">
        <v>20</v>
      </c>
      <c r="D18" s="15" t="s">
        <v>18</v>
      </c>
      <c r="E18" s="24">
        <f>'C1.3(STC3960)'!E18</f>
        <v>10</v>
      </c>
      <c r="F18" s="724">
        <v>5000</v>
      </c>
      <c r="G18" s="17">
        <f t="shared" si="0"/>
        <v>50000</v>
      </c>
      <c r="H18" s="57"/>
      <c r="I18" s="61"/>
      <c r="J18" s="399"/>
      <c r="K18" s="420" t="str">
        <f t="shared" si="3"/>
        <v/>
      </c>
      <c r="L18" s="401" t="str">
        <f t="shared" si="4"/>
        <v/>
      </c>
    </row>
    <row r="19" spans="2:12" x14ac:dyDescent="0.25">
      <c r="B19" s="58"/>
      <c r="C19" s="65"/>
      <c r="D19" s="15"/>
      <c r="E19" s="24"/>
      <c r="F19" s="16"/>
      <c r="G19" s="17" t="str">
        <f t="shared" si="0"/>
        <v/>
      </c>
      <c r="H19" s="18"/>
      <c r="I19" s="61"/>
      <c r="J19" s="399"/>
      <c r="K19" s="420" t="str">
        <f t="shared" si="3"/>
        <v/>
      </c>
      <c r="L19" s="401" t="str">
        <f t="shared" si="4"/>
        <v/>
      </c>
    </row>
    <row r="20" spans="2:12" ht="13" x14ac:dyDescent="0.25">
      <c r="B20" s="146" t="s">
        <v>1862</v>
      </c>
      <c r="C20" s="672" t="s">
        <v>29</v>
      </c>
      <c r="D20" s="15"/>
      <c r="E20" s="15"/>
      <c r="F20" s="64"/>
      <c r="G20" s="17" t="str">
        <f t="shared" si="0"/>
        <v/>
      </c>
      <c r="H20" s="18"/>
      <c r="I20" s="61"/>
      <c r="J20" s="402"/>
      <c r="K20" s="420" t="str">
        <f t="shared" si="3"/>
        <v/>
      </c>
      <c r="L20" s="401" t="str">
        <f t="shared" si="4"/>
        <v/>
      </c>
    </row>
    <row r="21" spans="2:12" x14ac:dyDescent="0.25">
      <c r="B21" s="58"/>
      <c r="C21" s="65"/>
      <c r="D21" s="15"/>
      <c r="E21" s="15"/>
      <c r="F21" s="64"/>
      <c r="G21" s="17" t="str">
        <f t="shared" si="0"/>
        <v/>
      </c>
      <c r="H21" s="60"/>
      <c r="I21" s="61"/>
      <c r="J21" s="402"/>
      <c r="K21" s="420" t="str">
        <f t="shared" si="3"/>
        <v/>
      </c>
      <c r="L21" s="401" t="str">
        <f t="shared" si="4"/>
        <v/>
      </c>
    </row>
    <row r="22" spans="2:12" x14ac:dyDescent="0.25">
      <c r="B22" s="58" t="s">
        <v>30</v>
      </c>
      <c r="C22" s="65" t="s">
        <v>31</v>
      </c>
      <c r="D22" s="15" t="s">
        <v>11</v>
      </c>
      <c r="E22" s="15">
        <v>1</v>
      </c>
      <c r="F22" s="64">
        <v>5000</v>
      </c>
      <c r="G22" s="17">
        <f t="shared" si="0"/>
        <v>5000</v>
      </c>
      <c r="H22" s="63"/>
      <c r="I22" s="61"/>
      <c r="J22" s="402"/>
      <c r="K22" s="420" t="str">
        <f t="shared" si="3"/>
        <v/>
      </c>
      <c r="L22" s="401" t="str">
        <f t="shared" si="4"/>
        <v/>
      </c>
    </row>
    <row r="23" spans="2:12" x14ac:dyDescent="0.25">
      <c r="B23" s="58"/>
      <c r="C23" s="65"/>
      <c r="D23" s="15"/>
      <c r="E23" s="15"/>
      <c r="F23" s="64"/>
      <c r="G23" s="17" t="str">
        <f t="shared" si="0"/>
        <v/>
      </c>
      <c r="H23" s="63"/>
      <c r="I23" s="61"/>
      <c r="J23" s="402"/>
      <c r="K23" s="420" t="str">
        <f t="shared" si="3"/>
        <v/>
      </c>
      <c r="L23" s="401" t="str">
        <f t="shared" si="4"/>
        <v/>
      </c>
    </row>
    <row r="24" spans="2:12" x14ac:dyDescent="0.25">
      <c r="B24" s="58" t="s">
        <v>32</v>
      </c>
      <c r="C24" s="65" t="s">
        <v>33</v>
      </c>
      <c r="D24" s="15" t="s">
        <v>18</v>
      </c>
      <c r="E24" s="580">
        <f>'C1.3(STC3960)'!E18</f>
        <v>10</v>
      </c>
      <c r="F24" s="64">
        <v>5000</v>
      </c>
      <c r="G24" s="17">
        <f t="shared" si="0"/>
        <v>50000</v>
      </c>
      <c r="H24" s="63"/>
      <c r="I24" s="61"/>
      <c r="J24" s="402"/>
      <c r="K24" s="420" t="str">
        <f t="shared" si="3"/>
        <v/>
      </c>
      <c r="L24" s="401" t="str">
        <f t="shared" si="4"/>
        <v/>
      </c>
    </row>
    <row r="25" spans="2:12" x14ac:dyDescent="0.25">
      <c r="B25" s="58"/>
      <c r="C25" s="68"/>
      <c r="D25" s="61"/>
      <c r="E25" s="24"/>
      <c r="F25" s="62"/>
      <c r="G25" s="17" t="str">
        <f t="shared" si="0"/>
        <v/>
      </c>
      <c r="H25" s="63"/>
      <c r="I25" s="61"/>
      <c r="J25" s="402"/>
      <c r="K25" s="420" t="str">
        <f t="shared" si="3"/>
        <v/>
      </c>
      <c r="L25" s="401" t="str">
        <f t="shared" si="4"/>
        <v/>
      </c>
    </row>
    <row r="26" spans="2:12" ht="37.5" x14ac:dyDescent="0.25">
      <c r="B26" s="58" t="s">
        <v>1866</v>
      </c>
      <c r="C26" s="65" t="s">
        <v>1867</v>
      </c>
      <c r="D26" s="15" t="s">
        <v>11</v>
      </c>
      <c r="E26" s="15">
        <v>1</v>
      </c>
      <c r="F26" s="411">
        <v>5000</v>
      </c>
      <c r="G26" s="17">
        <f t="shared" si="0"/>
        <v>5000</v>
      </c>
      <c r="H26" s="63"/>
      <c r="I26" s="61"/>
      <c r="J26" s="399"/>
      <c r="K26" s="420" t="str">
        <f t="shared" si="3"/>
        <v/>
      </c>
      <c r="L26" s="401" t="str">
        <f t="shared" si="4"/>
        <v/>
      </c>
    </row>
    <row r="27" spans="2:12" x14ac:dyDescent="0.25">
      <c r="B27" s="58"/>
      <c r="C27" s="68"/>
      <c r="D27" s="61"/>
      <c r="E27" s="24"/>
      <c r="F27" s="62"/>
      <c r="G27" s="17" t="str">
        <f t="shared" si="0"/>
        <v/>
      </c>
      <c r="H27" s="63"/>
      <c r="I27" s="61"/>
      <c r="J27" s="399"/>
      <c r="K27" s="420" t="str">
        <f t="shared" si="3"/>
        <v/>
      </c>
      <c r="L27" s="401" t="str">
        <f t="shared" si="4"/>
        <v/>
      </c>
    </row>
    <row r="28" spans="2:12" ht="13" x14ac:dyDescent="0.25">
      <c r="B28" s="146" t="s">
        <v>35</v>
      </c>
      <c r="C28" s="19" t="s">
        <v>36</v>
      </c>
      <c r="D28" s="15"/>
      <c r="E28" s="580"/>
      <c r="F28" s="422"/>
      <c r="G28" s="17" t="str">
        <f t="shared" si="0"/>
        <v/>
      </c>
      <c r="H28" s="18"/>
      <c r="I28" s="61"/>
      <c r="J28" s="400"/>
      <c r="K28" s="420" t="str">
        <f t="shared" si="3"/>
        <v/>
      </c>
      <c r="L28" s="401" t="str">
        <f t="shared" si="4"/>
        <v/>
      </c>
    </row>
    <row r="29" spans="2:12" x14ac:dyDescent="0.25">
      <c r="B29" s="58"/>
      <c r="C29" s="14"/>
      <c r="D29" s="15"/>
      <c r="E29" s="580"/>
      <c r="F29" s="422"/>
      <c r="G29" s="17" t="str">
        <f t="shared" si="0"/>
        <v/>
      </c>
      <c r="H29" s="18"/>
      <c r="I29" s="61"/>
      <c r="J29" s="399"/>
      <c r="K29" s="420" t="str">
        <f t="shared" si="3"/>
        <v/>
      </c>
      <c r="L29" s="401" t="str">
        <f t="shared" si="4"/>
        <v/>
      </c>
    </row>
    <row r="30" spans="2:12" x14ac:dyDescent="0.25">
      <c r="B30" s="58" t="s">
        <v>37</v>
      </c>
      <c r="C30" s="14" t="s">
        <v>38</v>
      </c>
      <c r="D30" s="15"/>
      <c r="E30" s="580"/>
      <c r="F30" s="422"/>
      <c r="G30" s="17" t="str">
        <f t="shared" si="0"/>
        <v/>
      </c>
      <c r="H30" s="57"/>
      <c r="I30" s="61"/>
      <c r="J30" s="399"/>
      <c r="K30" s="420" t="str">
        <f t="shared" si="3"/>
        <v/>
      </c>
      <c r="L30" s="401" t="str">
        <f t="shared" si="4"/>
        <v/>
      </c>
    </row>
    <row r="31" spans="2:12" x14ac:dyDescent="0.25">
      <c r="B31" s="58"/>
      <c r="C31" s="14"/>
      <c r="D31" s="15"/>
      <c r="E31" s="580"/>
      <c r="F31" s="422"/>
      <c r="G31" s="17" t="str">
        <f t="shared" si="0"/>
        <v/>
      </c>
      <c r="H31" s="18"/>
      <c r="I31" s="61"/>
      <c r="J31" s="399"/>
      <c r="K31" s="420" t="str">
        <f t="shared" si="3"/>
        <v/>
      </c>
      <c r="L31" s="401" t="str">
        <f t="shared" si="4"/>
        <v/>
      </c>
    </row>
    <row r="32" spans="2:12" x14ac:dyDescent="0.25">
      <c r="B32" s="58" t="s">
        <v>39</v>
      </c>
      <c r="C32" s="14" t="s">
        <v>40</v>
      </c>
      <c r="D32" s="15" t="s">
        <v>191</v>
      </c>
      <c r="E32" s="580">
        <v>180</v>
      </c>
      <c r="F32" s="680">
        <v>40</v>
      </c>
      <c r="G32" s="17">
        <f t="shared" si="0"/>
        <v>7200</v>
      </c>
      <c r="H32" s="18"/>
      <c r="I32" s="61" t="s">
        <v>1721</v>
      </c>
      <c r="J32" s="399">
        <f>F32*97/100</f>
        <v>38.799999999999997</v>
      </c>
      <c r="K32" s="420">
        <f t="shared" si="3"/>
        <v>6983.9999999999991</v>
      </c>
      <c r="L32" s="401">
        <f t="shared" si="4"/>
        <v>0.96999999999999986</v>
      </c>
    </row>
    <row r="33" spans="2:12" x14ac:dyDescent="0.25">
      <c r="B33" s="58"/>
      <c r="C33" s="14"/>
      <c r="D33" s="15"/>
      <c r="E33" s="580"/>
      <c r="F33" s="422"/>
      <c r="G33" s="17" t="str">
        <f t="shared" si="0"/>
        <v/>
      </c>
      <c r="H33" s="18"/>
      <c r="I33" s="61"/>
      <c r="J33" s="399"/>
      <c r="K33" s="420" t="str">
        <f t="shared" si="3"/>
        <v/>
      </c>
      <c r="L33" s="401" t="str">
        <f t="shared" si="4"/>
        <v/>
      </c>
    </row>
    <row r="34" spans="2:12" x14ac:dyDescent="0.25">
      <c r="B34" s="58" t="s">
        <v>41</v>
      </c>
      <c r="C34" s="14" t="s">
        <v>46</v>
      </c>
      <c r="D34" s="15" t="s">
        <v>191</v>
      </c>
      <c r="E34" s="580">
        <v>25</v>
      </c>
      <c r="F34" s="680">
        <v>75</v>
      </c>
      <c r="G34" s="17">
        <f t="shared" si="0"/>
        <v>1875</v>
      </c>
      <c r="H34" s="18"/>
      <c r="I34" s="61"/>
      <c r="J34" s="400"/>
      <c r="K34" s="420" t="str">
        <f t="shared" si="3"/>
        <v/>
      </c>
      <c r="L34" s="401" t="str">
        <f t="shared" si="4"/>
        <v/>
      </c>
    </row>
    <row r="35" spans="2:12" s="36" customFormat="1" x14ac:dyDescent="0.25">
      <c r="B35" s="58"/>
      <c r="C35" s="14"/>
      <c r="D35" s="15"/>
      <c r="E35" s="580"/>
      <c r="F35" s="422"/>
      <c r="G35" s="17" t="str">
        <f t="shared" si="0"/>
        <v/>
      </c>
      <c r="H35" s="18"/>
      <c r="I35" s="61"/>
      <c r="J35" s="399"/>
      <c r="K35" s="420" t="str">
        <f t="shared" si="3"/>
        <v/>
      </c>
      <c r="L35" s="401" t="str">
        <f t="shared" si="4"/>
        <v/>
      </c>
    </row>
    <row r="36" spans="2:12" x14ac:dyDescent="0.25">
      <c r="B36" s="58" t="s">
        <v>45</v>
      </c>
      <c r="C36" s="14" t="s">
        <v>47</v>
      </c>
      <c r="D36" s="15" t="s">
        <v>191</v>
      </c>
      <c r="E36" s="580">
        <v>16</v>
      </c>
      <c r="F36" s="422">
        <v>115</v>
      </c>
      <c r="G36" s="17">
        <f t="shared" si="0"/>
        <v>1840</v>
      </c>
      <c r="H36" s="57"/>
      <c r="I36" s="61"/>
      <c r="J36" s="399"/>
      <c r="K36" s="420" t="str">
        <f t="shared" si="3"/>
        <v/>
      </c>
      <c r="L36" s="401" t="str">
        <f t="shared" si="4"/>
        <v/>
      </c>
    </row>
    <row r="37" spans="2:12" x14ac:dyDescent="0.25">
      <c r="B37" s="58"/>
      <c r="C37" s="14"/>
      <c r="D37" s="15"/>
      <c r="E37" s="580"/>
      <c r="F37" s="422"/>
      <c r="G37" s="17" t="str">
        <f t="shared" si="0"/>
        <v/>
      </c>
      <c r="H37" s="57"/>
      <c r="I37" s="61"/>
      <c r="J37" s="399"/>
      <c r="K37" s="420" t="str">
        <f t="shared" si="3"/>
        <v/>
      </c>
      <c r="L37" s="401" t="str">
        <f t="shared" si="4"/>
        <v/>
      </c>
    </row>
    <row r="38" spans="2:12" x14ac:dyDescent="0.25">
      <c r="B38" s="58" t="s">
        <v>48</v>
      </c>
      <c r="C38" s="14" t="s">
        <v>1824</v>
      </c>
      <c r="D38" s="15"/>
      <c r="E38" s="580"/>
      <c r="F38" s="422"/>
      <c r="G38" s="17" t="str">
        <f t="shared" si="0"/>
        <v/>
      </c>
      <c r="H38" s="18"/>
      <c r="I38" s="61"/>
      <c r="J38" s="399"/>
      <c r="K38" s="420" t="str">
        <f t="shared" si="3"/>
        <v/>
      </c>
      <c r="L38" s="401" t="str">
        <f t="shared" si="4"/>
        <v/>
      </c>
    </row>
    <row r="39" spans="2:12" x14ac:dyDescent="0.25">
      <c r="B39" s="58"/>
      <c r="C39" s="14"/>
      <c r="D39" s="15"/>
      <c r="E39" s="580"/>
      <c r="F39" s="422"/>
      <c r="G39" s="17" t="str">
        <f t="shared" si="0"/>
        <v/>
      </c>
      <c r="H39" s="18"/>
      <c r="I39" s="61"/>
      <c r="J39" s="399"/>
      <c r="K39" s="420" t="str">
        <f t="shared" si="3"/>
        <v/>
      </c>
      <c r="L39" s="401" t="str">
        <f t="shared" si="4"/>
        <v/>
      </c>
    </row>
    <row r="40" spans="2:12" x14ac:dyDescent="0.25">
      <c r="B40" s="58" t="s">
        <v>41</v>
      </c>
      <c r="C40" s="14" t="s">
        <v>49</v>
      </c>
      <c r="D40" s="15"/>
      <c r="E40" s="580"/>
      <c r="F40" s="422"/>
      <c r="G40" s="17" t="str">
        <f t="shared" si="0"/>
        <v/>
      </c>
      <c r="H40" s="18"/>
      <c r="I40" s="61"/>
      <c r="J40" s="399"/>
      <c r="K40" s="420" t="str">
        <f t="shared" si="3"/>
        <v/>
      </c>
      <c r="L40" s="401" t="str">
        <f t="shared" si="4"/>
        <v/>
      </c>
    </row>
    <row r="41" spans="2:12" x14ac:dyDescent="0.25">
      <c r="B41" s="58"/>
      <c r="C41" s="14"/>
      <c r="D41" s="15"/>
      <c r="E41" s="580"/>
      <c r="F41" s="422"/>
      <c r="G41" s="17" t="str">
        <f t="shared" si="0"/>
        <v/>
      </c>
      <c r="H41" s="18"/>
      <c r="I41" s="61"/>
      <c r="J41" s="399"/>
      <c r="K41" s="420" t="str">
        <f t="shared" si="3"/>
        <v/>
      </c>
      <c r="L41" s="401" t="str">
        <f t="shared" si="4"/>
        <v/>
      </c>
    </row>
    <row r="42" spans="2:12" x14ac:dyDescent="0.25">
      <c r="B42" s="58" t="s">
        <v>990</v>
      </c>
      <c r="C42" s="14" t="s">
        <v>1675</v>
      </c>
      <c r="D42" s="15" t="s">
        <v>191</v>
      </c>
      <c r="E42" s="580">
        <v>16</v>
      </c>
      <c r="F42" s="422">
        <v>150</v>
      </c>
      <c r="G42" s="17">
        <f t="shared" si="0"/>
        <v>2400</v>
      </c>
      <c r="H42" s="18"/>
      <c r="I42" s="61"/>
      <c r="J42" s="399"/>
      <c r="K42" s="420" t="str">
        <f t="shared" si="3"/>
        <v/>
      </c>
      <c r="L42" s="401" t="str">
        <f t="shared" si="4"/>
        <v/>
      </c>
    </row>
    <row r="43" spans="2:12" x14ac:dyDescent="0.25">
      <c r="B43" s="58"/>
      <c r="C43" s="14"/>
      <c r="D43" s="15"/>
      <c r="E43" s="580"/>
      <c r="F43" s="422"/>
      <c r="G43" s="17" t="str">
        <f t="shared" si="0"/>
        <v/>
      </c>
      <c r="H43" s="18"/>
      <c r="I43" s="61"/>
      <c r="J43" s="399"/>
      <c r="K43" s="420" t="str">
        <f t="shared" si="3"/>
        <v/>
      </c>
      <c r="L43" s="401" t="str">
        <f t="shared" si="4"/>
        <v/>
      </c>
    </row>
    <row r="44" spans="2:12" x14ac:dyDescent="0.25">
      <c r="B44" s="58" t="s">
        <v>43</v>
      </c>
      <c r="C44" s="14" t="s">
        <v>1963</v>
      </c>
      <c r="D44" s="15" t="s">
        <v>191</v>
      </c>
      <c r="E44" s="24">
        <v>16</v>
      </c>
      <c r="F44" s="422">
        <v>750</v>
      </c>
      <c r="G44" s="17">
        <f t="shared" si="0"/>
        <v>12000</v>
      </c>
      <c r="H44" s="18"/>
      <c r="I44" s="61"/>
      <c r="J44" s="399"/>
      <c r="K44" s="420" t="str">
        <f t="shared" si="3"/>
        <v/>
      </c>
      <c r="L44" s="401" t="str">
        <f t="shared" si="4"/>
        <v/>
      </c>
    </row>
    <row r="45" spans="2:12" x14ac:dyDescent="0.25">
      <c r="B45" s="58"/>
      <c r="C45" s="14"/>
      <c r="D45" s="15"/>
      <c r="E45" s="580"/>
      <c r="F45" s="422"/>
      <c r="G45" s="17" t="str">
        <f t="shared" si="0"/>
        <v/>
      </c>
      <c r="H45" s="18"/>
      <c r="I45" s="61"/>
      <c r="J45" s="399"/>
      <c r="K45" s="420" t="str">
        <f t="shared" si="3"/>
        <v/>
      </c>
      <c r="L45" s="401" t="str">
        <f t="shared" si="4"/>
        <v/>
      </c>
    </row>
    <row r="46" spans="2:12" x14ac:dyDescent="0.25">
      <c r="B46" s="58" t="s">
        <v>50</v>
      </c>
      <c r="C46" s="14" t="s">
        <v>1825</v>
      </c>
      <c r="D46" s="15"/>
      <c r="E46" s="580"/>
      <c r="F46" s="422"/>
      <c r="G46" s="17" t="str">
        <f t="shared" si="0"/>
        <v/>
      </c>
      <c r="H46" s="18"/>
      <c r="I46" s="61"/>
      <c r="J46" s="402"/>
      <c r="K46" s="420" t="str">
        <f t="shared" si="3"/>
        <v/>
      </c>
      <c r="L46" s="401" t="str">
        <f t="shared" si="4"/>
        <v/>
      </c>
    </row>
    <row r="47" spans="2:12" x14ac:dyDescent="0.25">
      <c r="B47" s="58"/>
      <c r="C47" s="14"/>
      <c r="D47" s="15"/>
      <c r="E47" s="580"/>
      <c r="F47" s="422"/>
      <c r="G47" s="17" t="str">
        <f t="shared" si="0"/>
        <v/>
      </c>
      <c r="H47" s="18"/>
      <c r="I47" s="61"/>
      <c r="J47" s="399"/>
      <c r="K47" s="420" t="str">
        <f t="shared" si="3"/>
        <v/>
      </c>
      <c r="L47" s="401" t="str">
        <f t="shared" si="4"/>
        <v/>
      </c>
    </row>
    <row r="48" spans="2:12" x14ac:dyDescent="0.25">
      <c r="B48" s="58" t="s">
        <v>990</v>
      </c>
      <c r="C48" s="14" t="s">
        <v>1677</v>
      </c>
      <c r="D48" s="15" t="s">
        <v>191</v>
      </c>
      <c r="E48" s="580">
        <v>16</v>
      </c>
      <c r="F48" s="424">
        <v>100</v>
      </c>
      <c r="G48" s="17">
        <f t="shared" si="0"/>
        <v>1600</v>
      </c>
      <c r="H48" s="18"/>
      <c r="I48" s="61"/>
      <c r="J48" s="399"/>
      <c r="K48" s="420" t="str">
        <f t="shared" si="3"/>
        <v/>
      </c>
      <c r="L48" s="401" t="str">
        <f t="shared" si="4"/>
        <v/>
      </c>
    </row>
    <row r="49" spans="2:12" x14ac:dyDescent="0.25">
      <c r="B49" s="58"/>
      <c r="C49" s="14"/>
      <c r="D49" s="15"/>
      <c r="E49" s="580"/>
      <c r="F49" s="424"/>
      <c r="G49" s="17" t="str">
        <f t="shared" si="0"/>
        <v/>
      </c>
      <c r="H49" s="18"/>
      <c r="I49" s="61"/>
      <c r="J49" s="399"/>
      <c r="K49" s="420" t="str">
        <f t="shared" si="3"/>
        <v/>
      </c>
      <c r="L49" s="401" t="str">
        <f t="shared" si="4"/>
        <v/>
      </c>
    </row>
    <row r="50" spans="2:12" x14ac:dyDescent="0.25">
      <c r="B50" s="58" t="s">
        <v>991</v>
      </c>
      <c r="C50" s="14" t="s">
        <v>1964</v>
      </c>
      <c r="D50" s="15" t="s">
        <v>1965</v>
      </c>
      <c r="E50" s="24">
        <v>16</v>
      </c>
      <c r="F50" s="422">
        <v>350</v>
      </c>
      <c r="G50" s="17">
        <f t="shared" si="0"/>
        <v>5600</v>
      </c>
      <c r="H50" s="18"/>
      <c r="I50" s="61"/>
      <c r="J50" s="399"/>
      <c r="K50" s="420" t="str">
        <f t="shared" si="3"/>
        <v/>
      </c>
      <c r="L50" s="401" t="str">
        <f t="shared" si="4"/>
        <v/>
      </c>
    </row>
    <row r="51" spans="2:12" x14ac:dyDescent="0.25">
      <c r="B51" s="58"/>
      <c r="C51" s="14"/>
      <c r="D51" s="15"/>
      <c r="E51" s="580"/>
      <c r="F51" s="411"/>
      <c r="G51" s="17" t="str">
        <f t="shared" si="0"/>
        <v/>
      </c>
      <c r="H51" s="18"/>
      <c r="I51" s="61"/>
      <c r="J51" s="399"/>
      <c r="K51" s="420" t="str">
        <f t="shared" si="3"/>
        <v/>
      </c>
      <c r="L51" s="401" t="str">
        <f t="shared" si="4"/>
        <v/>
      </c>
    </row>
    <row r="52" spans="2:12" x14ac:dyDescent="0.25">
      <c r="B52" s="58" t="s">
        <v>51</v>
      </c>
      <c r="C52" s="14" t="s">
        <v>1826</v>
      </c>
      <c r="D52" s="15"/>
      <c r="E52" s="580"/>
      <c r="F52" s="422"/>
      <c r="G52" s="17" t="str">
        <f t="shared" si="0"/>
        <v/>
      </c>
      <c r="H52" s="18"/>
      <c r="I52" s="61"/>
      <c r="J52" s="399"/>
      <c r="K52" s="420" t="str">
        <f t="shared" si="3"/>
        <v/>
      </c>
      <c r="L52" s="401" t="str">
        <f t="shared" si="4"/>
        <v/>
      </c>
    </row>
    <row r="53" spans="2:12" x14ac:dyDescent="0.25">
      <c r="B53" s="58"/>
      <c r="C53" s="14"/>
      <c r="D53" s="15"/>
      <c r="E53" s="580"/>
      <c r="F53" s="422"/>
      <c r="G53" s="17" t="str">
        <f t="shared" si="0"/>
        <v/>
      </c>
      <c r="H53" s="18"/>
      <c r="I53" s="61"/>
      <c r="J53" s="399"/>
      <c r="K53" s="420" t="str">
        <f t="shared" si="3"/>
        <v/>
      </c>
      <c r="L53" s="401" t="str">
        <f t="shared" si="4"/>
        <v/>
      </c>
    </row>
    <row r="54" spans="2:12" x14ac:dyDescent="0.25">
      <c r="B54" s="58" t="s">
        <v>39</v>
      </c>
      <c r="C54" s="14" t="s">
        <v>2069</v>
      </c>
      <c r="D54" s="15" t="s">
        <v>22</v>
      </c>
      <c r="E54" s="24">
        <v>1000</v>
      </c>
      <c r="F54" s="424">
        <v>8.5</v>
      </c>
      <c r="G54" s="17">
        <f t="shared" si="0"/>
        <v>8500</v>
      </c>
      <c r="H54" s="18"/>
      <c r="I54" s="61"/>
      <c r="J54" s="399"/>
      <c r="K54" s="420" t="str">
        <f t="shared" si="3"/>
        <v/>
      </c>
      <c r="L54" s="401" t="str">
        <f t="shared" si="4"/>
        <v/>
      </c>
    </row>
    <row r="55" spans="2:12" x14ac:dyDescent="0.25">
      <c r="B55" s="58"/>
      <c r="C55" s="65"/>
      <c r="D55" s="15"/>
      <c r="E55" s="15"/>
      <c r="F55" s="64"/>
      <c r="G55" s="17" t="str">
        <f t="shared" si="0"/>
        <v/>
      </c>
      <c r="H55" s="18"/>
      <c r="I55" s="61"/>
      <c r="J55" s="399"/>
      <c r="K55" s="420" t="str">
        <f t="shared" si="3"/>
        <v/>
      </c>
      <c r="L55" s="401" t="str">
        <f t="shared" si="4"/>
        <v/>
      </c>
    </row>
    <row r="56" spans="2:12" x14ac:dyDescent="0.25">
      <c r="B56" s="58"/>
      <c r="C56" s="65"/>
      <c r="D56" s="15"/>
      <c r="E56" s="15"/>
      <c r="F56" s="64"/>
      <c r="G56" s="17" t="str">
        <f t="shared" si="0"/>
        <v/>
      </c>
      <c r="H56" s="18"/>
      <c r="I56" s="61"/>
      <c r="J56" s="399"/>
      <c r="K56" s="420" t="str">
        <f t="shared" si="3"/>
        <v/>
      </c>
      <c r="L56" s="401" t="str">
        <f t="shared" si="4"/>
        <v/>
      </c>
    </row>
    <row r="57" spans="2:12" x14ac:dyDescent="0.25">
      <c r="B57" s="58"/>
      <c r="C57" s="65"/>
      <c r="D57" s="15"/>
      <c r="E57" s="15"/>
      <c r="F57" s="64"/>
      <c r="G57" s="17" t="str">
        <f t="shared" si="0"/>
        <v/>
      </c>
      <c r="H57" s="18"/>
      <c r="I57" s="61"/>
      <c r="J57" s="399"/>
      <c r="K57" s="420" t="str">
        <f t="shared" si="3"/>
        <v/>
      </c>
      <c r="L57" s="401" t="str">
        <f t="shared" si="4"/>
        <v/>
      </c>
    </row>
    <row r="58" spans="2:12" x14ac:dyDescent="0.25">
      <c r="B58" s="58"/>
      <c r="C58" s="65"/>
      <c r="D58" s="15"/>
      <c r="E58" s="15"/>
      <c r="F58" s="64"/>
      <c r="G58" s="17" t="str">
        <f t="shared" si="0"/>
        <v/>
      </c>
      <c r="H58" s="18"/>
      <c r="I58" s="61"/>
      <c r="J58" s="402"/>
      <c r="K58" s="420" t="str">
        <f t="shared" si="3"/>
        <v/>
      </c>
      <c r="L58" s="401" t="str">
        <f t="shared" si="4"/>
        <v/>
      </c>
    </row>
    <row r="59" spans="2:12" x14ac:dyDescent="0.25">
      <c r="B59" s="58"/>
      <c r="C59" s="65"/>
      <c r="D59" s="15"/>
      <c r="E59" s="15"/>
      <c r="F59" s="64"/>
      <c r="G59" s="17" t="str">
        <f t="shared" si="0"/>
        <v/>
      </c>
      <c r="H59" s="18"/>
      <c r="I59" s="62"/>
      <c r="J59" s="62"/>
      <c r="K59" s="420" t="str">
        <f t="shared" si="3"/>
        <v/>
      </c>
      <c r="L59" s="401" t="str">
        <f t="shared" si="4"/>
        <v/>
      </c>
    </row>
    <row r="60" spans="2:12" x14ac:dyDescent="0.25">
      <c r="B60" s="58"/>
      <c r="C60" s="65"/>
      <c r="D60" s="15"/>
      <c r="E60" s="15"/>
      <c r="F60" s="64"/>
      <c r="G60" s="17" t="str">
        <f t="shared" si="0"/>
        <v/>
      </c>
      <c r="H60" s="18"/>
      <c r="I60" s="62"/>
      <c r="J60" s="62"/>
      <c r="K60" s="420" t="str">
        <f t="shared" si="3"/>
        <v/>
      </c>
      <c r="L60" s="401" t="str">
        <f t="shared" si="4"/>
        <v/>
      </c>
    </row>
    <row r="61" spans="2:12" x14ac:dyDescent="0.25">
      <c r="B61" s="58"/>
      <c r="C61" s="65"/>
      <c r="D61" s="15"/>
      <c r="E61" s="15"/>
      <c r="F61" s="64"/>
      <c r="G61" s="17" t="str">
        <f t="shared" si="0"/>
        <v/>
      </c>
      <c r="H61" s="18"/>
      <c r="I61" s="62"/>
      <c r="J61" s="62"/>
      <c r="K61" s="420" t="str">
        <f t="shared" si="3"/>
        <v/>
      </c>
      <c r="L61" s="401" t="str">
        <f t="shared" si="4"/>
        <v/>
      </c>
    </row>
    <row r="62" spans="2:12" x14ac:dyDescent="0.25">
      <c r="B62" s="58"/>
      <c r="C62" s="65"/>
      <c r="D62" s="15"/>
      <c r="E62" s="15"/>
      <c r="F62" s="67"/>
      <c r="G62" s="17" t="str">
        <f t="shared" si="0"/>
        <v/>
      </c>
      <c r="H62" s="18"/>
      <c r="I62" s="62"/>
      <c r="J62" s="62"/>
      <c r="K62" s="420" t="str">
        <f t="shared" si="3"/>
        <v/>
      </c>
      <c r="L62" s="401" t="str">
        <f t="shared" si="4"/>
        <v/>
      </c>
    </row>
    <row r="63" spans="2:12" x14ac:dyDescent="0.25">
      <c r="B63" s="58"/>
      <c r="C63" s="65"/>
      <c r="D63" s="15"/>
      <c r="E63" s="15"/>
      <c r="F63" s="67"/>
      <c r="G63" s="17" t="str">
        <f t="shared" si="0"/>
        <v/>
      </c>
      <c r="H63" s="18"/>
      <c r="I63" s="62"/>
      <c r="J63" s="62"/>
      <c r="K63" s="420" t="str">
        <f t="shared" si="3"/>
        <v/>
      </c>
      <c r="L63" s="401" t="str">
        <f t="shared" si="4"/>
        <v/>
      </c>
    </row>
    <row r="64" spans="2:12" ht="13" x14ac:dyDescent="0.3">
      <c r="B64" s="58"/>
      <c r="C64" s="65"/>
      <c r="D64" s="706"/>
      <c r="E64" s="15"/>
      <c r="F64" s="64"/>
      <c r="G64" s="17" t="str">
        <f t="shared" si="0"/>
        <v/>
      </c>
      <c r="H64" s="18"/>
      <c r="I64" s="62"/>
      <c r="J64" s="62"/>
      <c r="K64" s="420" t="str">
        <f t="shared" si="3"/>
        <v/>
      </c>
      <c r="L64" s="401" t="str">
        <f t="shared" si="4"/>
        <v/>
      </c>
    </row>
    <row r="65" spans="2:12" ht="13" x14ac:dyDescent="0.3">
      <c r="B65" s="58"/>
      <c r="C65" s="65"/>
      <c r="D65" s="706"/>
      <c r="E65" s="15"/>
      <c r="F65" s="64"/>
      <c r="G65" s="17" t="str">
        <f t="shared" si="0"/>
        <v/>
      </c>
      <c r="H65" s="18"/>
      <c r="I65" s="62"/>
      <c r="J65" s="62"/>
      <c r="K65" s="420" t="str">
        <f t="shared" si="3"/>
        <v/>
      </c>
      <c r="L65" s="401" t="str">
        <f t="shared" si="4"/>
        <v/>
      </c>
    </row>
    <row r="66" spans="2:12" x14ac:dyDescent="0.25">
      <c r="B66" s="58"/>
      <c r="C66" s="65"/>
      <c r="D66" s="15"/>
      <c r="E66" s="15"/>
      <c r="F66" s="64"/>
      <c r="G66" s="17" t="str">
        <f t="shared" si="0"/>
        <v/>
      </c>
      <c r="H66" s="18"/>
      <c r="I66" s="62"/>
      <c r="J66" s="62"/>
      <c r="K66" s="420" t="str">
        <f t="shared" si="3"/>
        <v/>
      </c>
      <c r="L66" s="401" t="str">
        <f t="shared" si="4"/>
        <v/>
      </c>
    </row>
    <row r="67" spans="2:12" x14ac:dyDescent="0.25">
      <c r="B67" s="58"/>
      <c r="C67" s="65"/>
      <c r="D67" s="15"/>
      <c r="E67" s="15"/>
      <c r="F67" s="64"/>
      <c r="G67" s="17" t="str">
        <f t="shared" si="0"/>
        <v/>
      </c>
      <c r="H67" s="18"/>
      <c r="I67" s="62"/>
      <c r="J67" s="62"/>
      <c r="K67" s="420" t="str">
        <f t="shared" si="3"/>
        <v/>
      </c>
      <c r="L67" s="401" t="str">
        <f t="shared" si="4"/>
        <v/>
      </c>
    </row>
    <row r="68" spans="2:12" x14ac:dyDescent="0.25">
      <c r="B68" s="58"/>
      <c r="C68" s="65"/>
      <c r="D68" s="15"/>
      <c r="E68" s="15"/>
      <c r="F68" s="64"/>
      <c r="G68" s="17" t="str">
        <f t="shared" si="0"/>
        <v/>
      </c>
      <c r="H68" s="18"/>
      <c r="I68" s="62"/>
      <c r="J68" s="62"/>
      <c r="K68" s="420" t="str">
        <f t="shared" si="3"/>
        <v/>
      </c>
      <c r="L68" s="401" t="str">
        <f t="shared" si="4"/>
        <v/>
      </c>
    </row>
    <row r="69" spans="2:12" x14ac:dyDescent="0.25">
      <c r="B69" s="58"/>
      <c r="C69" s="65"/>
      <c r="D69" s="15"/>
      <c r="E69" s="15"/>
      <c r="F69" s="64"/>
      <c r="G69" s="17" t="str">
        <f t="shared" si="0"/>
        <v/>
      </c>
      <c r="H69" s="18"/>
      <c r="I69" s="62"/>
      <c r="J69" s="62"/>
      <c r="K69" s="420" t="str">
        <f t="shared" si="3"/>
        <v/>
      </c>
      <c r="L69" s="401" t="str">
        <f t="shared" si="4"/>
        <v/>
      </c>
    </row>
    <row r="70" spans="2:12" x14ac:dyDescent="0.25">
      <c r="B70" s="58"/>
      <c r="C70" s="70"/>
      <c r="D70" s="61"/>
      <c r="E70" s="61"/>
      <c r="F70" s="64"/>
      <c r="G70" s="17" t="str">
        <f t="shared" si="0"/>
        <v/>
      </c>
      <c r="H70" s="18"/>
      <c r="I70" s="62"/>
      <c r="J70" s="62"/>
      <c r="K70" s="420" t="str">
        <f t="shared" si="3"/>
        <v/>
      </c>
      <c r="L70" s="401" t="str">
        <f t="shared" si="4"/>
        <v/>
      </c>
    </row>
    <row r="71" spans="2:12" x14ac:dyDescent="0.25">
      <c r="B71" s="58"/>
      <c r="C71" s="786"/>
      <c r="D71" s="61"/>
      <c r="E71" s="61"/>
      <c r="F71" s="64"/>
      <c r="G71" s="17" t="str">
        <f t="shared" si="0"/>
        <v/>
      </c>
      <c r="H71" s="18"/>
      <c r="I71" s="62"/>
      <c r="J71" s="62"/>
      <c r="K71" s="420" t="str">
        <f t="shared" si="3"/>
        <v/>
      </c>
      <c r="L71" s="401" t="str">
        <f t="shared" si="4"/>
        <v/>
      </c>
    </row>
    <row r="72" spans="2:12" s="28" customFormat="1" ht="20.149999999999999" customHeight="1" x14ac:dyDescent="0.25">
      <c r="B72" s="80" t="str">
        <f>B12</f>
        <v>C1.2</v>
      </c>
      <c r="C72" s="30" t="s">
        <v>12</v>
      </c>
      <c r="D72" s="31"/>
      <c r="E72" s="32"/>
      <c r="F72" s="31"/>
      <c r="G72" s="33">
        <f>SUM(G11:G71)</f>
        <v>201015</v>
      </c>
      <c r="H72" s="34"/>
      <c r="I72" s="408"/>
      <c r="J72" s="406"/>
      <c r="K72" s="418">
        <f>SUM(K11:K71)</f>
        <v>6983.9999999999991</v>
      </c>
      <c r="L72" s="407" t="str">
        <f t="shared" ref="L72" si="5">IF(I72="","",IF(SUM(G72)=0,"",K72/G72))</f>
        <v/>
      </c>
    </row>
    <row r="73" spans="2:12" ht="13" x14ac:dyDescent="0.25">
      <c r="B73" s="1108" t="str">
        <f>Client1</f>
        <v>Province of KwaZulu-Natal</v>
      </c>
      <c r="C73" s="1108"/>
      <c r="D73" s="1108"/>
      <c r="E73" s="1109" t="str">
        <f>"Contract No. "&amp;ContractNo</f>
        <v>Contract No. ZNB 00399/00000/HOD/INF/21/T</v>
      </c>
      <c r="F73" s="1109"/>
      <c r="G73" s="1109"/>
    </row>
    <row r="74" spans="2:12" ht="13" x14ac:dyDescent="0.25">
      <c r="B74" s="1108" t="str">
        <f>Client2</f>
        <v>Department of Transport</v>
      </c>
      <c r="C74" s="1108"/>
      <c r="D74" s="1108"/>
      <c r="E74" s="1109"/>
      <c r="F74" s="1109"/>
      <c r="G74" s="1109"/>
    </row>
    <row r="75" spans="2:12" x14ac:dyDescent="0.25">
      <c r="B75" s="1111"/>
      <c r="C75" s="1111"/>
      <c r="D75" s="1111"/>
      <c r="E75" s="1110"/>
      <c r="F75" s="1110"/>
      <c r="G75" s="1110"/>
    </row>
    <row r="76" spans="2:12" ht="13" x14ac:dyDescent="0.25">
      <c r="B76" s="1112" t="s">
        <v>1773</v>
      </c>
      <c r="C76" s="1113"/>
      <c r="D76" s="1113"/>
      <c r="E76" s="1113"/>
      <c r="F76" s="1113"/>
      <c r="G76" s="1114" t="str">
        <f>$G$6</f>
        <v>CHAPTER C1.2</v>
      </c>
      <c r="H76" s="6"/>
    </row>
    <row r="77" spans="2:12" ht="39" customHeight="1" x14ac:dyDescent="0.25">
      <c r="B77" s="1117" t="str">
        <f>ContractDescription</f>
        <v>THE CONSTRUCTION OF EARTHWORKS, LAYERWORKS, SURFACING, CULVERTS AND CWAKA RIVER BRIDGE FROM KM 11.600 TO KM 14.000 ON MAIN ROAD P494 IN THE KING CETSHWAYO DISTRICT UNDER EMPANGENI REGION</v>
      </c>
      <c r="C77" s="1148"/>
      <c r="D77" s="1148"/>
      <c r="E77" s="1148"/>
      <c r="F77" s="1148"/>
      <c r="G77" s="1115"/>
      <c r="H77" s="8"/>
    </row>
    <row r="78" spans="2:12" ht="27" customHeight="1" x14ac:dyDescent="0.25">
      <c r="B78" s="1149" t="s">
        <v>1774</v>
      </c>
      <c r="C78" s="1150"/>
      <c r="D78" s="1150"/>
      <c r="E78" s="1150"/>
      <c r="F78" s="1150"/>
      <c r="G78" s="1115"/>
      <c r="H78" s="8"/>
    </row>
    <row r="79" spans="2:12" ht="13" x14ac:dyDescent="0.25">
      <c r="B79" s="611"/>
      <c r="C79" s="612"/>
      <c r="D79" s="612"/>
      <c r="E79" s="612"/>
      <c r="F79" s="612"/>
      <c r="G79" s="1116"/>
      <c r="H79" s="8"/>
    </row>
    <row r="80" spans="2:12" s="9" customFormat="1" ht="25" customHeight="1" x14ac:dyDescent="0.25">
      <c r="B80" s="74" t="s">
        <v>0</v>
      </c>
      <c r="C80" s="11" t="s">
        <v>1</v>
      </c>
      <c r="D80" s="11" t="s">
        <v>2</v>
      </c>
      <c r="E80" s="11" t="s">
        <v>3</v>
      </c>
      <c r="F80" s="11" t="s">
        <v>4</v>
      </c>
      <c r="G80" s="11" t="s">
        <v>5</v>
      </c>
      <c r="H80" s="12"/>
      <c r="I80" s="408" t="s">
        <v>996</v>
      </c>
      <c r="J80" s="253" t="s">
        <v>997</v>
      </c>
      <c r="K80" s="253" t="s">
        <v>998</v>
      </c>
      <c r="L80" s="253" t="s">
        <v>999</v>
      </c>
    </row>
    <row r="81" spans="2:12" s="28" customFormat="1" ht="20.149999999999999" customHeight="1" x14ac:dyDescent="0.25">
      <c r="B81" s="80"/>
      <c r="C81" s="30" t="s">
        <v>27</v>
      </c>
      <c r="D81" s="31"/>
      <c r="E81" s="32"/>
      <c r="F81" s="31"/>
      <c r="G81" s="33">
        <f>G72</f>
        <v>201015</v>
      </c>
      <c r="H81" s="34"/>
      <c r="I81" s="416"/>
      <c r="J81" s="409"/>
      <c r="K81" s="419">
        <f>K72</f>
        <v>6983.9999999999991</v>
      </c>
      <c r="L81" s="410" t="str">
        <f>IF(E81="","",IF(SUM(H81)=0,"",K81/H81))</f>
        <v/>
      </c>
    </row>
    <row r="82" spans="2:12" x14ac:dyDescent="0.25">
      <c r="B82" s="776"/>
      <c r="C82" s="65"/>
      <c r="D82" s="15"/>
      <c r="E82" s="15"/>
      <c r="F82" s="64"/>
      <c r="G82" s="17" t="str">
        <f t="shared" ref="G82" si="6">IF(D82="","",E82*F82)</f>
        <v/>
      </c>
      <c r="H82" s="18"/>
      <c r="I82" s="61"/>
      <c r="J82" s="399"/>
      <c r="K82" s="420" t="str">
        <f t="shared" ref="K82" si="7">IF(I82="","",E82*J82)</f>
        <v/>
      </c>
      <c r="L82" s="401" t="str">
        <f t="shared" ref="L82" si="8">IF(I82="","",IF(SUM(G82)=0,"",K82/G82))</f>
        <v/>
      </c>
    </row>
    <row r="83" spans="2:12" ht="13" x14ac:dyDescent="0.25">
      <c r="B83" s="146"/>
      <c r="C83" s="672"/>
      <c r="D83" s="15"/>
      <c r="E83" s="15"/>
      <c r="F83" s="64"/>
      <c r="G83" s="17" t="str">
        <f t="shared" ref="G83:G142" si="9">IF(D83="","",E83*F83)</f>
        <v/>
      </c>
      <c r="H83" s="18"/>
      <c r="I83" s="61"/>
      <c r="J83" s="399"/>
      <c r="K83" s="420" t="str">
        <f t="shared" ref="K83:K142" si="10">IF(I83="","",E83*J83)</f>
        <v/>
      </c>
      <c r="L83" s="401" t="str">
        <f t="shared" ref="L83:L142" si="11">IF(I83="","",IF(SUM(G83)=0,"",K83/G83))</f>
        <v/>
      </c>
    </row>
    <row r="84" spans="2:12" x14ac:dyDescent="0.25">
      <c r="B84" s="58"/>
      <c r="C84" s="65"/>
      <c r="D84" s="15"/>
      <c r="E84" s="15"/>
      <c r="F84" s="64"/>
      <c r="G84" s="17" t="str">
        <f t="shared" si="9"/>
        <v/>
      </c>
      <c r="H84" s="18"/>
      <c r="I84" s="61"/>
      <c r="J84" s="399"/>
      <c r="K84" s="420" t="str">
        <f t="shared" si="10"/>
        <v/>
      </c>
      <c r="L84" s="401" t="str">
        <f t="shared" si="11"/>
        <v/>
      </c>
    </row>
    <row r="85" spans="2:12" x14ac:dyDescent="0.25">
      <c r="B85" s="58"/>
      <c r="C85" s="65"/>
      <c r="D85" s="15"/>
      <c r="E85" s="15"/>
      <c r="F85" s="64"/>
      <c r="G85" s="17" t="str">
        <f t="shared" si="9"/>
        <v/>
      </c>
      <c r="H85" s="18"/>
      <c r="I85" s="61"/>
      <c r="J85" s="399"/>
      <c r="K85" s="420" t="str">
        <f t="shared" si="10"/>
        <v/>
      </c>
      <c r="L85" s="401" t="str">
        <f t="shared" si="11"/>
        <v/>
      </c>
    </row>
    <row r="86" spans="2:12" x14ac:dyDescent="0.25">
      <c r="B86" s="58"/>
      <c r="C86" s="65"/>
      <c r="D86" s="15"/>
      <c r="E86" s="15"/>
      <c r="F86" s="64"/>
      <c r="G86" s="17" t="str">
        <f t="shared" si="9"/>
        <v/>
      </c>
      <c r="H86" s="18"/>
      <c r="I86" s="61"/>
      <c r="J86" s="400"/>
      <c r="K86" s="420" t="str">
        <f t="shared" si="10"/>
        <v/>
      </c>
      <c r="L86" s="401" t="str">
        <f t="shared" si="11"/>
        <v/>
      </c>
    </row>
    <row r="87" spans="2:12" x14ac:dyDescent="0.25">
      <c r="B87" s="58"/>
      <c r="C87" s="65"/>
      <c r="D87" s="15"/>
      <c r="E87" s="580"/>
      <c r="F87" s="64"/>
      <c r="G87" s="17" t="str">
        <f t="shared" si="9"/>
        <v/>
      </c>
      <c r="H87" s="18"/>
      <c r="I87" s="61"/>
      <c r="J87" s="399"/>
      <c r="K87" s="420" t="str">
        <f t="shared" si="10"/>
        <v/>
      </c>
      <c r="L87" s="401" t="str">
        <f t="shared" si="11"/>
        <v/>
      </c>
    </row>
    <row r="88" spans="2:12" x14ac:dyDescent="0.25">
      <c r="B88" s="58"/>
      <c r="C88" s="65"/>
      <c r="D88" s="15"/>
      <c r="E88" s="15"/>
      <c r="F88" s="64"/>
      <c r="G88" s="17" t="str">
        <f t="shared" si="9"/>
        <v/>
      </c>
      <c r="H88" s="18"/>
      <c r="I88" s="61"/>
      <c r="J88" s="399"/>
      <c r="K88" s="420" t="str">
        <f t="shared" si="10"/>
        <v/>
      </c>
      <c r="L88" s="401" t="str">
        <f t="shared" si="11"/>
        <v/>
      </c>
    </row>
    <row r="89" spans="2:12" x14ac:dyDescent="0.25">
      <c r="B89" s="58"/>
      <c r="C89" s="65"/>
      <c r="D89" s="15"/>
      <c r="E89" s="15"/>
      <c r="F89" s="64"/>
      <c r="G89" s="17" t="str">
        <f t="shared" si="9"/>
        <v/>
      </c>
      <c r="H89" s="18"/>
      <c r="I89" s="61"/>
      <c r="J89" s="399"/>
      <c r="K89" s="420" t="str">
        <f t="shared" si="10"/>
        <v/>
      </c>
      <c r="L89" s="401" t="str">
        <f t="shared" si="11"/>
        <v/>
      </c>
    </row>
    <row r="90" spans="2:12" x14ac:dyDescent="0.25">
      <c r="B90" s="58"/>
      <c r="C90" s="65"/>
      <c r="D90" s="15"/>
      <c r="E90" s="15"/>
      <c r="F90" s="64"/>
      <c r="G90" s="17" t="str">
        <f t="shared" si="9"/>
        <v/>
      </c>
      <c r="H90" s="18"/>
      <c r="I90" s="61"/>
      <c r="J90" s="402"/>
      <c r="K90" s="420" t="str">
        <f t="shared" si="10"/>
        <v/>
      </c>
      <c r="L90" s="401" t="str">
        <f t="shared" si="11"/>
        <v/>
      </c>
    </row>
    <row r="91" spans="2:12" x14ac:dyDescent="0.25">
      <c r="B91" s="58"/>
      <c r="C91" s="65"/>
      <c r="D91" s="15"/>
      <c r="E91" s="15"/>
      <c r="F91" s="64"/>
      <c r="G91" s="17" t="str">
        <f t="shared" si="9"/>
        <v/>
      </c>
      <c r="H91" s="18"/>
      <c r="I91" s="61"/>
      <c r="J91" s="402"/>
      <c r="K91" s="420" t="str">
        <f t="shared" si="10"/>
        <v/>
      </c>
      <c r="L91" s="401" t="str">
        <f t="shared" si="11"/>
        <v/>
      </c>
    </row>
    <row r="92" spans="2:12" x14ac:dyDescent="0.25">
      <c r="B92" s="58"/>
      <c r="C92" s="65"/>
      <c r="D92" s="15"/>
      <c r="E92" s="15"/>
      <c r="F92" s="64"/>
      <c r="G92" s="17" t="str">
        <f t="shared" si="9"/>
        <v/>
      </c>
      <c r="H92" s="18"/>
      <c r="I92" s="61"/>
      <c r="J92" s="402"/>
      <c r="K92" s="420" t="str">
        <f t="shared" si="10"/>
        <v/>
      </c>
      <c r="L92" s="401" t="str">
        <f t="shared" si="11"/>
        <v/>
      </c>
    </row>
    <row r="93" spans="2:12" x14ac:dyDescent="0.25">
      <c r="B93" s="58"/>
      <c r="C93" s="65"/>
      <c r="D93" s="15"/>
      <c r="E93" s="15"/>
      <c r="F93" s="64"/>
      <c r="G93" s="17" t="str">
        <f t="shared" si="9"/>
        <v/>
      </c>
      <c r="H93" s="18"/>
      <c r="I93" s="61"/>
      <c r="J93" s="402"/>
      <c r="K93" s="420" t="str">
        <f t="shared" si="10"/>
        <v/>
      </c>
      <c r="L93" s="401" t="str">
        <f t="shared" si="11"/>
        <v/>
      </c>
    </row>
    <row r="94" spans="2:12" x14ac:dyDescent="0.25">
      <c r="B94" s="58"/>
      <c r="C94" s="65"/>
      <c r="D94" s="15"/>
      <c r="E94" s="15"/>
      <c r="F94" s="64"/>
      <c r="G94" s="17" t="str">
        <f t="shared" si="9"/>
        <v/>
      </c>
      <c r="H94" s="18"/>
      <c r="I94" s="61"/>
      <c r="J94" s="402"/>
      <c r="K94" s="420" t="str">
        <f t="shared" si="10"/>
        <v/>
      </c>
      <c r="L94" s="401" t="str">
        <f t="shared" si="11"/>
        <v/>
      </c>
    </row>
    <row r="95" spans="2:12" x14ac:dyDescent="0.25">
      <c r="B95" s="58"/>
      <c r="C95" s="65"/>
      <c r="D95" s="15"/>
      <c r="E95" s="15"/>
      <c r="F95" s="64"/>
      <c r="G95" s="17" t="str">
        <f t="shared" si="9"/>
        <v/>
      </c>
      <c r="H95" s="18"/>
      <c r="I95" s="61"/>
      <c r="J95" s="402"/>
      <c r="K95" s="420" t="str">
        <f t="shared" si="10"/>
        <v/>
      </c>
      <c r="L95" s="401" t="str">
        <f t="shared" si="11"/>
        <v/>
      </c>
    </row>
    <row r="96" spans="2:12" x14ac:dyDescent="0.25">
      <c r="B96" s="58"/>
      <c r="C96" s="65"/>
      <c r="D96" s="15"/>
      <c r="E96" s="15"/>
      <c r="F96" s="64"/>
      <c r="G96" s="17" t="str">
        <f t="shared" si="9"/>
        <v/>
      </c>
      <c r="H96" s="18"/>
      <c r="I96" s="61"/>
      <c r="J96" s="399"/>
      <c r="K96" s="420" t="str">
        <f t="shared" si="10"/>
        <v/>
      </c>
      <c r="L96" s="401" t="str">
        <f t="shared" si="11"/>
        <v/>
      </c>
    </row>
    <row r="97" spans="2:12" x14ac:dyDescent="0.25">
      <c r="B97" s="58"/>
      <c r="C97" s="65"/>
      <c r="D97" s="15"/>
      <c r="E97" s="15"/>
      <c r="F97" s="64"/>
      <c r="G97" s="17" t="str">
        <f t="shared" si="9"/>
        <v/>
      </c>
      <c r="H97" s="18"/>
      <c r="I97" s="61"/>
      <c r="J97" s="399"/>
      <c r="K97" s="420" t="str">
        <f t="shared" si="10"/>
        <v/>
      </c>
      <c r="L97" s="401" t="str">
        <f t="shared" si="11"/>
        <v/>
      </c>
    </row>
    <row r="98" spans="2:12" x14ac:dyDescent="0.25">
      <c r="B98" s="58"/>
      <c r="C98" s="65"/>
      <c r="D98" s="15"/>
      <c r="E98" s="15"/>
      <c r="F98" s="64"/>
      <c r="G98" s="17" t="str">
        <f t="shared" si="9"/>
        <v/>
      </c>
      <c r="H98" s="18"/>
      <c r="I98" s="61"/>
      <c r="J98" s="400"/>
      <c r="K98" s="420" t="str">
        <f t="shared" si="10"/>
        <v/>
      </c>
      <c r="L98" s="401" t="str">
        <f t="shared" si="11"/>
        <v/>
      </c>
    </row>
    <row r="99" spans="2:12" x14ac:dyDescent="0.25">
      <c r="B99" s="58"/>
      <c r="C99" s="65"/>
      <c r="D99" s="15"/>
      <c r="E99" s="15"/>
      <c r="F99" s="64"/>
      <c r="G99" s="17" t="str">
        <f t="shared" si="9"/>
        <v/>
      </c>
      <c r="H99" s="18"/>
      <c r="I99" s="61"/>
      <c r="J99" s="399"/>
      <c r="K99" s="420" t="str">
        <f t="shared" si="10"/>
        <v/>
      </c>
      <c r="L99" s="401" t="str">
        <f t="shared" si="11"/>
        <v/>
      </c>
    </row>
    <row r="100" spans="2:12" x14ac:dyDescent="0.25">
      <c r="B100" s="58"/>
      <c r="C100" s="65"/>
      <c r="D100" s="15"/>
      <c r="E100" s="15"/>
      <c r="F100" s="64"/>
      <c r="G100" s="17" t="str">
        <f t="shared" si="9"/>
        <v/>
      </c>
      <c r="H100" s="18"/>
      <c r="I100" s="61"/>
      <c r="J100" s="399"/>
      <c r="K100" s="420" t="str">
        <f t="shared" si="10"/>
        <v/>
      </c>
      <c r="L100" s="401" t="str">
        <f t="shared" si="11"/>
        <v/>
      </c>
    </row>
    <row r="101" spans="2:12" x14ac:dyDescent="0.25">
      <c r="B101" s="58"/>
      <c r="C101" s="65"/>
      <c r="D101" s="15"/>
      <c r="E101" s="15"/>
      <c r="F101" s="64"/>
      <c r="G101" s="17" t="str">
        <f t="shared" si="9"/>
        <v/>
      </c>
      <c r="H101" s="18"/>
      <c r="I101" s="61"/>
      <c r="J101" s="399"/>
      <c r="K101" s="420" t="str">
        <f t="shared" si="10"/>
        <v/>
      </c>
      <c r="L101" s="401" t="str">
        <f t="shared" si="11"/>
        <v/>
      </c>
    </row>
    <row r="102" spans="2:12" x14ac:dyDescent="0.25">
      <c r="B102" s="58"/>
      <c r="C102" s="65"/>
      <c r="D102" s="15"/>
      <c r="E102" s="15"/>
      <c r="F102" s="64"/>
      <c r="G102" s="17" t="str">
        <f t="shared" si="9"/>
        <v/>
      </c>
      <c r="H102" s="18"/>
      <c r="I102" s="61"/>
      <c r="J102" s="399"/>
      <c r="K102" s="420" t="str">
        <f t="shared" si="10"/>
        <v/>
      </c>
      <c r="L102" s="401" t="str">
        <f t="shared" si="11"/>
        <v/>
      </c>
    </row>
    <row r="103" spans="2:12" x14ac:dyDescent="0.25">
      <c r="B103" s="58"/>
      <c r="C103" s="65"/>
      <c r="D103" s="15"/>
      <c r="E103" s="15"/>
      <c r="F103" s="64"/>
      <c r="G103" s="17" t="str">
        <f t="shared" si="9"/>
        <v/>
      </c>
      <c r="H103" s="18"/>
      <c r="I103" s="61"/>
      <c r="J103" s="399"/>
      <c r="K103" s="420" t="str">
        <f t="shared" si="10"/>
        <v/>
      </c>
      <c r="L103" s="401" t="str">
        <f t="shared" si="11"/>
        <v/>
      </c>
    </row>
    <row r="104" spans="2:12" x14ac:dyDescent="0.25">
      <c r="B104" s="58"/>
      <c r="C104" s="65"/>
      <c r="D104" s="15"/>
      <c r="E104" s="15"/>
      <c r="F104" s="64"/>
      <c r="G104" s="17" t="str">
        <f t="shared" si="9"/>
        <v/>
      </c>
      <c r="H104" s="18"/>
      <c r="I104" s="61"/>
      <c r="J104" s="400"/>
      <c r="K104" s="420" t="str">
        <f t="shared" si="10"/>
        <v/>
      </c>
      <c r="L104" s="401" t="str">
        <f t="shared" si="11"/>
        <v/>
      </c>
    </row>
    <row r="105" spans="2:12" x14ac:dyDescent="0.25">
      <c r="B105" s="58"/>
      <c r="C105" s="65"/>
      <c r="D105" s="15"/>
      <c r="E105" s="15"/>
      <c r="F105" s="64"/>
      <c r="G105" s="17" t="str">
        <f t="shared" si="9"/>
        <v/>
      </c>
      <c r="H105" s="18"/>
      <c r="I105" s="61"/>
      <c r="J105" s="399"/>
      <c r="K105" s="420" t="str">
        <f t="shared" si="10"/>
        <v/>
      </c>
      <c r="L105" s="401" t="str">
        <f t="shared" si="11"/>
        <v/>
      </c>
    </row>
    <row r="106" spans="2:12" x14ac:dyDescent="0.25">
      <c r="B106" s="58"/>
      <c r="C106" s="65"/>
      <c r="D106" s="15"/>
      <c r="E106" s="15"/>
      <c r="F106" s="64"/>
      <c r="G106" s="17" t="str">
        <f t="shared" si="9"/>
        <v/>
      </c>
      <c r="H106" s="18"/>
      <c r="I106" s="61"/>
      <c r="J106" s="399"/>
      <c r="K106" s="420" t="str">
        <f t="shared" si="10"/>
        <v/>
      </c>
      <c r="L106" s="401" t="str">
        <f t="shared" si="11"/>
        <v/>
      </c>
    </row>
    <row r="107" spans="2:12" x14ac:dyDescent="0.25">
      <c r="B107" s="58"/>
      <c r="C107" s="65"/>
      <c r="D107" s="15"/>
      <c r="E107" s="15"/>
      <c r="F107" s="64"/>
      <c r="G107" s="17" t="str">
        <f t="shared" si="9"/>
        <v/>
      </c>
      <c r="H107" s="18"/>
      <c r="I107" s="61"/>
      <c r="J107" s="399"/>
      <c r="K107" s="420" t="str">
        <f t="shared" si="10"/>
        <v/>
      </c>
      <c r="L107" s="401" t="str">
        <f t="shared" si="11"/>
        <v/>
      </c>
    </row>
    <row r="108" spans="2:12" x14ac:dyDescent="0.25">
      <c r="B108" s="58"/>
      <c r="C108" s="65"/>
      <c r="D108" s="15"/>
      <c r="E108" s="15"/>
      <c r="F108" s="64"/>
      <c r="G108" s="17" t="str">
        <f t="shared" si="9"/>
        <v/>
      </c>
      <c r="H108" s="18"/>
      <c r="I108" s="61"/>
      <c r="J108" s="399"/>
      <c r="K108" s="420" t="str">
        <f t="shared" si="10"/>
        <v/>
      </c>
      <c r="L108" s="401" t="str">
        <f t="shared" si="11"/>
        <v/>
      </c>
    </row>
    <row r="109" spans="2:12" x14ac:dyDescent="0.25">
      <c r="B109" s="58"/>
      <c r="C109" s="65"/>
      <c r="D109" s="15"/>
      <c r="E109" s="15"/>
      <c r="F109" s="64"/>
      <c r="G109" s="17" t="str">
        <f t="shared" si="9"/>
        <v/>
      </c>
      <c r="H109" s="18"/>
      <c r="I109" s="61"/>
      <c r="J109" s="399"/>
      <c r="K109" s="420" t="str">
        <f t="shared" si="10"/>
        <v/>
      </c>
      <c r="L109" s="401" t="str">
        <f t="shared" si="11"/>
        <v/>
      </c>
    </row>
    <row r="110" spans="2:12" x14ac:dyDescent="0.25">
      <c r="B110" s="58"/>
      <c r="C110" s="65"/>
      <c r="D110" s="15"/>
      <c r="E110" s="15"/>
      <c r="F110" s="64"/>
      <c r="G110" s="17" t="str">
        <f t="shared" si="9"/>
        <v/>
      </c>
      <c r="H110" s="18"/>
      <c r="I110" s="61"/>
      <c r="J110" s="399"/>
      <c r="K110" s="420" t="str">
        <f t="shared" si="10"/>
        <v/>
      </c>
      <c r="L110" s="401" t="str">
        <f t="shared" si="11"/>
        <v/>
      </c>
    </row>
    <row r="111" spans="2:12" x14ac:dyDescent="0.25">
      <c r="B111" s="58"/>
      <c r="C111" s="65"/>
      <c r="D111" s="15"/>
      <c r="E111" s="15"/>
      <c r="F111" s="236"/>
      <c r="G111" s="17" t="str">
        <f t="shared" si="9"/>
        <v/>
      </c>
      <c r="H111" s="18"/>
      <c r="I111" s="61"/>
      <c r="J111" s="399"/>
      <c r="K111" s="420" t="str">
        <f t="shared" si="10"/>
        <v/>
      </c>
      <c r="L111" s="401" t="str">
        <f t="shared" si="11"/>
        <v/>
      </c>
    </row>
    <row r="112" spans="2:12" x14ac:dyDescent="0.25">
      <c r="B112" s="58"/>
      <c r="C112" s="65"/>
      <c r="D112" s="15"/>
      <c r="E112" s="15"/>
      <c r="F112" s="64"/>
      <c r="G112" s="17" t="str">
        <f t="shared" si="9"/>
        <v/>
      </c>
      <c r="H112" s="18"/>
      <c r="I112" s="61"/>
      <c r="J112" s="399"/>
      <c r="K112" s="420" t="str">
        <f t="shared" si="10"/>
        <v/>
      </c>
      <c r="L112" s="401" t="str">
        <f t="shared" si="11"/>
        <v/>
      </c>
    </row>
    <row r="113" spans="2:12" x14ac:dyDescent="0.25">
      <c r="B113" s="58"/>
      <c r="C113" s="65"/>
      <c r="D113" s="15"/>
      <c r="E113" s="15"/>
      <c r="F113" s="236"/>
      <c r="G113" s="17" t="str">
        <f t="shared" si="9"/>
        <v/>
      </c>
      <c r="H113" s="18"/>
      <c r="I113" s="61"/>
      <c r="J113" s="399"/>
      <c r="K113" s="420" t="str">
        <f t="shared" si="10"/>
        <v/>
      </c>
      <c r="L113" s="401" t="str">
        <f t="shared" si="11"/>
        <v/>
      </c>
    </row>
    <row r="114" spans="2:12" x14ac:dyDescent="0.25">
      <c r="B114" s="58"/>
      <c r="C114" s="65"/>
      <c r="D114" s="15"/>
      <c r="E114" s="15"/>
      <c r="F114" s="64"/>
      <c r="G114" s="17" t="str">
        <f t="shared" si="9"/>
        <v/>
      </c>
      <c r="H114" s="18"/>
      <c r="I114" s="61"/>
      <c r="J114" s="399"/>
      <c r="K114" s="420" t="str">
        <f t="shared" si="10"/>
        <v/>
      </c>
      <c r="L114" s="401" t="str">
        <f t="shared" si="11"/>
        <v/>
      </c>
    </row>
    <row r="115" spans="2:12" x14ac:dyDescent="0.25">
      <c r="B115" s="58"/>
      <c r="C115" s="65"/>
      <c r="D115" s="15"/>
      <c r="E115" s="15"/>
      <c r="F115" s="64"/>
      <c r="G115" s="17" t="str">
        <f t="shared" si="9"/>
        <v/>
      </c>
      <c r="H115" s="18"/>
      <c r="I115" s="61"/>
      <c r="J115" s="399"/>
      <c r="K115" s="420" t="str">
        <f t="shared" si="10"/>
        <v/>
      </c>
      <c r="L115" s="401" t="str">
        <f t="shared" si="11"/>
        <v/>
      </c>
    </row>
    <row r="116" spans="2:12" x14ac:dyDescent="0.25">
      <c r="B116" s="58"/>
      <c r="C116" s="65"/>
      <c r="D116" s="15"/>
      <c r="E116" s="15"/>
      <c r="F116" s="64"/>
      <c r="G116" s="17" t="str">
        <f t="shared" si="9"/>
        <v/>
      </c>
      <c r="H116" s="18"/>
      <c r="I116" s="61"/>
      <c r="J116" s="402"/>
      <c r="K116" s="420" t="str">
        <f t="shared" si="10"/>
        <v/>
      </c>
      <c r="L116" s="401" t="str">
        <f t="shared" si="11"/>
        <v/>
      </c>
    </row>
    <row r="117" spans="2:12" x14ac:dyDescent="0.25">
      <c r="B117" s="58"/>
      <c r="C117" s="65"/>
      <c r="D117" s="15"/>
      <c r="E117" s="15"/>
      <c r="F117" s="64"/>
      <c r="G117" s="17" t="str">
        <f t="shared" si="9"/>
        <v/>
      </c>
      <c r="H117" s="18"/>
      <c r="I117" s="61"/>
      <c r="J117" s="399"/>
      <c r="K117" s="420" t="str">
        <f t="shared" si="10"/>
        <v/>
      </c>
      <c r="L117" s="401" t="str">
        <f t="shared" si="11"/>
        <v/>
      </c>
    </row>
    <row r="118" spans="2:12" x14ac:dyDescent="0.25">
      <c r="B118" s="58"/>
      <c r="C118" s="65"/>
      <c r="D118" s="15"/>
      <c r="E118" s="15"/>
      <c r="F118" s="64"/>
      <c r="G118" s="17" t="str">
        <f t="shared" si="9"/>
        <v/>
      </c>
      <c r="H118" s="18"/>
      <c r="I118" s="61"/>
      <c r="J118" s="402"/>
      <c r="K118" s="420" t="str">
        <f t="shared" si="10"/>
        <v/>
      </c>
      <c r="L118" s="401" t="str">
        <f t="shared" si="11"/>
        <v/>
      </c>
    </row>
    <row r="119" spans="2:12" x14ac:dyDescent="0.25">
      <c r="B119" s="58"/>
      <c r="C119" s="65"/>
      <c r="D119" s="15"/>
      <c r="E119" s="15"/>
      <c r="F119" s="64"/>
      <c r="G119" s="17" t="str">
        <f t="shared" si="9"/>
        <v/>
      </c>
      <c r="H119" s="18"/>
      <c r="I119" s="62"/>
      <c r="J119" s="62"/>
      <c r="K119" s="420" t="str">
        <f t="shared" si="10"/>
        <v/>
      </c>
      <c r="L119" s="401" t="str">
        <f t="shared" si="11"/>
        <v/>
      </c>
    </row>
    <row r="120" spans="2:12" x14ac:dyDescent="0.25">
      <c r="B120" s="58"/>
      <c r="C120" s="65"/>
      <c r="D120" s="15"/>
      <c r="E120" s="15"/>
      <c r="F120" s="64"/>
      <c r="G120" s="17" t="str">
        <f t="shared" si="9"/>
        <v/>
      </c>
      <c r="H120" s="18"/>
      <c r="I120" s="62"/>
      <c r="J120" s="62"/>
      <c r="K120" s="420" t="str">
        <f t="shared" si="10"/>
        <v/>
      </c>
      <c r="L120" s="401" t="str">
        <f t="shared" si="11"/>
        <v/>
      </c>
    </row>
    <row r="121" spans="2:12" x14ac:dyDescent="0.25">
      <c r="B121" s="58"/>
      <c r="C121" s="65"/>
      <c r="D121" s="15"/>
      <c r="E121" s="15"/>
      <c r="F121" s="64"/>
      <c r="G121" s="17" t="str">
        <f t="shared" si="9"/>
        <v/>
      </c>
      <c r="H121" s="18"/>
      <c r="I121" s="62"/>
      <c r="J121" s="62"/>
      <c r="K121" s="420" t="str">
        <f t="shared" si="10"/>
        <v/>
      </c>
      <c r="L121" s="401" t="str">
        <f t="shared" si="11"/>
        <v/>
      </c>
    </row>
    <row r="122" spans="2:12" x14ac:dyDescent="0.25">
      <c r="B122" s="58"/>
      <c r="C122" s="65"/>
      <c r="D122" s="15"/>
      <c r="E122" s="15"/>
      <c r="F122" s="64"/>
      <c r="G122" s="17" t="str">
        <f t="shared" si="9"/>
        <v/>
      </c>
      <c r="H122" s="18"/>
      <c r="I122" s="62"/>
      <c r="J122" s="62"/>
      <c r="K122" s="420" t="str">
        <f t="shared" si="10"/>
        <v/>
      </c>
      <c r="L122" s="401" t="str">
        <f t="shared" si="11"/>
        <v/>
      </c>
    </row>
    <row r="123" spans="2:12" x14ac:dyDescent="0.25">
      <c r="B123" s="58"/>
      <c r="C123" s="65"/>
      <c r="D123" s="15"/>
      <c r="E123" s="15"/>
      <c r="F123" s="64"/>
      <c r="G123" s="17" t="str">
        <f t="shared" si="9"/>
        <v/>
      </c>
      <c r="H123" s="18"/>
      <c r="I123" s="62"/>
      <c r="J123" s="62"/>
      <c r="K123" s="420" t="str">
        <f t="shared" si="10"/>
        <v/>
      </c>
      <c r="L123" s="401" t="str">
        <f t="shared" si="11"/>
        <v/>
      </c>
    </row>
    <row r="124" spans="2:12" x14ac:dyDescent="0.25">
      <c r="B124" s="58"/>
      <c r="C124" s="65"/>
      <c r="D124" s="15"/>
      <c r="E124" s="15"/>
      <c r="F124" s="64"/>
      <c r="G124" s="17" t="str">
        <f t="shared" si="9"/>
        <v/>
      </c>
      <c r="H124" s="18"/>
      <c r="I124" s="62"/>
      <c r="J124" s="62"/>
      <c r="K124" s="420" t="str">
        <f t="shared" si="10"/>
        <v/>
      </c>
      <c r="L124" s="401" t="str">
        <f t="shared" si="11"/>
        <v/>
      </c>
    </row>
    <row r="125" spans="2:12" x14ac:dyDescent="0.25">
      <c r="B125" s="58"/>
      <c r="C125" s="65"/>
      <c r="D125" s="15"/>
      <c r="E125" s="15"/>
      <c r="F125" s="64"/>
      <c r="G125" s="17" t="str">
        <f t="shared" si="9"/>
        <v/>
      </c>
      <c r="H125" s="18"/>
      <c r="I125" s="62"/>
      <c r="J125" s="62"/>
      <c r="K125" s="420" t="str">
        <f t="shared" si="10"/>
        <v/>
      </c>
      <c r="L125" s="401" t="str">
        <f t="shared" si="11"/>
        <v/>
      </c>
    </row>
    <row r="126" spans="2:12" x14ac:dyDescent="0.25">
      <c r="B126" s="58"/>
      <c r="C126" s="65"/>
      <c r="D126" s="15"/>
      <c r="E126" s="15"/>
      <c r="F126" s="64"/>
      <c r="G126" s="17" t="str">
        <f t="shared" si="9"/>
        <v/>
      </c>
      <c r="H126" s="18"/>
      <c r="I126" s="62"/>
      <c r="J126" s="62"/>
      <c r="K126" s="420" t="str">
        <f t="shared" si="10"/>
        <v/>
      </c>
      <c r="L126" s="401" t="str">
        <f t="shared" si="11"/>
        <v/>
      </c>
    </row>
    <row r="127" spans="2:12" x14ac:dyDescent="0.25">
      <c r="B127" s="58"/>
      <c r="C127" s="65"/>
      <c r="D127" s="15"/>
      <c r="E127" s="15"/>
      <c r="F127" s="64"/>
      <c r="G127" s="17" t="str">
        <f t="shared" si="9"/>
        <v/>
      </c>
      <c r="H127" s="18"/>
      <c r="I127" s="62"/>
      <c r="J127" s="62"/>
      <c r="K127" s="420" t="str">
        <f t="shared" si="10"/>
        <v/>
      </c>
      <c r="L127" s="401" t="str">
        <f t="shared" si="11"/>
        <v/>
      </c>
    </row>
    <row r="128" spans="2:12" x14ac:dyDescent="0.25">
      <c r="B128" s="58"/>
      <c r="C128" s="65"/>
      <c r="D128" s="15"/>
      <c r="E128" s="15"/>
      <c r="F128" s="64"/>
      <c r="G128" s="17" t="str">
        <f t="shared" si="9"/>
        <v/>
      </c>
      <c r="H128" s="18"/>
      <c r="I128" s="62"/>
      <c r="J128" s="62"/>
      <c r="K128" s="420" t="str">
        <f t="shared" si="10"/>
        <v/>
      </c>
      <c r="L128" s="401" t="str">
        <f t="shared" si="11"/>
        <v/>
      </c>
    </row>
    <row r="129" spans="2:12" x14ac:dyDescent="0.25">
      <c r="B129" s="58"/>
      <c r="C129" s="65"/>
      <c r="D129" s="15"/>
      <c r="E129" s="15"/>
      <c r="F129" s="64"/>
      <c r="G129" s="17" t="str">
        <f t="shared" si="9"/>
        <v/>
      </c>
      <c r="H129" s="18"/>
      <c r="I129" s="62"/>
      <c r="J129" s="62"/>
      <c r="K129" s="420" t="str">
        <f t="shared" si="10"/>
        <v/>
      </c>
      <c r="L129" s="401" t="str">
        <f t="shared" si="11"/>
        <v/>
      </c>
    </row>
    <row r="130" spans="2:12" x14ac:dyDescent="0.25">
      <c r="B130" s="58"/>
      <c r="C130" s="65"/>
      <c r="D130" s="15"/>
      <c r="E130" s="15"/>
      <c r="F130" s="64"/>
      <c r="G130" s="17" t="str">
        <f t="shared" si="9"/>
        <v/>
      </c>
      <c r="H130" s="18"/>
      <c r="I130" s="62"/>
      <c r="J130" s="62"/>
      <c r="K130" s="420" t="str">
        <f t="shared" si="10"/>
        <v/>
      </c>
      <c r="L130" s="401" t="str">
        <f t="shared" si="11"/>
        <v/>
      </c>
    </row>
    <row r="131" spans="2:12" x14ac:dyDescent="0.25">
      <c r="B131" s="58"/>
      <c r="C131" s="65"/>
      <c r="D131" s="15"/>
      <c r="E131" s="15"/>
      <c r="F131" s="64"/>
      <c r="G131" s="17" t="str">
        <f t="shared" si="9"/>
        <v/>
      </c>
      <c r="H131" s="18"/>
      <c r="I131" s="61"/>
      <c r="J131" s="62"/>
      <c r="K131" s="420" t="str">
        <f t="shared" si="10"/>
        <v/>
      </c>
      <c r="L131" s="401" t="str">
        <f t="shared" si="11"/>
        <v/>
      </c>
    </row>
    <row r="132" spans="2:12" x14ac:dyDescent="0.25">
      <c r="B132" s="58"/>
      <c r="C132" s="65"/>
      <c r="D132" s="15"/>
      <c r="E132" s="15"/>
      <c r="F132" s="64"/>
      <c r="G132" s="17" t="str">
        <f t="shared" si="9"/>
        <v/>
      </c>
      <c r="H132" s="18"/>
      <c r="I132" s="62"/>
      <c r="J132" s="62"/>
      <c r="K132" s="420" t="str">
        <f t="shared" si="10"/>
        <v/>
      </c>
      <c r="L132" s="401" t="str">
        <f t="shared" si="11"/>
        <v/>
      </c>
    </row>
    <row r="133" spans="2:12" x14ac:dyDescent="0.25">
      <c r="B133" s="58"/>
      <c r="C133" s="65"/>
      <c r="D133" s="15"/>
      <c r="E133" s="15"/>
      <c r="F133" s="64"/>
      <c r="G133" s="17" t="str">
        <f t="shared" si="9"/>
        <v/>
      </c>
      <c r="H133" s="18"/>
      <c r="I133" s="62"/>
      <c r="J133" s="62"/>
      <c r="K133" s="420" t="str">
        <f t="shared" si="10"/>
        <v/>
      </c>
      <c r="L133" s="401" t="str">
        <f t="shared" si="11"/>
        <v/>
      </c>
    </row>
    <row r="134" spans="2:12" x14ac:dyDescent="0.25">
      <c r="B134" s="58"/>
      <c r="C134" s="65"/>
      <c r="D134" s="15"/>
      <c r="E134" s="15"/>
      <c r="F134" s="64"/>
      <c r="G134" s="17" t="str">
        <f t="shared" si="9"/>
        <v/>
      </c>
      <c r="H134" s="18"/>
      <c r="I134" s="62"/>
      <c r="J134" s="62"/>
      <c r="K134" s="420" t="str">
        <f t="shared" si="10"/>
        <v/>
      </c>
      <c r="L134" s="401" t="str">
        <f t="shared" si="11"/>
        <v/>
      </c>
    </row>
    <row r="135" spans="2:12" x14ac:dyDescent="0.25">
      <c r="B135" s="58"/>
      <c r="C135" s="65"/>
      <c r="D135" s="15"/>
      <c r="E135" s="15"/>
      <c r="F135" s="64"/>
      <c r="G135" s="17" t="str">
        <f t="shared" si="9"/>
        <v/>
      </c>
      <c r="H135" s="18"/>
      <c r="I135" s="62"/>
      <c r="J135" s="62"/>
      <c r="K135" s="420" t="str">
        <f t="shared" si="10"/>
        <v/>
      </c>
      <c r="L135" s="401" t="str">
        <f t="shared" si="11"/>
        <v/>
      </c>
    </row>
    <row r="136" spans="2:12" x14ac:dyDescent="0.25">
      <c r="B136" s="58"/>
      <c r="C136" s="65"/>
      <c r="D136" s="15"/>
      <c r="E136" s="15"/>
      <c r="F136" s="64"/>
      <c r="G136" s="17" t="str">
        <f t="shared" si="9"/>
        <v/>
      </c>
      <c r="H136" s="18"/>
      <c r="I136" s="62"/>
      <c r="J136" s="62"/>
      <c r="K136" s="420" t="str">
        <f t="shared" si="10"/>
        <v/>
      </c>
      <c r="L136" s="401" t="str">
        <f t="shared" si="11"/>
        <v/>
      </c>
    </row>
    <row r="137" spans="2:12" x14ac:dyDescent="0.25">
      <c r="B137" s="58"/>
      <c r="C137" s="65"/>
      <c r="D137" s="15"/>
      <c r="E137" s="15"/>
      <c r="F137" s="64"/>
      <c r="G137" s="17" t="str">
        <f t="shared" si="9"/>
        <v/>
      </c>
      <c r="H137" s="18"/>
      <c r="I137" s="62"/>
      <c r="J137" s="62"/>
      <c r="K137" s="420" t="str">
        <f t="shared" si="10"/>
        <v/>
      </c>
      <c r="L137" s="401" t="str">
        <f t="shared" si="11"/>
        <v/>
      </c>
    </row>
    <row r="138" spans="2:12" x14ac:dyDescent="0.25">
      <c r="B138" s="58"/>
      <c r="C138" s="65"/>
      <c r="D138" s="15"/>
      <c r="E138" s="15"/>
      <c r="F138" s="64"/>
      <c r="G138" s="17" t="str">
        <f t="shared" si="9"/>
        <v/>
      </c>
      <c r="H138" s="18"/>
      <c r="I138" s="62"/>
      <c r="J138" s="62"/>
      <c r="K138" s="420" t="str">
        <f t="shared" si="10"/>
        <v/>
      </c>
      <c r="L138" s="401" t="str">
        <f t="shared" si="11"/>
        <v/>
      </c>
    </row>
    <row r="139" spans="2:12" x14ac:dyDescent="0.25">
      <c r="B139" s="58"/>
      <c r="C139" s="65"/>
      <c r="D139" s="15"/>
      <c r="E139" s="15"/>
      <c r="F139" s="64"/>
      <c r="G139" s="17" t="str">
        <f t="shared" si="9"/>
        <v/>
      </c>
      <c r="H139" s="18"/>
      <c r="I139" s="62"/>
      <c r="J139" s="62"/>
      <c r="K139" s="420" t="str">
        <f t="shared" si="10"/>
        <v/>
      </c>
      <c r="L139" s="401" t="str">
        <f t="shared" si="11"/>
        <v/>
      </c>
    </row>
    <row r="140" spans="2:12" x14ac:dyDescent="0.25">
      <c r="B140" s="58"/>
      <c r="C140" s="65"/>
      <c r="D140" s="15"/>
      <c r="E140" s="15"/>
      <c r="F140" s="64"/>
      <c r="G140" s="17" t="str">
        <f t="shared" si="9"/>
        <v/>
      </c>
      <c r="H140" s="18"/>
      <c r="I140" s="62"/>
      <c r="J140" s="62"/>
      <c r="K140" s="420" t="str">
        <f t="shared" si="10"/>
        <v/>
      </c>
      <c r="L140" s="401" t="str">
        <f t="shared" si="11"/>
        <v/>
      </c>
    </row>
    <row r="141" spans="2:12" x14ac:dyDescent="0.25">
      <c r="B141" s="58"/>
      <c r="C141" s="65"/>
      <c r="D141" s="15"/>
      <c r="E141" s="15"/>
      <c r="F141" s="64"/>
      <c r="G141" s="17" t="str">
        <f t="shared" si="9"/>
        <v/>
      </c>
      <c r="H141" s="18"/>
      <c r="I141" s="62"/>
      <c r="J141" s="62"/>
      <c r="K141" s="420" t="str">
        <f t="shared" si="10"/>
        <v/>
      </c>
      <c r="L141" s="401" t="str">
        <f t="shared" si="11"/>
        <v/>
      </c>
    </row>
    <row r="142" spans="2:12" x14ac:dyDescent="0.25">
      <c r="B142" s="58"/>
      <c r="C142" s="65"/>
      <c r="D142" s="15"/>
      <c r="E142" s="15"/>
      <c r="F142" s="64"/>
      <c r="G142" s="17" t="str">
        <f t="shared" si="9"/>
        <v/>
      </c>
      <c r="H142" s="18"/>
      <c r="I142" s="61"/>
      <c r="J142" s="696"/>
      <c r="K142" s="420" t="str">
        <f t="shared" si="10"/>
        <v/>
      </c>
      <c r="L142" s="401" t="str">
        <f t="shared" si="11"/>
        <v/>
      </c>
    </row>
    <row r="143" spans="2:12" s="28" customFormat="1" ht="20.149999999999999" customHeight="1" x14ac:dyDescent="0.25">
      <c r="B143" s="80" t="str">
        <f>B72</f>
        <v>C1.2</v>
      </c>
      <c r="C143" s="30" t="s">
        <v>12</v>
      </c>
      <c r="D143" s="31"/>
      <c r="E143" s="32"/>
      <c r="F143" s="31"/>
      <c r="G143" s="33">
        <f>SUM(G81:G142)</f>
        <v>201015</v>
      </c>
      <c r="H143" s="34"/>
      <c r="I143" s="408"/>
      <c r="J143" s="406"/>
      <c r="K143" s="418">
        <f>SUM(K81:K142)</f>
        <v>6983.9999999999991</v>
      </c>
      <c r="L143" s="407" t="str">
        <f t="shared" ref="L143" si="12">IF(I143="","",IF(SUM(G143)=0,"",K143/G143))</f>
        <v/>
      </c>
    </row>
    <row r="144" spans="2:12" ht="13" x14ac:dyDescent="0.25">
      <c r="B144" s="1108" t="str">
        <f>Client1</f>
        <v>Province of KwaZulu-Natal</v>
      </c>
      <c r="C144" s="1108"/>
      <c r="D144" s="1108"/>
      <c r="E144" s="1109" t="str">
        <f>"Contract No. "&amp;ContractNo</f>
        <v>Contract No. ZNB 00399/00000/HOD/INF/21/T</v>
      </c>
      <c r="F144" s="1109"/>
      <c r="G144" s="1109"/>
    </row>
    <row r="145" spans="2:12" ht="13" x14ac:dyDescent="0.25">
      <c r="B145" s="1108" t="str">
        <f>Client2</f>
        <v>Department of Transport</v>
      </c>
      <c r="C145" s="1108"/>
      <c r="D145" s="1108"/>
      <c r="E145" s="1109"/>
      <c r="F145" s="1109"/>
      <c r="G145" s="1109"/>
    </row>
    <row r="146" spans="2:12" x14ac:dyDescent="0.25">
      <c r="B146" s="1111"/>
      <c r="C146" s="1111"/>
      <c r="D146" s="1111"/>
      <c r="E146" s="1110"/>
      <c r="F146" s="1110"/>
      <c r="G146" s="1110"/>
    </row>
    <row r="147" spans="2:12" ht="13" x14ac:dyDescent="0.25">
      <c r="B147" s="1112" t="s">
        <v>1773</v>
      </c>
      <c r="C147" s="1113"/>
      <c r="D147" s="1113"/>
      <c r="E147" s="1113"/>
      <c r="F147" s="1113"/>
      <c r="G147" s="1114" t="str">
        <f>$G$6</f>
        <v>CHAPTER C1.2</v>
      </c>
      <c r="H147" s="6"/>
    </row>
    <row r="148" spans="2:12" ht="30" customHeight="1" x14ac:dyDescent="0.25">
      <c r="B148" s="1117" t="str">
        <f>ContractDescription</f>
        <v>THE CONSTRUCTION OF EARTHWORKS, LAYERWORKS, SURFACING, CULVERTS AND CWAKA RIVER BRIDGE FROM KM 11.600 TO KM 14.000 ON MAIN ROAD P494 IN THE KING CETSHWAYO DISTRICT UNDER EMPANGENI REGION</v>
      </c>
      <c r="C148" s="1148"/>
      <c r="D148" s="1148"/>
      <c r="E148" s="1148"/>
      <c r="F148" s="1148"/>
      <c r="G148" s="1115"/>
      <c r="H148" s="8"/>
    </row>
    <row r="149" spans="2:12" ht="23.25" customHeight="1" x14ac:dyDescent="0.25">
      <c r="B149" s="1149" t="s">
        <v>1774</v>
      </c>
      <c r="C149" s="1150"/>
      <c r="D149" s="1150"/>
      <c r="E149" s="1150"/>
      <c r="F149" s="1150"/>
      <c r="G149" s="1115"/>
      <c r="H149" s="8"/>
    </row>
    <row r="150" spans="2:12" ht="13" x14ac:dyDescent="0.25">
      <c r="B150" s="611"/>
      <c r="C150" s="612"/>
      <c r="D150" s="612"/>
      <c r="E150" s="612"/>
      <c r="F150" s="612"/>
      <c r="G150" s="1116"/>
      <c r="H150" s="8"/>
    </row>
    <row r="151" spans="2:12" s="9" customFormat="1" ht="25" customHeight="1" x14ac:dyDescent="0.25">
      <c r="B151" s="74" t="s">
        <v>0</v>
      </c>
      <c r="C151" s="11" t="s">
        <v>1</v>
      </c>
      <c r="D151" s="11" t="s">
        <v>2</v>
      </c>
      <c r="E151" s="11" t="s">
        <v>3</v>
      </c>
      <c r="F151" s="11" t="s">
        <v>4</v>
      </c>
      <c r="G151" s="11" t="s">
        <v>5</v>
      </c>
      <c r="H151" s="12"/>
      <c r="I151" s="408" t="s">
        <v>996</v>
      </c>
      <c r="J151" s="253" t="s">
        <v>997</v>
      </c>
      <c r="K151" s="253" t="s">
        <v>998</v>
      </c>
      <c r="L151" s="253" t="s">
        <v>999</v>
      </c>
    </row>
    <row r="152" spans="2:12" s="28" customFormat="1" ht="20.149999999999999" customHeight="1" x14ac:dyDescent="0.25">
      <c r="B152" s="80"/>
      <c r="C152" s="30" t="s">
        <v>27</v>
      </c>
      <c r="D152" s="31"/>
      <c r="E152" s="32"/>
      <c r="F152" s="31"/>
      <c r="G152" s="33">
        <f>G143</f>
        <v>201015</v>
      </c>
      <c r="H152" s="34"/>
      <c r="I152" s="416"/>
      <c r="J152" s="409"/>
      <c r="K152" s="419">
        <f>K143</f>
        <v>6983.9999999999991</v>
      </c>
      <c r="L152" s="410" t="str">
        <f>IF(E152="","",IF(SUM(H152)=0,"",K152/H152))</f>
        <v/>
      </c>
    </row>
    <row r="153" spans="2:12" x14ac:dyDescent="0.25">
      <c r="B153" s="776"/>
      <c r="C153" s="65"/>
      <c r="D153" s="15"/>
      <c r="E153" s="15"/>
      <c r="F153" s="64"/>
      <c r="G153" s="17" t="str">
        <f t="shared" ref="G153:G154" si="13">IF(D153="","",E153*F153)</f>
        <v/>
      </c>
      <c r="H153" s="18"/>
      <c r="I153" s="61"/>
      <c r="J153" s="399"/>
      <c r="K153" s="420" t="str">
        <f t="shared" ref="K153:K154" si="14">IF(I153="","",E153*J153)</f>
        <v/>
      </c>
      <c r="L153" s="401" t="str">
        <f t="shared" ref="L153:L154" si="15">IF(I153="","",IF(SUM(G153)=0,"",K153/G153))</f>
        <v/>
      </c>
    </row>
    <row r="154" spans="2:12" x14ac:dyDescent="0.25">
      <c r="B154" s="776"/>
      <c r="C154" s="65"/>
      <c r="D154" s="15"/>
      <c r="E154" s="15"/>
      <c r="F154" s="64"/>
      <c r="G154" s="17" t="str">
        <f t="shared" si="13"/>
        <v/>
      </c>
      <c r="H154" s="18"/>
      <c r="I154" s="61"/>
      <c r="J154" s="399"/>
      <c r="K154" s="420" t="str">
        <f t="shared" si="14"/>
        <v/>
      </c>
      <c r="L154" s="401" t="str">
        <f t="shared" si="15"/>
        <v/>
      </c>
    </row>
    <row r="155" spans="2:12" x14ac:dyDescent="0.25">
      <c r="B155" s="776"/>
      <c r="C155" s="65"/>
      <c r="D155" s="15"/>
      <c r="E155" s="15"/>
      <c r="F155" s="64"/>
      <c r="G155" s="17" t="str">
        <f t="shared" ref="G155" si="16">IF(D155="","",E155*F155)</f>
        <v/>
      </c>
      <c r="H155" s="18"/>
      <c r="I155" s="61"/>
      <c r="J155" s="399"/>
      <c r="K155" s="420" t="str">
        <f t="shared" ref="K155" si="17">IF(I155="","",E155*J155)</f>
        <v/>
      </c>
      <c r="L155" s="401" t="str">
        <f t="shared" ref="L155:L211" si="18">IF(I155="","",IF(SUM(G155)=0,"",K155/G155))</f>
        <v/>
      </c>
    </row>
    <row r="156" spans="2:12" x14ac:dyDescent="0.25">
      <c r="B156" s="776"/>
      <c r="C156" s="65"/>
      <c r="D156" s="15"/>
      <c r="E156" s="15"/>
      <c r="F156" s="64"/>
      <c r="G156" s="17" t="str">
        <f t="shared" ref="G156:G210" si="19">IF(D156="","",E156*F156)</f>
        <v/>
      </c>
      <c r="H156" s="18"/>
      <c r="I156" s="61"/>
      <c r="J156" s="399"/>
      <c r="K156" s="420" t="str">
        <f t="shared" ref="K156:K210" si="20">IF(I156="","",E156*J156)</f>
        <v/>
      </c>
      <c r="L156" s="401" t="str">
        <f t="shared" ref="L156:L210" si="21">IF(I156="","",IF(SUM(G156)=0,"",K156/G156))</f>
        <v/>
      </c>
    </row>
    <row r="157" spans="2:12" x14ac:dyDescent="0.25">
      <c r="B157" s="776"/>
      <c r="C157" s="65"/>
      <c r="D157" s="15"/>
      <c r="E157" s="15"/>
      <c r="F157" s="64"/>
      <c r="G157" s="17" t="str">
        <f t="shared" si="19"/>
        <v/>
      </c>
      <c r="H157" s="18"/>
      <c r="I157" s="61"/>
      <c r="J157" s="400"/>
      <c r="K157" s="420" t="str">
        <f t="shared" si="20"/>
        <v/>
      </c>
      <c r="L157" s="401" t="str">
        <f t="shared" si="21"/>
        <v/>
      </c>
    </row>
    <row r="158" spans="2:12" x14ac:dyDescent="0.25">
      <c r="B158" s="776"/>
      <c r="C158" s="65"/>
      <c r="D158" s="15"/>
      <c r="E158" s="15"/>
      <c r="F158" s="64"/>
      <c r="G158" s="17" t="str">
        <f t="shared" si="19"/>
        <v/>
      </c>
      <c r="H158" s="18"/>
      <c r="I158" s="61"/>
      <c r="J158" s="399"/>
      <c r="K158" s="420" t="str">
        <f t="shared" si="20"/>
        <v/>
      </c>
      <c r="L158" s="401" t="str">
        <f t="shared" si="21"/>
        <v/>
      </c>
    </row>
    <row r="159" spans="2:12" x14ac:dyDescent="0.25">
      <c r="B159" s="776"/>
      <c r="C159" s="65"/>
      <c r="D159" s="15"/>
      <c r="E159" s="15"/>
      <c r="F159" s="64"/>
      <c r="G159" s="17" t="str">
        <f t="shared" si="19"/>
        <v/>
      </c>
      <c r="H159" s="18"/>
      <c r="I159" s="61"/>
      <c r="J159" s="399"/>
      <c r="K159" s="420" t="str">
        <f t="shared" si="20"/>
        <v/>
      </c>
      <c r="L159" s="401" t="str">
        <f t="shared" si="21"/>
        <v/>
      </c>
    </row>
    <row r="160" spans="2:12" x14ac:dyDescent="0.25">
      <c r="B160" s="776"/>
      <c r="C160" s="65"/>
      <c r="D160" s="15"/>
      <c r="E160" s="15"/>
      <c r="F160" s="64"/>
      <c r="G160" s="17" t="str">
        <f t="shared" si="19"/>
        <v/>
      </c>
      <c r="H160" s="18"/>
      <c r="I160" s="61"/>
      <c r="J160" s="399"/>
      <c r="K160" s="420" t="str">
        <f t="shared" si="20"/>
        <v/>
      </c>
      <c r="L160" s="401" t="str">
        <f t="shared" si="21"/>
        <v/>
      </c>
    </row>
    <row r="161" spans="2:12" x14ac:dyDescent="0.25">
      <c r="B161" s="776"/>
      <c r="C161" s="65"/>
      <c r="D161" s="15"/>
      <c r="E161" s="15"/>
      <c r="F161" s="64"/>
      <c r="G161" s="17" t="str">
        <f t="shared" si="19"/>
        <v/>
      </c>
      <c r="H161" s="18"/>
      <c r="I161" s="61"/>
      <c r="J161" s="402"/>
      <c r="K161" s="420" t="str">
        <f t="shared" si="20"/>
        <v/>
      </c>
      <c r="L161" s="401" t="str">
        <f t="shared" si="21"/>
        <v/>
      </c>
    </row>
    <row r="162" spans="2:12" x14ac:dyDescent="0.25">
      <c r="B162" s="776"/>
      <c r="C162" s="65"/>
      <c r="D162" s="15"/>
      <c r="E162" s="15"/>
      <c r="F162" s="64"/>
      <c r="G162" s="17" t="str">
        <f t="shared" si="19"/>
        <v/>
      </c>
      <c r="H162" s="18"/>
      <c r="I162" s="61"/>
      <c r="J162" s="402"/>
      <c r="K162" s="420" t="str">
        <f t="shared" si="20"/>
        <v/>
      </c>
      <c r="L162" s="401" t="str">
        <f t="shared" si="21"/>
        <v/>
      </c>
    </row>
    <row r="163" spans="2:12" x14ac:dyDescent="0.25">
      <c r="B163" s="776"/>
      <c r="C163" s="65"/>
      <c r="D163" s="15"/>
      <c r="E163" s="15"/>
      <c r="F163" s="64"/>
      <c r="G163" s="17" t="str">
        <f t="shared" si="19"/>
        <v/>
      </c>
      <c r="H163" s="18"/>
      <c r="I163" s="61"/>
      <c r="J163" s="402"/>
      <c r="K163" s="420" t="str">
        <f t="shared" si="20"/>
        <v/>
      </c>
      <c r="L163" s="401" t="str">
        <f t="shared" si="21"/>
        <v/>
      </c>
    </row>
    <row r="164" spans="2:12" x14ac:dyDescent="0.25">
      <c r="B164" s="776"/>
      <c r="C164" s="65"/>
      <c r="D164" s="15"/>
      <c r="E164" s="15"/>
      <c r="F164" s="64"/>
      <c r="G164" s="17" t="str">
        <f t="shared" si="19"/>
        <v/>
      </c>
      <c r="H164" s="18"/>
      <c r="I164" s="61"/>
      <c r="J164" s="402"/>
      <c r="K164" s="420" t="str">
        <f t="shared" si="20"/>
        <v/>
      </c>
      <c r="L164" s="401" t="str">
        <f t="shared" si="21"/>
        <v/>
      </c>
    </row>
    <row r="165" spans="2:12" x14ac:dyDescent="0.25">
      <c r="B165" s="776"/>
      <c r="C165" s="65"/>
      <c r="D165" s="15"/>
      <c r="E165" s="15"/>
      <c r="F165" s="64"/>
      <c r="G165" s="17" t="str">
        <f t="shared" si="19"/>
        <v/>
      </c>
      <c r="H165" s="18"/>
      <c r="I165" s="61"/>
      <c r="J165" s="402"/>
      <c r="K165" s="420" t="str">
        <f t="shared" si="20"/>
        <v/>
      </c>
      <c r="L165" s="401" t="str">
        <f t="shared" si="21"/>
        <v/>
      </c>
    </row>
    <row r="166" spans="2:12" x14ac:dyDescent="0.25">
      <c r="B166" s="776"/>
      <c r="C166" s="65"/>
      <c r="D166" s="15"/>
      <c r="E166" s="15"/>
      <c r="F166" s="64"/>
      <c r="G166" s="17" t="str">
        <f t="shared" si="19"/>
        <v/>
      </c>
      <c r="H166" s="18"/>
      <c r="I166" s="61"/>
      <c r="J166" s="402"/>
      <c r="K166" s="420" t="str">
        <f t="shared" si="20"/>
        <v/>
      </c>
      <c r="L166" s="401" t="str">
        <f t="shared" si="21"/>
        <v/>
      </c>
    </row>
    <row r="167" spans="2:12" x14ac:dyDescent="0.25">
      <c r="B167" s="776"/>
      <c r="C167" s="65"/>
      <c r="D167" s="15"/>
      <c r="E167" s="15"/>
      <c r="F167" s="64"/>
      <c r="G167" s="17" t="str">
        <f t="shared" si="19"/>
        <v/>
      </c>
      <c r="H167" s="18"/>
      <c r="I167" s="61"/>
      <c r="J167" s="399"/>
      <c r="K167" s="420" t="str">
        <f t="shared" si="20"/>
        <v/>
      </c>
      <c r="L167" s="401" t="str">
        <f t="shared" si="21"/>
        <v/>
      </c>
    </row>
    <row r="168" spans="2:12" x14ac:dyDescent="0.25">
      <c r="B168" s="776"/>
      <c r="C168" s="65"/>
      <c r="D168" s="15"/>
      <c r="E168" s="15"/>
      <c r="F168" s="425"/>
      <c r="G168" s="17" t="str">
        <f t="shared" si="19"/>
        <v/>
      </c>
      <c r="H168" s="18"/>
      <c r="I168" s="61"/>
      <c r="J168" s="399"/>
      <c r="K168" s="420" t="str">
        <f t="shared" si="20"/>
        <v/>
      </c>
      <c r="L168" s="401" t="str">
        <f t="shared" si="21"/>
        <v/>
      </c>
    </row>
    <row r="169" spans="2:12" x14ac:dyDescent="0.25">
      <c r="B169" s="776"/>
      <c r="C169" s="65"/>
      <c r="D169" s="15"/>
      <c r="E169" s="15"/>
      <c r="F169" s="64"/>
      <c r="G169" s="17" t="str">
        <f t="shared" si="19"/>
        <v/>
      </c>
      <c r="H169" s="18"/>
      <c r="I169" s="61"/>
      <c r="J169" s="400"/>
      <c r="K169" s="420" t="str">
        <f t="shared" si="20"/>
        <v/>
      </c>
      <c r="L169" s="401" t="str">
        <f t="shared" si="21"/>
        <v/>
      </c>
    </row>
    <row r="170" spans="2:12" x14ac:dyDescent="0.25">
      <c r="B170" s="776"/>
      <c r="C170" s="65"/>
      <c r="D170" s="15"/>
      <c r="E170" s="15"/>
      <c r="F170" s="64"/>
      <c r="G170" s="17" t="str">
        <f t="shared" si="19"/>
        <v/>
      </c>
      <c r="H170" s="18"/>
      <c r="I170" s="61"/>
      <c r="J170" s="399"/>
      <c r="K170" s="420" t="str">
        <f t="shared" si="20"/>
        <v/>
      </c>
      <c r="L170" s="401" t="str">
        <f t="shared" si="21"/>
        <v/>
      </c>
    </row>
    <row r="171" spans="2:12" x14ac:dyDescent="0.25">
      <c r="B171" s="776"/>
      <c r="C171" s="65"/>
      <c r="D171" s="15"/>
      <c r="E171" s="15"/>
      <c r="F171" s="64"/>
      <c r="G171" s="17" t="str">
        <f t="shared" si="19"/>
        <v/>
      </c>
      <c r="H171" s="18"/>
      <c r="I171" s="61"/>
      <c r="J171" s="399"/>
      <c r="K171" s="420" t="str">
        <f t="shared" si="20"/>
        <v/>
      </c>
      <c r="L171" s="401" t="str">
        <f t="shared" si="21"/>
        <v/>
      </c>
    </row>
    <row r="172" spans="2:12" x14ac:dyDescent="0.25">
      <c r="B172" s="776"/>
      <c r="C172" s="65"/>
      <c r="D172" s="15"/>
      <c r="E172" s="15"/>
      <c r="F172" s="64"/>
      <c r="G172" s="17" t="str">
        <f t="shared" si="19"/>
        <v/>
      </c>
      <c r="H172" s="18"/>
      <c r="I172" s="61"/>
      <c r="J172" s="399"/>
      <c r="K172" s="420" t="str">
        <f t="shared" si="20"/>
        <v/>
      </c>
      <c r="L172" s="401" t="str">
        <f t="shared" si="21"/>
        <v/>
      </c>
    </row>
    <row r="173" spans="2:12" x14ac:dyDescent="0.25">
      <c r="B173" s="776"/>
      <c r="C173" s="65"/>
      <c r="D173" s="15"/>
      <c r="E173" s="15"/>
      <c r="F173" s="64"/>
      <c r="G173" s="17" t="str">
        <f t="shared" si="19"/>
        <v/>
      </c>
      <c r="H173" s="18"/>
      <c r="I173" s="61"/>
      <c r="J173" s="399"/>
      <c r="K173" s="420" t="str">
        <f t="shared" si="20"/>
        <v/>
      </c>
      <c r="L173" s="401" t="str">
        <f t="shared" si="21"/>
        <v/>
      </c>
    </row>
    <row r="174" spans="2:12" x14ac:dyDescent="0.25">
      <c r="B174" s="776"/>
      <c r="C174" s="65"/>
      <c r="D174" s="15"/>
      <c r="E174" s="15"/>
      <c r="F174" s="64"/>
      <c r="G174" s="17" t="str">
        <f t="shared" si="19"/>
        <v/>
      </c>
      <c r="H174" s="18"/>
      <c r="I174" s="61"/>
      <c r="J174" s="399"/>
      <c r="K174" s="420" t="str">
        <f t="shared" si="20"/>
        <v/>
      </c>
      <c r="L174" s="401" t="str">
        <f t="shared" si="21"/>
        <v/>
      </c>
    </row>
    <row r="175" spans="2:12" x14ac:dyDescent="0.25">
      <c r="B175" s="776"/>
      <c r="C175" s="65"/>
      <c r="D175" s="15"/>
      <c r="E175" s="15"/>
      <c r="F175" s="64"/>
      <c r="G175" s="17" t="str">
        <f t="shared" si="19"/>
        <v/>
      </c>
      <c r="H175" s="18"/>
      <c r="I175" s="61"/>
      <c r="J175" s="400"/>
      <c r="K175" s="420" t="str">
        <f t="shared" si="20"/>
        <v/>
      </c>
      <c r="L175" s="401" t="str">
        <f t="shared" si="21"/>
        <v/>
      </c>
    </row>
    <row r="176" spans="2:12" x14ac:dyDescent="0.25">
      <c r="B176" s="776"/>
      <c r="C176" s="65"/>
      <c r="D176" s="15"/>
      <c r="E176" s="15"/>
      <c r="F176" s="64"/>
      <c r="G176" s="17" t="str">
        <f t="shared" si="19"/>
        <v/>
      </c>
      <c r="H176" s="18"/>
      <c r="I176" s="61"/>
      <c r="J176" s="399"/>
      <c r="K176" s="420" t="str">
        <f t="shared" si="20"/>
        <v/>
      </c>
      <c r="L176" s="401" t="str">
        <f t="shared" si="21"/>
        <v/>
      </c>
    </row>
    <row r="177" spans="2:12" x14ac:dyDescent="0.25">
      <c r="B177" s="776"/>
      <c r="C177" s="65"/>
      <c r="D177" s="15"/>
      <c r="E177" s="15"/>
      <c r="F177" s="64"/>
      <c r="G177" s="17" t="str">
        <f t="shared" si="19"/>
        <v/>
      </c>
      <c r="H177" s="18"/>
      <c r="I177" s="61"/>
      <c r="J177" s="399"/>
      <c r="K177" s="420" t="str">
        <f t="shared" si="20"/>
        <v/>
      </c>
      <c r="L177" s="401" t="str">
        <f t="shared" si="21"/>
        <v/>
      </c>
    </row>
    <row r="178" spans="2:12" x14ac:dyDescent="0.25">
      <c r="B178" s="774"/>
      <c r="C178" s="774"/>
      <c r="D178" s="15"/>
      <c r="E178" s="15"/>
      <c r="F178" s="64"/>
      <c r="G178" s="17" t="str">
        <f t="shared" si="19"/>
        <v/>
      </c>
      <c r="H178" s="18"/>
      <c r="I178" s="61"/>
      <c r="J178" s="399"/>
      <c r="K178" s="420" t="str">
        <f t="shared" si="20"/>
        <v/>
      </c>
      <c r="L178" s="401" t="str">
        <f t="shared" si="21"/>
        <v/>
      </c>
    </row>
    <row r="179" spans="2:12" x14ac:dyDescent="0.25">
      <c r="B179" s="776"/>
      <c r="C179" s="65"/>
      <c r="D179" s="15"/>
      <c r="E179" s="15"/>
      <c r="F179" s="64"/>
      <c r="G179" s="17" t="str">
        <f t="shared" si="19"/>
        <v/>
      </c>
      <c r="H179" s="18"/>
      <c r="I179" s="61"/>
      <c r="J179" s="399"/>
      <c r="K179" s="420" t="str">
        <f t="shared" si="20"/>
        <v/>
      </c>
      <c r="L179" s="401" t="str">
        <f t="shared" si="21"/>
        <v/>
      </c>
    </row>
    <row r="180" spans="2:12" x14ac:dyDescent="0.25">
      <c r="B180" s="774"/>
      <c r="C180" s="774"/>
      <c r="D180" s="15"/>
      <c r="E180" s="15"/>
      <c r="F180" s="64"/>
      <c r="G180" s="17" t="str">
        <f t="shared" si="19"/>
        <v/>
      </c>
      <c r="H180" s="18"/>
      <c r="I180" s="61"/>
      <c r="J180" s="399"/>
      <c r="K180" s="420" t="str">
        <f t="shared" si="20"/>
        <v/>
      </c>
      <c r="L180" s="401" t="str">
        <f t="shared" si="21"/>
        <v/>
      </c>
    </row>
    <row r="181" spans="2:12" x14ac:dyDescent="0.25">
      <c r="B181" s="776"/>
      <c r="C181" s="65"/>
      <c r="D181" s="15"/>
      <c r="E181" s="15"/>
      <c r="F181" s="64"/>
      <c r="G181" s="17" t="str">
        <f t="shared" si="19"/>
        <v/>
      </c>
      <c r="H181" s="18"/>
      <c r="I181" s="61"/>
      <c r="J181" s="399"/>
      <c r="K181" s="420" t="str">
        <f t="shared" si="20"/>
        <v/>
      </c>
      <c r="L181" s="401" t="str">
        <f t="shared" si="21"/>
        <v/>
      </c>
    </row>
    <row r="182" spans="2:12" x14ac:dyDescent="0.25">
      <c r="B182" s="774"/>
      <c r="C182" s="667"/>
      <c r="D182" s="15"/>
      <c r="E182" s="15"/>
      <c r="F182" s="425"/>
      <c r="G182" s="17" t="str">
        <f t="shared" si="19"/>
        <v/>
      </c>
      <c r="H182" s="18"/>
      <c r="I182" s="61"/>
      <c r="J182" s="399"/>
      <c r="K182" s="420" t="str">
        <f t="shared" si="20"/>
        <v/>
      </c>
      <c r="L182" s="401" t="str">
        <f t="shared" si="21"/>
        <v/>
      </c>
    </row>
    <row r="183" spans="2:12" x14ac:dyDescent="0.25">
      <c r="B183" s="776"/>
      <c r="C183" s="65"/>
      <c r="D183" s="15"/>
      <c r="E183" s="15"/>
      <c r="F183" s="64"/>
      <c r="G183" s="17" t="str">
        <f t="shared" si="19"/>
        <v/>
      </c>
      <c r="H183" s="18"/>
      <c r="I183" s="61"/>
      <c r="J183" s="399"/>
      <c r="K183" s="420" t="str">
        <f t="shared" si="20"/>
        <v/>
      </c>
      <c r="L183" s="401" t="str">
        <f t="shared" si="21"/>
        <v/>
      </c>
    </row>
    <row r="184" spans="2:12" x14ac:dyDescent="0.25">
      <c r="B184" s="776"/>
      <c r="C184" s="65"/>
      <c r="D184" s="15"/>
      <c r="E184" s="15"/>
      <c r="F184" s="64"/>
      <c r="G184" s="17" t="str">
        <f t="shared" si="19"/>
        <v/>
      </c>
      <c r="H184" s="18"/>
      <c r="I184" s="61"/>
      <c r="J184" s="399"/>
      <c r="K184" s="420" t="str">
        <f t="shared" si="20"/>
        <v/>
      </c>
      <c r="L184" s="401" t="str">
        <f t="shared" si="21"/>
        <v/>
      </c>
    </row>
    <row r="185" spans="2:12" x14ac:dyDescent="0.25">
      <c r="B185" s="776"/>
      <c r="C185" s="65"/>
      <c r="D185" s="15"/>
      <c r="E185" s="15"/>
      <c r="F185" s="64"/>
      <c r="G185" s="17" t="str">
        <f t="shared" si="19"/>
        <v/>
      </c>
      <c r="H185" s="18"/>
      <c r="I185" s="61"/>
      <c r="J185" s="399"/>
      <c r="K185" s="420" t="str">
        <f t="shared" si="20"/>
        <v/>
      </c>
      <c r="L185" s="401" t="str">
        <f t="shared" si="21"/>
        <v/>
      </c>
    </row>
    <row r="186" spans="2:12" x14ac:dyDescent="0.25">
      <c r="B186" s="776"/>
      <c r="C186" s="65"/>
      <c r="D186" s="15"/>
      <c r="E186" s="15"/>
      <c r="F186" s="64"/>
      <c r="G186" s="17" t="str">
        <f t="shared" si="19"/>
        <v/>
      </c>
      <c r="H186" s="18"/>
      <c r="I186" s="61"/>
      <c r="J186" s="399"/>
      <c r="K186" s="420" t="str">
        <f t="shared" si="20"/>
        <v/>
      </c>
      <c r="L186" s="401" t="str">
        <f t="shared" si="21"/>
        <v/>
      </c>
    </row>
    <row r="187" spans="2:12" x14ac:dyDescent="0.25">
      <c r="B187" s="776"/>
      <c r="C187" s="65"/>
      <c r="D187" s="15"/>
      <c r="E187" s="15"/>
      <c r="F187" s="64"/>
      <c r="G187" s="17" t="str">
        <f t="shared" si="19"/>
        <v/>
      </c>
      <c r="H187" s="18"/>
      <c r="I187" s="61"/>
      <c r="J187" s="402"/>
      <c r="K187" s="420" t="str">
        <f t="shared" si="20"/>
        <v/>
      </c>
      <c r="L187" s="401" t="str">
        <f t="shared" si="21"/>
        <v/>
      </c>
    </row>
    <row r="188" spans="2:12" x14ac:dyDescent="0.25">
      <c r="B188" s="776"/>
      <c r="C188" s="65"/>
      <c r="D188" s="15"/>
      <c r="E188" s="15"/>
      <c r="F188" s="64"/>
      <c r="G188" s="17" t="str">
        <f t="shared" si="19"/>
        <v/>
      </c>
      <c r="H188" s="18"/>
      <c r="I188" s="61"/>
      <c r="J188" s="399"/>
      <c r="K188" s="420" t="str">
        <f t="shared" si="20"/>
        <v/>
      </c>
      <c r="L188" s="401" t="str">
        <f t="shared" si="21"/>
        <v/>
      </c>
    </row>
    <row r="189" spans="2:12" x14ac:dyDescent="0.25">
      <c r="B189" s="776"/>
      <c r="C189" s="65"/>
      <c r="D189" s="15"/>
      <c r="E189" s="15"/>
      <c r="F189" s="64"/>
      <c r="G189" s="17" t="str">
        <f t="shared" si="19"/>
        <v/>
      </c>
      <c r="H189" s="18"/>
      <c r="I189" s="61"/>
      <c r="J189" s="402"/>
      <c r="K189" s="420" t="str">
        <f t="shared" si="20"/>
        <v/>
      </c>
      <c r="L189" s="401" t="str">
        <f t="shared" si="21"/>
        <v/>
      </c>
    </row>
    <row r="190" spans="2:12" x14ac:dyDescent="0.25">
      <c r="B190" s="776"/>
      <c r="C190" s="65"/>
      <c r="D190" s="15"/>
      <c r="E190" s="15"/>
      <c r="F190" s="64"/>
      <c r="G190" s="17" t="str">
        <f t="shared" si="19"/>
        <v/>
      </c>
      <c r="H190" s="18"/>
      <c r="I190" s="62"/>
      <c r="J190" s="62"/>
      <c r="K190" s="420" t="str">
        <f t="shared" si="20"/>
        <v/>
      </c>
      <c r="L190" s="401" t="str">
        <f t="shared" si="21"/>
        <v/>
      </c>
    </row>
    <row r="191" spans="2:12" x14ac:dyDescent="0.25">
      <c r="B191" s="776"/>
      <c r="C191" s="65"/>
      <c r="D191" s="15"/>
      <c r="E191" s="15"/>
      <c r="F191" s="64"/>
      <c r="G191" s="17" t="str">
        <f t="shared" si="19"/>
        <v/>
      </c>
      <c r="H191" s="18"/>
      <c r="I191" s="62"/>
      <c r="J191" s="62"/>
      <c r="K191" s="420" t="str">
        <f t="shared" si="20"/>
        <v/>
      </c>
      <c r="L191" s="401" t="str">
        <f t="shared" si="21"/>
        <v/>
      </c>
    </row>
    <row r="192" spans="2:12" x14ac:dyDescent="0.25">
      <c r="B192" s="776"/>
      <c r="C192" s="65"/>
      <c r="D192" s="15"/>
      <c r="E192" s="15"/>
      <c r="F192" s="64"/>
      <c r="G192" s="17" t="str">
        <f t="shared" si="19"/>
        <v/>
      </c>
      <c r="H192" s="18"/>
      <c r="I192" s="62"/>
      <c r="J192" s="62"/>
      <c r="K192" s="420" t="str">
        <f t="shared" si="20"/>
        <v/>
      </c>
      <c r="L192" s="401" t="str">
        <f t="shared" si="21"/>
        <v/>
      </c>
    </row>
    <row r="193" spans="2:12" x14ac:dyDescent="0.25">
      <c r="B193" s="776"/>
      <c r="C193" s="65"/>
      <c r="D193" s="15"/>
      <c r="E193" s="15"/>
      <c r="F193" s="64"/>
      <c r="G193" s="17" t="str">
        <f t="shared" si="19"/>
        <v/>
      </c>
      <c r="H193" s="18"/>
      <c r="I193" s="62"/>
      <c r="J193" s="62"/>
      <c r="K193" s="420" t="str">
        <f t="shared" si="20"/>
        <v/>
      </c>
      <c r="L193" s="401" t="str">
        <f t="shared" si="21"/>
        <v/>
      </c>
    </row>
    <row r="194" spans="2:12" x14ac:dyDescent="0.25">
      <c r="B194" s="776"/>
      <c r="C194" s="65"/>
      <c r="D194" s="15"/>
      <c r="E194" s="15"/>
      <c r="F194" s="64"/>
      <c r="G194" s="17" t="str">
        <f t="shared" si="19"/>
        <v/>
      </c>
      <c r="H194" s="18"/>
      <c r="I194" s="62"/>
      <c r="J194" s="62"/>
      <c r="K194" s="420" t="str">
        <f t="shared" si="20"/>
        <v/>
      </c>
      <c r="L194" s="401" t="str">
        <f t="shared" si="21"/>
        <v/>
      </c>
    </row>
    <row r="195" spans="2:12" x14ac:dyDescent="0.25">
      <c r="B195" s="776"/>
      <c r="C195" s="65"/>
      <c r="D195" s="15"/>
      <c r="E195" s="15"/>
      <c r="F195" s="64"/>
      <c r="G195" s="17" t="str">
        <f t="shared" si="19"/>
        <v/>
      </c>
      <c r="H195" s="18"/>
      <c r="I195" s="62"/>
      <c r="J195" s="62"/>
      <c r="K195" s="420" t="str">
        <f t="shared" si="20"/>
        <v/>
      </c>
      <c r="L195" s="401" t="str">
        <f t="shared" si="21"/>
        <v/>
      </c>
    </row>
    <row r="196" spans="2:12" x14ac:dyDescent="0.25">
      <c r="B196" s="776"/>
      <c r="C196" s="65"/>
      <c r="D196" s="15"/>
      <c r="E196" s="15"/>
      <c r="F196" s="64"/>
      <c r="G196" s="17" t="str">
        <f t="shared" si="19"/>
        <v/>
      </c>
      <c r="H196" s="18"/>
      <c r="I196" s="62"/>
      <c r="J196" s="62"/>
      <c r="K196" s="420" t="str">
        <f t="shared" si="20"/>
        <v/>
      </c>
      <c r="L196" s="401" t="str">
        <f t="shared" si="21"/>
        <v/>
      </c>
    </row>
    <row r="197" spans="2:12" x14ac:dyDescent="0.25">
      <c r="B197" s="776"/>
      <c r="C197" s="65"/>
      <c r="D197" s="15"/>
      <c r="E197" s="15"/>
      <c r="F197" s="64"/>
      <c r="G197" s="17" t="str">
        <f t="shared" si="19"/>
        <v/>
      </c>
      <c r="H197" s="18"/>
      <c r="I197" s="62"/>
      <c r="J197" s="62"/>
      <c r="K197" s="420" t="str">
        <f t="shared" si="20"/>
        <v/>
      </c>
      <c r="L197" s="401" t="str">
        <f t="shared" si="21"/>
        <v/>
      </c>
    </row>
    <row r="198" spans="2:12" x14ac:dyDescent="0.25">
      <c r="B198" s="776"/>
      <c r="C198" s="65"/>
      <c r="D198" s="15"/>
      <c r="E198" s="15"/>
      <c r="F198" s="64"/>
      <c r="G198" s="17" t="str">
        <f t="shared" si="19"/>
        <v/>
      </c>
      <c r="H198" s="18"/>
      <c r="I198" s="62"/>
      <c r="J198" s="62"/>
      <c r="K198" s="420" t="str">
        <f t="shared" si="20"/>
        <v/>
      </c>
      <c r="L198" s="401" t="str">
        <f t="shared" si="21"/>
        <v/>
      </c>
    </row>
    <row r="199" spans="2:12" x14ac:dyDescent="0.25">
      <c r="B199" s="776"/>
      <c r="C199" s="65"/>
      <c r="D199" s="15"/>
      <c r="E199" s="15"/>
      <c r="F199" s="64"/>
      <c r="G199" s="17" t="str">
        <f t="shared" si="19"/>
        <v/>
      </c>
      <c r="H199" s="18"/>
      <c r="I199" s="62"/>
      <c r="J199" s="62"/>
      <c r="K199" s="420" t="str">
        <f t="shared" si="20"/>
        <v/>
      </c>
      <c r="L199" s="401" t="str">
        <f t="shared" si="21"/>
        <v/>
      </c>
    </row>
    <row r="200" spans="2:12" x14ac:dyDescent="0.25">
      <c r="B200" s="776"/>
      <c r="C200" s="65"/>
      <c r="D200" s="15"/>
      <c r="E200" s="15"/>
      <c r="F200" s="64"/>
      <c r="G200" s="17" t="str">
        <f t="shared" si="19"/>
        <v/>
      </c>
      <c r="H200" s="18"/>
      <c r="I200" s="62"/>
      <c r="J200" s="62"/>
      <c r="K200" s="420" t="str">
        <f t="shared" si="20"/>
        <v/>
      </c>
      <c r="L200" s="401" t="str">
        <f t="shared" si="21"/>
        <v/>
      </c>
    </row>
    <row r="201" spans="2:12" x14ac:dyDescent="0.25">
      <c r="B201" s="776"/>
      <c r="C201" s="65"/>
      <c r="D201" s="15"/>
      <c r="E201" s="15"/>
      <c r="F201" s="64"/>
      <c r="G201" s="17" t="str">
        <f t="shared" si="19"/>
        <v/>
      </c>
      <c r="H201" s="18"/>
      <c r="I201" s="62"/>
      <c r="J201" s="62"/>
      <c r="K201" s="420" t="str">
        <f t="shared" si="20"/>
        <v/>
      </c>
      <c r="L201" s="401" t="str">
        <f t="shared" si="21"/>
        <v/>
      </c>
    </row>
    <row r="202" spans="2:12" x14ac:dyDescent="0.25">
      <c r="B202" s="776"/>
      <c r="C202" s="65"/>
      <c r="D202" s="15"/>
      <c r="E202" s="15"/>
      <c r="F202" s="64"/>
      <c r="G202" s="17" t="str">
        <f t="shared" si="19"/>
        <v/>
      </c>
      <c r="H202" s="18"/>
      <c r="I202" s="61"/>
      <c r="J202" s="62"/>
      <c r="K202" s="420" t="str">
        <f t="shared" si="20"/>
        <v/>
      </c>
      <c r="L202" s="401" t="str">
        <f t="shared" si="21"/>
        <v/>
      </c>
    </row>
    <row r="203" spans="2:12" x14ac:dyDescent="0.25">
      <c r="B203" s="776"/>
      <c r="C203" s="65"/>
      <c r="D203" s="15"/>
      <c r="E203" s="15"/>
      <c r="F203" s="64"/>
      <c r="G203" s="17" t="str">
        <f t="shared" si="19"/>
        <v/>
      </c>
      <c r="H203" s="18"/>
      <c r="I203" s="62"/>
      <c r="J203" s="62"/>
      <c r="K203" s="420" t="str">
        <f t="shared" si="20"/>
        <v/>
      </c>
      <c r="L203" s="401" t="str">
        <f t="shared" si="21"/>
        <v/>
      </c>
    </row>
    <row r="204" spans="2:12" x14ac:dyDescent="0.25">
      <c r="B204" s="776"/>
      <c r="C204" s="65"/>
      <c r="D204" s="15"/>
      <c r="E204" s="15"/>
      <c r="F204" s="64"/>
      <c r="G204" s="17" t="str">
        <f t="shared" si="19"/>
        <v/>
      </c>
      <c r="H204" s="18"/>
      <c r="I204" s="62"/>
      <c r="J204" s="62"/>
      <c r="K204" s="420" t="str">
        <f t="shared" si="20"/>
        <v/>
      </c>
      <c r="L204" s="401" t="str">
        <f t="shared" si="21"/>
        <v/>
      </c>
    </row>
    <row r="205" spans="2:12" x14ac:dyDescent="0.25">
      <c r="B205" s="776"/>
      <c r="C205" s="65"/>
      <c r="D205" s="15"/>
      <c r="E205" s="15"/>
      <c r="F205" s="64"/>
      <c r="G205" s="17" t="str">
        <f t="shared" si="19"/>
        <v/>
      </c>
      <c r="H205" s="18"/>
      <c r="I205" s="62"/>
      <c r="J205" s="62"/>
      <c r="K205" s="420" t="str">
        <f t="shared" si="20"/>
        <v/>
      </c>
      <c r="L205" s="401" t="str">
        <f t="shared" si="21"/>
        <v/>
      </c>
    </row>
    <row r="206" spans="2:12" x14ac:dyDescent="0.25">
      <c r="B206" s="776"/>
      <c r="C206" s="65"/>
      <c r="D206" s="15"/>
      <c r="E206" s="15"/>
      <c r="F206" s="64"/>
      <c r="G206" s="17" t="str">
        <f t="shared" si="19"/>
        <v/>
      </c>
      <c r="H206" s="18"/>
      <c r="I206" s="62"/>
      <c r="J206" s="62"/>
      <c r="K206" s="420" t="str">
        <f t="shared" si="20"/>
        <v/>
      </c>
      <c r="L206" s="401" t="str">
        <f t="shared" si="21"/>
        <v/>
      </c>
    </row>
    <row r="207" spans="2:12" x14ac:dyDescent="0.25">
      <c r="B207" s="776"/>
      <c r="C207" s="65"/>
      <c r="D207" s="15"/>
      <c r="E207" s="15"/>
      <c r="F207" s="64"/>
      <c r="G207" s="17" t="str">
        <f t="shared" si="19"/>
        <v/>
      </c>
      <c r="H207" s="18"/>
      <c r="I207" s="62"/>
      <c r="J207" s="62"/>
      <c r="K207" s="420" t="str">
        <f t="shared" si="20"/>
        <v/>
      </c>
      <c r="L207" s="401" t="str">
        <f t="shared" si="21"/>
        <v/>
      </c>
    </row>
    <row r="208" spans="2:12" x14ac:dyDescent="0.25">
      <c r="B208" s="776"/>
      <c r="C208" s="65"/>
      <c r="D208" s="15"/>
      <c r="E208" s="15"/>
      <c r="F208" s="64"/>
      <c r="G208" s="17" t="str">
        <f t="shared" si="19"/>
        <v/>
      </c>
      <c r="H208" s="18"/>
      <c r="I208" s="61"/>
      <c r="J208" s="62"/>
      <c r="K208" s="420" t="str">
        <f t="shared" si="20"/>
        <v/>
      </c>
      <c r="L208" s="401" t="str">
        <f t="shared" si="21"/>
        <v/>
      </c>
    </row>
    <row r="209" spans="2:12" x14ac:dyDescent="0.25">
      <c r="B209" s="776"/>
      <c r="C209" s="65"/>
      <c r="D209" s="15"/>
      <c r="E209" s="15"/>
      <c r="F209" s="64"/>
      <c r="G209" s="17" t="str">
        <f t="shared" si="19"/>
        <v/>
      </c>
      <c r="H209" s="18"/>
      <c r="I209" s="61"/>
      <c r="J209" s="695"/>
      <c r="K209" s="420" t="str">
        <f t="shared" si="20"/>
        <v/>
      </c>
      <c r="L209" s="401" t="str">
        <f t="shared" si="21"/>
        <v/>
      </c>
    </row>
    <row r="210" spans="2:12" x14ac:dyDescent="0.25">
      <c r="B210" s="776"/>
      <c r="C210" s="65"/>
      <c r="D210" s="15"/>
      <c r="E210" s="15"/>
      <c r="F210" s="64"/>
      <c r="G210" s="17" t="str">
        <f t="shared" si="19"/>
        <v/>
      </c>
      <c r="H210" s="18"/>
      <c r="I210" s="61"/>
      <c r="J210" s="696"/>
      <c r="K210" s="420" t="str">
        <f t="shared" si="20"/>
        <v/>
      </c>
      <c r="L210" s="401" t="str">
        <f t="shared" si="21"/>
        <v/>
      </c>
    </row>
    <row r="211" spans="2:12" s="28" customFormat="1" ht="25" customHeight="1" x14ac:dyDescent="0.25">
      <c r="B211" s="29" t="str">
        <f>B12</f>
        <v>C1.2</v>
      </c>
      <c r="C211" s="30" t="s">
        <v>790</v>
      </c>
      <c r="D211" s="31"/>
      <c r="E211" s="32"/>
      <c r="F211" s="31"/>
      <c r="G211" s="33">
        <f>SUM(G152:G210)</f>
        <v>201015</v>
      </c>
      <c r="H211" s="34"/>
      <c r="I211" s="408"/>
      <c r="J211" s="406"/>
      <c r="K211" s="418">
        <f>SUM(K152:K210)</f>
        <v>6983.9999999999991</v>
      </c>
      <c r="L211" s="407" t="str">
        <f t="shared" si="18"/>
        <v/>
      </c>
    </row>
  </sheetData>
  <mergeCells count="24">
    <mergeCell ref="B144:D144"/>
    <mergeCell ref="E144:G146"/>
    <mergeCell ref="B145:D145"/>
    <mergeCell ref="B146:D146"/>
    <mergeCell ref="B147:F147"/>
    <mergeCell ref="G147:G150"/>
    <mergeCell ref="B148:F148"/>
    <mergeCell ref="B149:F149"/>
    <mergeCell ref="B73:D73"/>
    <mergeCell ref="E73:G75"/>
    <mergeCell ref="B74:D74"/>
    <mergeCell ref="B75:D75"/>
    <mergeCell ref="B76:F76"/>
    <mergeCell ref="G76:G79"/>
    <mergeCell ref="B77:F77"/>
    <mergeCell ref="B78:F78"/>
    <mergeCell ref="B3:D3"/>
    <mergeCell ref="E3:G5"/>
    <mergeCell ref="B4:D4"/>
    <mergeCell ref="B5:D5"/>
    <mergeCell ref="B6:F6"/>
    <mergeCell ref="G6:G9"/>
    <mergeCell ref="B7:F7"/>
    <mergeCell ref="B8:F8"/>
  </mergeCells>
  <conditionalFormatting sqref="F11:G72 F81:G143 F152:G211">
    <cfRule type="expression" dxfId="2" priority="1">
      <formula>_Show_Price=FALSE</formula>
    </cfRule>
  </conditionalFormatting>
  <pageMargins left="0.43307086614173229" right="0.31496062992125984" top="0.43307086614173229" bottom="0.62992125984251968" header="0.35433070866141736" footer="0.31496062992125984"/>
  <pageSetup paperSize="9" scale="77" firstPageNumber="31" fitToHeight="0"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2" manualBreakCount="2">
    <brk id="72" max="7" man="1"/>
    <brk id="14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27"/>
  <dimension ref="A1:Q76"/>
  <sheetViews>
    <sheetView view="pageBreakPreview" zoomScaleNormal="125" zoomScaleSheetLayoutView="100" zoomScalePageLayoutView="125" workbookViewId="0">
      <pane ySplit="2" topLeftCell="A3" activePane="bottomLeft" state="frozen"/>
      <selection activeCell="B26" sqref="B26:G26"/>
      <selection pane="bottomLeft"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3.7265625" style="4" customWidth="1"/>
    <col min="5" max="5" width="15.7265625" style="4" customWidth="1"/>
    <col min="6" max="6" width="15.7265625" style="1" customWidth="1"/>
    <col min="7" max="7" width="15.7265625" style="5" customWidth="1"/>
    <col min="8" max="8" width="0.81640625" style="5" customWidth="1"/>
    <col min="9" max="9" width="6.81640625" style="1"/>
    <col min="10" max="10" width="12.81640625" style="1" customWidth="1"/>
    <col min="11" max="11" width="14.1796875" style="1" customWidth="1"/>
    <col min="12" max="13" width="14.7265625" style="1" customWidth="1"/>
    <col min="14" max="16384" width="6.81640625" style="1"/>
  </cols>
  <sheetData>
    <row r="1" spans="1:17" s="242" customFormat="1" ht="11.5" x14ac:dyDescent="0.25">
      <c r="B1" s="243"/>
      <c r="C1" s="244" t="s">
        <v>993</v>
      </c>
      <c r="D1" s="245"/>
      <c r="E1" s="246" t="s">
        <v>994</v>
      </c>
      <c r="F1" s="244">
        <v>1</v>
      </c>
      <c r="G1" s="247">
        <f>MAX(G2:G76)*0</f>
        <v>0</v>
      </c>
      <c r="H1" s="247">
        <f>MAX(H2:H210)</f>
        <v>0</v>
      </c>
      <c r="I1" s="248"/>
      <c r="J1" s="247">
        <f>MAX(J2:J76)</f>
        <v>0</v>
      </c>
      <c r="K1" s="249">
        <f>MAX(K2:K210)</f>
        <v>0</v>
      </c>
      <c r="L1" s="249"/>
      <c r="M1" s="250"/>
      <c r="N1" s="256"/>
      <c r="O1" s="257" t="s">
        <v>1001</v>
      </c>
      <c r="P1" s="255">
        <f>J1</f>
        <v>0</v>
      </c>
      <c r="Q1" s="256"/>
    </row>
    <row r="2" spans="1:17" s="242" customFormat="1" ht="11.5" x14ac:dyDescent="0.25">
      <c r="A2" s="250"/>
      <c r="B2" s="251" t="s">
        <v>995</v>
      </c>
      <c r="C2" s="252" t="s">
        <v>1</v>
      </c>
      <c r="D2" s="252" t="s">
        <v>2</v>
      </c>
      <c r="E2" s="252" t="s">
        <v>3</v>
      </c>
      <c r="F2" s="252" t="s">
        <v>4</v>
      </c>
      <c r="G2" s="252" t="s">
        <v>5</v>
      </c>
      <c r="H2" s="254"/>
      <c r="I2" s="398" t="s">
        <v>996</v>
      </c>
      <c r="J2" s="253" t="s">
        <v>997</v>
      </c>
      <c r="K2" s="253" t="s">
        <v>998</v>
      </c>
      <c r="L2" s="253" t="s">
        <v>999</v>
      </c>
      <c r="M2" s="253" t="s">
        <v>1000</v>
      </c>
      <c r="N2" s="256"/>
      <c r="O2" s="256"/>
      <c r="P2" s="256"/>
      <c r="Q2" s="256"/>
    </row>
    <row r="3" spans="1:17" ht="13" x14ac:dyDescent="0.25">
      <c r="B3" s="2" t="str">
        <f>Client1</f>
        <v>Province of KwaZulu-Natal</v>
      </c>
      <c r="E3" s="1124" t="str">
        <f>"Contract No. "&amp;ContractNo</f>
        <v>Contract No. ZNB 00399/00000/HOD/INF/21/T</v>
      </c>
      <c r="F3" s="1124"/>
      <c r="G3" s="1124"/>
    </row>
    <row r="4" spans="1:17" ht="13" x14ac:dyDescent="0.25">
      <c r="B4" s="87" t="str">
        <f>Client2</f>
        <v>Department of Transport</v>
      </c>
    </row>
    <row r="5" spans="1:17" x14ac:dyDescent="0.25">
      <c r="B5" s="77"/>
      <c r="C5" s="77"/>
      <c r="D5" s="78"/>
      <c r="E5" s="78"/>
      <c r="F5" s="79"/>
      <c r="G5" s="89"/>
    </row>
    <row r="6" spans="1:17" ht="13" x14ac:dyDescent="0.25">
      <c r="B6" s="1112" t="s">
        <v>1773</v>
      </c>
      <c r="C6" s="1113"/>
      <c r="D6" s="1113"/>
      <c r="E6" s="1113"/>
      <c r="F6" s="1113"/>
      <c r="G6" s="1121" t="str">
        <f>"CHAPTER "&amp;B12</f>
        <v>CHAPTER C1.3</v>
      </c>
      <c r="H6" s="6"/>
    </row>
    <row r="7" spans="1:17" ht="28.5" customHeight="1" x14ac:dyDescent="0.25">
      <c r="B7" s="1117" t="str">
        <f>ContractDescription</f>
        <v>THE CONSTRUCTION OF EARTHWORKS, LAYERWORKS, SURFACING, CULVERTS AND CWAKA RIVER BRIDGE FROM KM 11.600 TO KM 14.000 ON MAIN ROAD P494 IN THE KING CETSHWAYO DISTRICT UNDER EMPANGENI REGION</v>
      </c>
      <c r="C7" s="1151"/>
      <c r="D7" s="1151"/>
      <c r="E7" s="1151"/>
      <c r="F7" s="1151"/>
      <c r="G7" s="1122"/>
      <c r="H7" s="8"/>
    </row>
    <row r="8" spans="1:17" ht="24" customHeight="1" x14ac:dyDescent="0.25">
      <c r="B8" s="1152" t="s">
        <v>1774</v>
      </c>
      <c r="C8" s="1153"/>
      <c r="D8" s="1153"/>
      <c r="E8" s="1153"/>
      <c r="F8" s="1153"/>
      <c r="G8" s="1122"/>
      <c r="H8" s="8"/>
    </row>
    <row r="9" spans="1:17" ht="7.5" customHeight="1" x14ac:dyDescent="0.25">
      <c r="B9" s="611"/>
      <c r="C9" s="612"/>
      <c r="D9" s="612"/>
      <c r="E9" s="612"/>
      <c r="F9" s="612"/>
      <c r="G9" s="1123"/>
      <c r="H9" s="8"/>
    </row>
    <row r="10" spans="1:17" s="9" customFormat="1" ht="25" customHeight="1" x14ac:dyDescent="0.25">
      <c r="B10" s="10" t="s">
        <v>0</v>
      </c>
      <c r="C10" s="11" t="s">
        <v>1</v>
      </c>
      <c r="D10" s="11" t="s">
        <v>2</v>
      </c>
      <c r="E10" s="11" t="s">
        <v>3</v>
      </c>
      <c r="F10" s="11" t="s">
        <v>4</v>
      </c>
      <c r="G10" s="11" t="s">
        <v>5</v>
      </c>
      <c r="H10" s="12"/>
      <c r="I10" s="408" t="s">
        <v>996</v>
      </c>
      <c r="J10" s="253" t="s">
        <v>997</v>
      </c>
      <c r="K10" s="253" t="s">
        <v>998</v>
      </c>
      <c r="L10" s="253" t="s">
        <v>999</v>
      </c>
    </row>
    <row r="11" spans="1:17" x14ac:dyDescent="0.25">
      <c r="B11" s="58"/>
      <c r="C11" s="65"/>
      <c r="D11" s="15"/>
      <c r="E11" s="15"/>
      <c r="F11" s="411"/>
      <c r="G11" s="17" t="str">
        <f t="shared" ref="G11:G74" si="0">IF(D11="","",E11*F11)</f>
        <v/>
      </c>
      <c r="H11" s="18"/>
      <c r="I11" s="61"/>
      <c r="J11" s="399"/>
      <c r="K11" s="420" t="str">
        <f t="shared" ref="K11" si="1">IF(I11="","",E11*J11)</f>
        <v/>
      </c>
      <c r="L11" s="401" t="str">
        <f t="shared" ref="L11" si="2">IF(I11="","",IF(SUM(G11)=0,"",K11/G11))</f>
        <v/>
      </c>
    </row>
    <row r="12" spans="1:17" ht="26" x14ac:dyDescent="0.25">
      <c r="B12" s="146" t="s">
        <v>53</v>
      </c>
      <c r="C12" s="672" t="s">
        <v>54</v>
      </c>
      <c r="D12" s="15"/>
      <c r="E12" s="15"/>
      <c r="F12" s="411"/>
      <c r="G12" s="17" t="str">
        <f t="shared" si="0"/>
        <v/>
      </c>
      <c r="H12" s="18"/>
      <c r="I12" s="61"/>
      <c r="J12" s="399"/>
      <c r="K12" s="420" t="str">
        <f t="shared" ref="K12:K74" si="3">IF(I12="","",E12*J12)</f>
        <v/>
      </c>
      <c r="L12" s="401" t="str">
        <f t="shared" ref="L12:L74" si="4">IF(I12="","",IF(SUM(G12)=0,"",K12/G12))</f>
        <v/>
      </c>
    </row>
    <row r="13" spans="1:17" x14ac:dyDescent="0.25">
      <c r="B13" s="58"/>
      <c r="C13" s="65"/>
      <c r="D13" s="15"/>
      <c r="E13" s="15"/>
      <c r="F13" s="411"/>
      <c r="G13" s="17" t="str">
        <f t="shared" si="0"/>
        <v/>
      </c>
      <c r="H13" s="18"/>
      <c r="I13" s="61"/>
      <c r="J13" s="399"/>
      <c r="K13" s="420" t="str">
        <f t="shared" si="3"/>
        <v/>
      </c>
      <c r="L13" s="401" t="str">
        <f t="shared" si="4"/>
        <v/>
      </c>
    </row>
    <row r="14" spans="1:17" ht="13" x14ac:dyDescent="0.25">
      <c r="B14" s="146" t="s">
        <v>1864</v>
      </c>
      <c r="C14" s="672" t="s">
        <v>55</v>
      </c>
      <c r="D14" s="15"/>
      <c r="E14" s="15"/>
      <c r="F14" s="411"/>
      <c r="G14" s="17" t="str">
        <f t="shared" si="0"/>
        <v/>
      </c>
      <c r="H14" s="18"/>
      <c r="I14" s="61"/>
      <c r="J14" s="399"/>
      <c r="K14" s="420" t="str">
        <f t="shared" si="3"/>
        <v/>
      </c>
      <c r="L14" s="401" t="str">
        <f t="shared" si="4"/>
        <v/>
      </c>
    </row>
    <row r="15" spans="1:17" x14ac:dyDescent="0.25">
      <c r="B15" s="58"/>
      <c r="C15" s="65"/>
      <c r="D15" s="15"/>
      <c r="E15" s="15"/>
      <c r="F15" s="411"/>
      <c r="G15" s="17" t="str">
        <f t="shared" si="0"/>
        <v/>
      </c>
      <c r="H15" s="18"/>
      <c r="I15" s="61"/>
      <c r="J15" s="399"/>
      <c r="K15" s="420" t="str">
        <f t="shared" si="3"/>
        <v/>
      </c>
      <c r="L15" s="401" t="str">
        <f t="shared" si="4"/>
        <v/>
      </c>
    </row>
    <row r="16" spans="1:17" x14ac:dyDescent="0.25">
      <c r="B16" s="58" t="s">
        <v>56</v>
      </c>
      <c r="C16" s="65" t="s">
        <v>58</v>
      </c>
      <c r="D16" s="15" t="s">
        <v>11</v>
      </c>
      <c r="E16" s="24">
        <v>1</v>
      </c>
      <c r="F16" s="422">
        <v>75000</v>
      </c>
      <c r="G16" s="17">
        <f t="shared" si="0"/>
        <v>75000</v>
      </c>
      <c r="H16" s="57"/>
      <c r="I16" s="61"/>
      <c r="J16" s="400"/>
      <c r="K16" s="420" t="str">
        <f t="shared" si="3"/>
        <v/>
      </c>
      <c r="L16" s="401" t="str">
        <f t="shared" si="4"/>
        <v/>
      </c>
    </row>
    <row r="17" spans="2:12" x14ac:dyDescent="0.25">
      <c r="B17" s="58"/>
      <c r="C17" s="65"/>
      <c r="D17" s="15"/>
      <c r="E17" s="24"/>
      <c r="F17" s="422"/>
      <c r="G17" s="17" t="str">
        <f t="shared" si="0"/>
        <v/>
      </c>
      <c r="H17" s="57"/>
      <c r="I17" s="61"/>
      <c r="J17" s="399"/>
      <c r="K17" s="420" t="str">
        <f t="shared" si="3"/>
        <v/>
      </c>
      <c r="L17" s="401" t="str">
        <f t="shared" si="4"/>
        <v/>
      </c>
    </row>
    <row r="18" spans="2:12" x14ac:dyDescent="0.25">
      <c r="B18" s="58" t="s">
        <v>57</v>
      </c>
      <c r="C18" s="65" t="s">
        <v>59</v>
      </c>
      <c r="D18" s="15" t="s">
        <v>18</v>
      </c>
      <c r="E18" s="24">
        <v>10</v>
      </c>
      <c r="F18" s="422">
        <v>37000</v>
      </c>
      <c r="G18" s="17">
        <f t="shared" si="0"/>
        <v>370000</v>
      </c>
      <c r="H18" s="57"/>
      <c r="I18" s="61"/>
      <c r="J18" s="399"/>
      <c r="K18" s="420" t="str">
        <f t="shared" si="3"/>
        <v/>
      </c>
      <c r="L18" s="401" t="str">
        <f t="shared" si="4"/>
        <v/>
      </c>
    </row>
    <row r="19" spans="2:12" x14ac:dyDescent="0.25">
      <c r="B19" s="58"/>
      <c r="C19" s="65"/>
      <c r="D19" s="15"/>
      <c r="E19" s="24"/>
      <c r="F19" s="422"/>
      <c r="G19" s="17" t="str">
        <f t="shared" si="0"/>
        <v/>
      </c>
      <c r="H19" s="57"/>
      <c r="I19" s="61"/>
      <c r="J19" s="399"/>
      <c r="K19" s="420" t="str">
        <f t="shared" si="3"/>
        <v/>
      </c>
      <c r="L19" s="401" t="str">
        <f t="shared" si="4"/>
        <v/>
      </c>
    </row>
    <row r="20" spans="2:12" x14ac:dyDescent="0.25">
      <c r="B20" s="58"/>
      <c r="C20" s="65"/>
      <c r="D20" s="15"/>
      <c r="E20" s="24"/>
      <c r="F20" s="422"/>
      <c r="G20" s="17" t="str">
        <f t="shared" si="0"/>
        <v/>
      </c>
      <c r="H20" s="57"/>
      <c r="I20" s="61"/>
      <c r="J20" s="402"/>
      <c r="K20" s="420" t="str">
        <f t="shared" si="3"/>
        <v/>
      </c>
      <c r="L20" s="401" t="str">
        <f t="shared" si="4"/>
        <v/>
      </c>
    </row>
    <row r="21" spans="2:12" x14ac:dyDescent="0.25">
      <c r="B21" s="58"/>
      <c r="C21" s="65"/>
      <c r="D21" s="15"/>
      <c r="E21" s="24"/>
      <c r="F21" s="411"/>
      <c r="G21" s="17" t="str">
        <f t="shared" si="0"/>
        <v/>
      </c>
      <c r="H21" s="18"/>
      <c r="I21" s="61"/>
      <c r="J21" s="402"/>
      <c r="K21" s="420" t="str">
        <f t="shared" si="3"/>
        <v/>
      </c>
      <c r="L21" s="401" t="str">
        <f t="shared" si="4"/>
        <v/>
      </c>
    </row>
    <row r="22" spans="2:12" x14ac:dyDescent="0.25">
      <c r="B22" s="58"/>
      <c r="C22" s="65"/>
      <c r="D22" s="15"/>
      <c r="E22" s="24"/>
      <c r="F22" s="422"/>
      <c r="G22" s="17" t="str">
        <f t="shared" si="0"/>
        <v/>
      </c>
      <c r="H22" s="18"/>
      <c r="I22" s="61"/>
      <c r="J22" s="402"/>
      <c r="K22" s="420" t="str">
        <f t="shared" si="3"/>
        <v/>
      </c>
      <c r="L22" s="401" t="str">
        <f t="shared" si="4"/>
        <v/>
      </c>
    </row>
    <row r="23" spans="2:12" x14ac:dyDescent="0.25">
      <c r="B23" s="58"/>
      <c r="C23" s="65"/>
      <c r="D23" s="15"/>
      <c r="E23" s="24"/>
      <c r="F23" s="411"/>
      <c r="G23" s="17" t="str">
        <f t="shared" si="0"/>
        <v/>
      </c>
      <c r="H23" s="60"/>
      <c r="I23" s="61"/>
      <c r="J23" s="402"/>
      <c r="K23" s="420" t="str">
        <f t="shared" si="3"/>
        <v/>
      </c>
      <c r="L23" s="401" t="str">
        <f t="shared" si="4"/>
        <v/>
      </c>
    </row>
    <row r="24" spans="2:12" x14ac:dyDescent="0.25">
      <c r="B24" s="58"/>
      <c r="C24" s="65"/>
      <c r="D24" s="15"/>
      <c r="E24" s="15"/>
      <c r="F24" s="422"/>
      <c r="G24" s="17" t="str">
        <f t="shared" si="0"/>
        <v/>
      </c>
      <c r="H24" s="18"/>
      <c r="I24" s="61"/>
      <c r="J24" s="402"/>
      <c r="K24" s="420" t="str">
        <f t="shared" si="3"/>
        <v/>
      </c>
      <c r="L24" s="401" t="str">
        <f t="shared" si="4"/>
        <v/>
      </c>
    </row>
    <row r="25" spans="2:12" x14ac:dyDescent="0.25">
      <c r="B25" s="58"/>
      <c r="C25" s="65"/>
      <c r="D25" s="15"/>
      <c r="E25" s="15"/>
      <c r="F25" s="422"/>
      <c r="G25" s="17" t="str">
        <f t="shared" si="0"/>
        <v/>
      </c>
      <c r="H25" s="18"/>
      <c r="I25" s="61"/>
      <c r="J25" s="402"/>
      <c r="K25" s="420" t="str">
        <f t="shared" si="3"/>
        <v/>
      </c>
      <c r="L25" s="401" t="str">
        <f t="shared" si="4"/>
        <v/>
      </c>
    </row>
    <row r="26" spans="2:12" x14ac:dyDescent="0.25">
      <c r="B26" s="58"/>
      <c r="C26" s="65"/>
      <c r="D26" s="15"/>
      <c r="E26" s="15"/>
      <c r="F26" s="422"/>
      <c r="G26" s="17" t="str">
        <f t="shared" si="0"/>
        <v/>
      </c>
      <c r="H26" s="18"/>
      <c r="I26" s="61"/>
      <c r="J26" s="399"/>
      <c r="K26" s="420" t="str">
        <f t="shared" si="3"/>
        <v/>
      </c>
      <c r="L26" s="401" t="str">
        <f t="shared" si="4"/>
        <v/>
      </c>
    </row>
    <row r="27" spans="2:12" x14ac:dyDescent="0.25">
      <c r="B27" s="58"/>
      <c r="C27" s="65"/>
      <c r="D27" s="15"/>
      <c r="E27" s="15"/>
      <c r="F27" s="422"/>
      <c r="G27" s="17" t="str">
        <f t="shared" si="0"/>
        <v/>
      </c>
      <c r="H27" s="18"/>
      <c r="I27" s="61"/>
      <c r="J27" s="399"/>
      <c r="K27" s="420" t="str">
        <f t="shared" si="3"/>
        <v/>
      </c>
      <c r="L27" s="401" t="str">
        <f t="shared" si="4"/>
        <v/>
      </c>
    </row>
    <row r="28" spans="2:12" x14ac:dyDescent="0.25">
      <c r="B28" s="58"/>
      <c r="C28" s="65"/>
      <c r="D28" s="15"/>
      <c r="E28" s="15"/>
      <c r="F28" s="422"/>
      <c r="G28" s="17" t="str">
        <f t="shared" si="0"/>
        <v/>
      </c>
      <c r="H28" s="18"/>
      <c r="I28" s="61"/>
      <c r="J28" s="400"/>
      <c r="K28" s="420" t="str">
        <f t="shared" si="3"/>
        <v/>
      </c>
      <c r="L28" s="401" t="str">
        <f t="shared" si="4"/>
        <v/>
      </c>
    </row>
    <row r="29" spans="2:12" x14ac:dyDescent="0.25">
      <c r="B29" s="58"/>
      <c r="C29" s="65"/>
      <c r="D29" s="15"/>
      <c r="E29" s="15"/>
      <c r="F29" s="422"/>
      <c r="G29" s="17" t="str">
        <f t="shared" si="0"/>
        <v/>
      </c>
      <c r="H29" s="18"/>
      <c r="I29" s="61"/>
      <c r="J29" s="399"/>
      <c r="K29" s="420" t="str">
        <f t="shared" si="3"/>
        <v/>
      </c>
      <c r="L29" s="401" t="str">
        <f t="shared" si="4"/>
        <v/>
      </c>
    </row>
    <row r="30" spans="2:12" x14ac:dyDescent="0.25">
      <c r="B30" s="58"/>
      <c r="C30" s="65"/>
      <c r="D30" s="15"/>
      <c r="E30" s="15"/>
      <c r="F30" s="422"/>
      <c r="G30" s="17" t="str">
        <f t="shared" si="0"/>
        <v/>
      </c>
      <c r="H30" s="18"/>
      <c r="I30" s="61"/>
      <c r="J30" s="399"/>
      <c r="K30" s="420" t="str">
        <f t="shared" si="3"/>
        <v/>
      </c>
      <c r="L30" s="401" t="str">
        <f t="shared" si="4"/>
        <v/>
      </c>
    </row>
    <row r="31" spans="2:12" x14ac:dyDescent="0.25">
      <c r="B31" s="58"/>
      <c r="C31" s="65"/>
      <c r="D31" s="15"/>
      <c r="E31" s="15"/>
      <c r="F31" s="422"/>
      <c r="G31" s="17" t="str">
        <f t="shared" si="0"/>
        <v/>
      </c>
      <c r="H31" s="18"/>
      <c r="I31" s="61"/>
      <c r="J31" s="399"/>
      <c r="K31" s="420" t="str">
        <f t="shared" si="3"/>
        <v/>
      </c>
      <c r="L31" s="401" t="str">
        <f t="shared" si="4"/>
        <v/>
      </c>
    </row>
    <row r="32" spans="2:12" x14ac:dyDescent="0.25">
      <c r="B32" s="58"/>
      <c r="C32" s="65"/>
      <c r="D32" s="15"/>
      <c r="E32" s="15"/>
      <c r="F32" s="422"/>
      <c r="G32" s="17" t="str">
        <f t="shared" si="0"/>
        <v/>
      </c>
      <c r="H32" s="18"/>
      <c r="I32" s="61"/>
      <c r="J32" s="399"/>
      <c r="K32" s="420" t="str">
        <f t="shared" si="3"/>
        <v/>
      </c>
      <c r="L32" s="401" t="str">
        <f t="shared" si="4"/>
        <v/>
      </c>
    </row>
    <row r="33" spans="2:12" x14ac:dyDescent="0.25">
      <c r="B33" s="58"/>
      <c r="C33" s="65"/>
      <c r="D33" s="15"/>
      <c r="E33" s="15"/>
      <c r="F33" s="422"/>
      <c r="G33" s="17" t="str">
        <f t="shared" si="0"/>
        <v/>
      </c>
      <c r="H33" s="18"/>
      <c r="I33" s="61"/>
      <c r="J33" s="399"/>
      <c r="K33" s="420" t="str">
        <f t="shared" si="3"/>
        <v/>
      </c>
      <c r="L33" s="401" t="str">
        <f t="shared" si="4"/>
        <v/>
      </c>
    </row>
    <row r="34" spans="2:12" x14ac:dyDescent="0.25">
      <c r="B34" s="58"/>
      <c r="C34" s="65"/>
      <c r="D34" s="15"/>
      <c r="E34" s="15"/>
      <c r="F34" s="422"/>
      <c r="G34" s="17" t="str">
        <f t="shared" si="0"/>
        <v/>
      </c>
      <c r="H34" s="18"/>
      <c r="I34" s="61"/>
      <c r="J34" s="400"/>
      <c r="K34" s="420" t="str">
        <f t="shared" si="3"/>
        <v/>
      </c>
      <c r="L34" s="401" t="str">
        <f t="shared" si="4"/>
        <v/>
      </c>
    </row>
    <row r="35" spans="2:12" x14ac:dyDescent="0.25">
      <c r="B35" s="58"/>
      <c r="C35" s="65"/>
      <c r="D35" s="15"/>
      <c r="E35" s="15"/>
      <c r="F35" s="422"/>
      <c r="G35" s="17" t="str">
        <f t="shared" si="0"/>
        <v/>
      </c>
      <c r="H35" s="18"/>
      <c r="I35" s="61"/>
      <c r="J35" s="399"/>
      <c r="K35" s="420" t="str">
        <f t="shared" si="3"/>
        <v/>
      </c>
      <c r="L35" s="401" t="str">
        <f t="shared" si="4"/>
        <v/>
      </c>
    </row>
    <row r="36" spans="2:12" x14ac:dyDescent="0.25">
      <c r="B36" s="58"/>
      <c r="C36" s="65"/>
      <c r="D36" s="15"/>
      <c r="E36" s="15"/>
      <c r="F36" s="422"/>
      <c r="G36" s="17" t="str">
        <f t="shared" si="0"/>
        <v/>
      </c>
      <c r="H36" s="18"/>
      <c r="I36" s="61"/>
      <c r="J36" s="399"/>
      <c r="K36" s="420" t="str">
        <f t="shared" si="3"/>
        <v/>
      </c>
      <c r="L36" s="401" t="str">
        <f t="shared" si="4"/>
        <v/>
      </c>
    </row>
    <row r="37" spans="2:12" x14ac:dyDescent="0.25">
      <c r="B37" s="58"/>
      <c r="C37" s="65"/>
      <c r="D37" s="15"/>
      <c r="E37" s="15"/>
      <c r="F37" s="422"/>
      <c r="G37" s="17" t="str">
        <f t="shared" si="0"/>
        <v/>
      </c>
      <c r="H37" s="18"/>
      <c r="I37" s="61"/>
      <c r="J37" s="399"/>
      <c r="K37" s="420" t="str">
        <f t="shared" si="3"/>
        <v/>
      </c>
      <c r="L37" s="401" t="str">
        <f t="shared" si="4"/>
        <v/>
      </c>
    </row>
    <row r="38" spans="2:12" x14ac:dyDescent="0.25">
      <c r="B38" s="58"/>
      <c r="C38" s="65"/>
      <c r="D38" s="15"/>
      <c r="E38" s="15"/>
      <c r="F38" s="422"/>
      <c r="G38" s="17" t="str">
        <f t="shared" si="0"/>
        <v/>
      </c>
      <c r="H38" s="18"/>
      <c r="I38" s="61"/>
      <c r="J38" s="399"/>
      <c r="K38" s="420" t="str">
        <f t="shared" si="3"/>
        <v/>
      </c>
      <c r="L38" s="401" t="str">
        <f t="shared" si="4"/>
        <v/>
      </c>
    </row>
    <row r="39" spans="2:12" x14ac:dyDescent="0.25">
      <c r="B39" s="58"/>
      <c r="C39" s="65"/>
      <c r="D39" s="15"/>
      <c r="E39" s="15"/>
      <c r="F39" s="422"/>
      <c r="G39" s="17" t="str">
        <f t="shared" si="0"/>
        <v/>
      </c>
      <c r="H39" s="18"/>
      <c r="I39" s="61"/>
      <c r="J39" s="399"/>
      <c r="K39" s="420" t="str">
        <f t="shared" si="3"/>
        <v/>
      </c>
      <c r="L39" s="401" t="str">
        <f t="shared" si="4"/>
        <v/>
      </c>
    </row>
    <row r="40" spans="2:12" x14ac:dyDescent="0.25">
      <c r="B40" s="58"/>
      <c r="C40" s="65"/>
      <c r="D40" s="15"/>
      <c r="E40" s="15"/>
      <c r="F40" s="422"/>
      <c r="G40" s="17" t="str">
        <f t="shared" si="0"/>
        <v/>
      </c>
      <c r="H40" s="18"/>
      <c r="I40" s="61"/>
      <c r="J40" s="399"/>
      <c r="K40" s="420" t="str">
        <f t="shared" si="3"/>
        <v/>
      </c>
      <c r="L40" s="401" t="str">
        <f t="shared" si="4"/>
        <v/>
      </c>
    </row>
    <row r="41" spans="2:12" x14ac:dyDescent="0.25">
      <c r="B41" s="58"/>
      <c r="C41" s="65"/>
      <c r="D41" s="15"/>
      <c r="E41" s="15"/>
      <c r="F41" s="422"/>
      <c r="G41" s="17" t="str">
        <f t="shared" si="0"/>
        <v/>
      </c>
      <c r="H41" s="18"/>
      <c r="I41" s="61"/>
      <c r="J41" s="399"/>
      <c r="K41" s="420" t="str">
        <f t="shared" si="3"/>
        <v/>
      </c>
      <c r="L41" s="401" t="str">
        <f t="shared" si="4"/>
        <v/>
      </c>
    </row>
    <row r="42" spans="2:12" x14ac:dyDescent="0.25">
      <c r="B42" s="58"/>
      <c r="C42" s="65"/>
      <c r="D42" s="15"/>
      <c r="E42" s="15"/>
      <c r="F42" s="422"/>
      <c r="G42" s="17" t="str">
        <f t="shared" si="0"/>
        <v/>
      </c>
      <c r="H42" s="18"/>
      <c r="I42" s="61"/>
      <c r="J42" s="399"/>
      <c r="K42" s="420" t="str">
        <f t="shared" si="3"/>
        <v/>
      </c>
      <c r="L42" s="401" t="str">
        <f t="shared" si="4"/>
        <v/>
      </c>
    </row>
    <row r="43" spans="2:12" x14ac:dyDescent="0.25">
      <c r="B43" s="58"/>
      <c r="C43" s="65"/>
      <c r="D43" s="15"/>
      <c r="E43" s="15"/>
      <c r="F43" s="422"/>
      <c r="G43" s="17" t="str">
        <f t="shared" si="0"/>
        <v/>
      </c>
      <c r="H43" s="18"/>
      <c r="I43" s="61"/>
      <c r="J43" s="399"/>
      <c r="K43" s="420" t="str">
        <f t="shared" si="3"/>
        <v/>
      </c>
      <c r="L43" s="401" t="str">
        <f t="shared" si="4"/>
        <v/>
      </c>
    </row>
    <row r="44" spans="2:12" x14ac:dyDescent="0.25">
      <c r="B44" s="58"/>
      <c r="C44" s="65"/>
      <c r="D44" s="15"/>
      <c r="E44" s="15"/>
      <c r="F44" s="422"/>
      <c r="G44" s="17" t="str">
        <f t="shared" si="0"/>
        <v/>
      </c>
      <c r="H44" s="18"/>
      <c r="I44" s="61"/>
      <c r="J44" s="399"/>
      <c r="K44" s="420" t="str">
        <f t="shared" si="3"/>
        <v/>
      </c>
      <c r="L44" s="401" t="str">
        <f t="shared" si="4"/>
        <v/>
      </c>
    </row>
    <row r="45" spans="2:12" x14ac:dyDescent="0.25">
      <c r="B45" s="58"/>
      <c r="C45" s="65"/>
      <c r="D45" s="15"/>
      <c r="E45" s="15"/>
      <c r="F45" s="422"/>
      <c r="G45" s="17" t="str">
        <f t="shared" si="0"/>
        <v/>
      </c>
      <c r="H45" s="18"/>
      <c r="I45" s="61"/>
      <c r="J45" s="399"/>
      <c r="K45" s="420" t="str">
        <f t="shared" si="3"/>
        <v/>
      </c>
      <c r="L45" s="401" t="str">
        <f t="shared" si="4"/>
        <v/>
      </c>
    </row>
    <row r="46" spans="2:12" x14ac:dyDescent="0.25">
      <c r="B46" s="58"/>
      <c r="C46" s="65"/>
      <c r="D46" s="15"/>
      <c r="E46" s="15"/>
      <c r="F46" s="422"/>
      <c r="G46" s="17" t="str">
        <f t="shared" si="0"/>
        <v/>
      </c>
      <c r="H46" s="18"/>
      <c r="I46" s="61"/>
      <c r="J46" s="402"/>
      <c r="K46" s="420" t="str">
        <f t="shared" si="3"/>
        <v/>
      </c>
      <c r="L46" s="401" t="str">
        <f t="shared" si="4"/>
        <v/>
      </c>
    </row>
    <row r="47" spans="2:12" x14ac:dyDescent="0.25">
      <c r="B47" s="58"/>
      <c r="C47" s="65"/>
      <c r="D47" s="15"/>
      <c r="E47" s="15"/>
      <c r="F47" s="422"/>
      <c r="G47" s="17" t="str">
        <f t="shared" si="0"/>
        <v/>
      </c>
      <c r="H47" s="18"/>
      <c r="I47" s="61"/>
      <c r="J47" s="399"/>
      <c r="K47" s="420" t="str">
        <f t="shared" si="3"/>
        <v/>
      </c>
      <c r="L47" s="401" t="str">
        <f t="shared" si="4"/>
        <v/>
      </c>
    </row>
    <row r="48" spans="2:12" x14ac:dyDescent="0.25">
      <c r="B48" s="58"/>
      <c r="C48" s="65"/>
      <c r="D48" s="15"/>
      <c r="E48" s="15"/>
      <c r="F48" s="422"/>
      <c r="G48" s="17" t="str">
        <f t="shared" si="0"/>
        <v/>
      </c>
      <c r="H48" s="18"/>
      <c r="I48" s="61"/>
      <c r="J48" s="402"/>
      <c r="K48" s="420" t="str">
        <f t="shared" si="3"/>
        <v/>
      </c>
      <c r="L48" s="401" t="str">
        <f t="shared" si="4"/>
        <v/>
      </c>
    </row>
    <row r="49" spans="2:12" x14ac:dyDescent="0.25">
      <c r="B49" s="58"/>
      <c r="C49" s="65"/>
      <c r="D49" s="15"/>
      <c r="E49" s="15"/>
      <c r="F49" s="422"/>
      <c r="G49" s="17" t="str">
        <f t="shared" si="0"/>
        <v/>
      </c>
      <c r="H49" s="18"/>
      <c r="I49" s="62"/>
      <c r="J49" s="62"/>
      <c r="K49" s="420" t="str">
        <f t="shared" si="3"/>
        <v/>
      </c>
      <c r="L49" s="401" t="str">
        <f t="shared" si="4"/>
        <v/>
      </c>
    </row>
    <row r="50" spans="2:12" x14ac:dyDescent="0.25">
      <c r="B50" s="58"/>
      <c r="C50" s="65"/>
      <c r="D50" s="15"/>
      <c r="E50" s="15"/>
      <c r="F50" s="422"/>
      <c r="G50" s="17" t="str">
        <f t="shared" si="0"/>
        <v/>
      </c>
      <c r="H50" s="18"/>
      <c r="I50" s="62"/>
      <c r="J50" s="62"/>
      <c r="K50" s="420" t="str">
        <f t="shared" si="3"/>
        <v/>
      </c>
      <c r="L50" s="401" t="str">
        <f t="shared" si="4"/>
        <v/>
      </c>
    </row>
    <row r="51" spans="2:12" x14ac:dyDescent="0.25">
      <c r="B51" s="58"/>
      <c r="C51" s="65"/>
      <c r="D51" s="15"/>
      <c r="E51" s="15"/>
      <c r="F51" s="422"/>
      <c r="G51" s="17" t="str">
        <f t="shared" si="0"/>
        <v/>
      </c>
      <c r="H51" s="18"/>
      <c r="I51" s="62"/>
      <c r="J51" s="62"/>
      <c r="K51" s="420" t="str">
        <f t="shared" si="3"/>
        <v/>
      </c>
      <c r="L51" s="401" t="str">
        <f t="shared" si="4"/>
        <v/>
      </c>
    </row>
    <row r="52" spans="2:12" x14ac:dyDescent="0.25">
      <c r="B52" s="58"/>
      <c r="C52" s="65"/>
      <c r="D52" s="15"/>
      <c r="E52" s="15"/>
      <c r="F52" s="422"/>
      <c r="G52" s="17" t="str">
        <f t="shared" si="0"/>
        <v/>
      </c>
      <c r="H52" s="18"/>
      <c r="I52" s="62"/>
      <c r="J52" s="62"/>
      <c r="K52" s="420" t="str">
        <f t="shared" si="3"/>
        <v/>
      </c>
      <c r="L52" s="401" t="str">
        <f t="shared" si="4"/>
        <v/>
      </c>
    </row>
    <row r="53" spans="2:12" x14ac:dyDescent="0.25">
      <c r="B53" s="58"/>
      <c r="C53" s="65"/>
      <c r="D53" s="15"/>
      <c r="E53" s="15"/>
      <c r="F53" s="422"/>
      <c r="G53" s="17" t="str">
        <f t="shared" si="0"/>
        <v/>
      </c>
      <c r="H53" s="18"/>
      <c r="I53" s="62"/>
      <c r="J53" s="62"/>
      <c r="K53" s="420" t="str">
        <f t="shared" si="3"/>
        <v/>
      </c>
      <c r="L53" s="401" t="str">
        <f t="shared" si="4"/>
        <v/>
      </c>
    </row>
    <row r="54" spans="2:12" x14ac:dyDescent="0.25">
      <c r="B54" s="58"/>
      <c r="C54" s="65"/>
      <c r="D54" s="15"/>
      <c r="E54" s="15"/>
      <c r="F54" s="422"/>
      <c r="G54" s="17" t="str">
        <f t="shared" si="0"/>
        <v/>
      </c>
      <c r="H54" s="18"/>
      <c r="I54" s="62"/>
      <c r="J54" s="62"/>
      <c r="K54" s="420" t="str">
        <f t="shared" si="3"/>
        <v/>
      </c>
      <c r="L54" s="401" t="str">
        <f t="shared" si="4"/>
        <v/>
      </c>
    </row>
    <row r="55" spans="2:12" x14ac:dyDescent="0.25">
      <c r="B55" s="58"/>
      <c r="C55" s="65"/>
      <c r="D55" s="15"/>
      <c r="E55" s="15"/>
      <c r="F55" s="422"/>
      <c r="G55" s="17" t="str">
        <f t="shared" si="0"/>
        <v/>
      </c>
      <c r="H55" s="18"/>
      <c r="I55" s="62"/>
      <c r="J55" s="62"/>
      <c r="K55" s="420" t="str">
        <f t="shared" si="3"/>
        <v/>
      </c>
      <c r="L55" s="401" t="str">
        <f t="shared" si="4"/>
        <v/>
      </c>
    </row>
    <row r="56" spans="2:12" x14ac:dyDescent="0.25">
      <c r="B56" s="58"/>
      <c r="C56" s="65"/>
      <c r="D56" s="15"/>
      <c r="E56" s="15"/>
      <c r="F56" s="422"/>
      <c r="G56" s="17" t="str">
        <f t="shared" si="0"/>
        <v/>
      </c>
      <c r="H56" s="18"/>
      <c r="I56" s="62"/>
      <c r="J56" s="62"/>
      <c r="K56" s="420" t="str">
        <f t="shared" si="3"/>
        <v/>
      </c>
      <c r="L56" s="401" t="str">
        <f t="shared" si="4"/>
        <v/>
      </c>
    </row>
    <row r="57" spans="2:12" x14ac:dyDescent="0.25">
      <c r="B57" s="58"/>
      <c r="C57" s="65"/>
      <c r="D57" s="15"/>
      <c r="E57" s="15"/>
      <c r="F57" s="422"/>
      <c r="G57" s="17" t="str">
        <f t="shared" si="0"/>
        <v/>
      </c>
      <c r="H57" s="18"/>
      <c r="I57" s="62"/>
      <c r="J57" s="62"/>
      <c r="K57" s="420" t="str">
        <f t="shared" si="3"/>
        <v/>
      </c>
      <c r="L57" s="401" t="str">
        <f t="shared" si="4"/>
        <v/>
      </c>
    </row>
    <row r="58" spans="2:12" x14ac:dyDescent="0.25">
      <c r="B58" s="58"/>
      <c r="C58" s="65"/>
      <c r="D58" s="15"/>
      <c r="E58" s="15"/>
      <c r="F58" s="422"/>
      <c r="G58" s="17" t="str">
        <f t="shared" si="0"/>
        <v/>
      </c>
      <c r="H58" s="18"/>
      <c r="I58" s="62"/>
      <c r="J58" s="62"/>
      <c r="K58" s="420" t="str">
        <f t="shared" si="3"/>
        <v/>
      </c>
      <c r="L58" s="401" t="str">
        <f t="shared" si="4"/>
        <v/>
      </c>
    </row>
    <row r="59" spans="2:12" x14ac:dyDescent="0.25">
      <c r="B59" s="58"/>
      <c r="C59" s="65"/>
      <c r="D59" s="15"/>
      <c r="E59" s="15"/>
      <c r="F59" s="422"/>
      <c r="G59" s="17" t="str">
        <f t="shared" si="0"/>
        <v/>
      </c>
      <c r="H59" s="18"/>
      <c r="I59" s="62"/>
      <c r="J59" s="62"/>
      <c r="K59" s="420" t="str">
        <f t="shared" si="3"/>
        <v/>
      </c>
      <c r="L59" s="401" t="str">
        <f t="shared" si="4"/>
        <v/>
      </c>
    </row>
    <row r="60" spans="2:12" x14ac:dyDescent="0.25">
      <c r="B60" s="58"/>
      <c r="C60" s="65"/>
      <c r="D60" s="15"/>
      <c r="E60" s="15"/>
      <c r="F60" s="422"/>
      <c r="G60" s="17" t="str">
        <f t="shared" si="0"/>
        <v/>
      </c>
      <c r="H60" s="18"/>
      <c r="I60" s="62"/>
      <c r="J60" s="62"/>
      <c r="K60" s="420" t="str">
        <f t="shared" si="3"/>
        <v/>
      </c>
      <c r="L60" s="401" t="str">
        <f t="shared" si="4"/>
        <v/>
      </c>
    </row>
    <row r="61" spans="2:12" x14ac:dyDescent="0.25">
      <c r="B61" s="58"/>
      <c r="C61" s="65"/>
      <c r="D61" s="15"/>
      <c r="E61" s="15"/>
      <c r="F61" s="422"/>
      <c r="G61" s="17" t="str">
        <f t="shared" si="0"/>
        <v/>
      </c>
      <c r="H61" s="18"/>
      <c r="I61" s="61"/>
      <c r="J61" s="62"/>
      <c r="K61" s="420" t="str">
        <f t="shared" si="3"/>
        <v/>
      </c>
      <c r="L61" s="401" t="str">
        <f t="shared" si="4"/>
        <v/>
      </c>
    </row>
    <row r="62" spans="2:12" x14ac:dyDescent="0.25">
      <c r="B62" s="58"/>
      <c r="C62" s="65"/>
      <c r="D62" s="15"/>
      <c r="E62" s="15"/>
      <c r="F62" s="422"/>
      <c r="G62" s="17" t="str">
        <f t="shared" si="0"/>
        <v/>
      </c>
      <c r="H62" s="18"/>
      <c r="I62" s="62"/>
      <c r="J62" s="62"/>
      <c r="K62" s="420" t="str">
        <f t="shared" si="3"/>
        <v/>
      </c>
      <c r="L62" s="401" t="str">
        <f t="shared" si="4"/>
        <v/>
      </c>
    </row>
    <row r="63" spans="2:12" x14ac:dyDescent="0.25">
      <c r="B63" s="58"/>
      <c r="C63" s="65"/>
      <c r="D63" s="15"/>
      <c r="E63" s="15"/>
      <c r="F63" s="422"/>
      <c r="G63" s="17" t="str">
        <f t="shared" si="0"/>
        <v/>
      </c>
      <c r="H63" s="18"/>
      <c r="I63" s="62"/>
      <c r="J63" s="62"/>
      <c r="K63" s="420" t="str">
        <f t="shared" si="3"/>
        <v/>
      </c>
      <c r="L63" s="401" t="str">
        <f t="shared" si="4"/>
        <v/>
      </c>
    </row>
    <row r="64" spans="2:12" x14ac:dyDescent="0.25">
      <c r="B64" s="58"/>
      <c r="C64" s="65"/>
      <c r="D64" s="15"/>
      <c r="E64" s="15"/>
      <c r="F64" s="422"/>
      <c r="G64" s="17" t="str">
        <f t="shared" si="0"/>
        <v/>
      </c>
      <c r="H64" s="18"/>
      <c r="I64" s="62"/>
      <c r="J64" s="62"/>
      <c r="K64" s="420" t="str">
        <f t="shared" si="3"/>
        <v/>
      </c>
      <c r="L64" s="401" t="str">
        <f t="shared" si="4"/>
        <v/>
      </c>
    </row>
    <row r="65" spans="2:12" x14ac:dyDescent="0.25">
      <c r="B65" s="58"/>
      <c r="C65" s="65"/>
      <c r="D65" s="15"/>
      <c r="E65" s="15"/>
      <c r="F65" s="422"/>
      <c r="G65" s="17" t="str">
        <f t="shared" si="0"/>
        <v/>
      </c>
      <c r="H65" s="18"/>
      <c r="I65" s="62"/>
      <c r="J65" s="62"/>
      <c r="K65" s="62" t="str">
        <f t="shared" si="3"/>
        <v/>
      </c>
      <c r="L65" s="401" t="str">
        <f t="shared" si="4"/>
        <v/>
      </c>
    </row>
    <row r="66" spans="2:12" x14ac:dyDescent="0.25">
      <c r="B66" s="58"/>
      <c r="C66" s="65"/>
      <c r="D66" s="15"/>
      <c r="E66" s="15"/>
      <c r="F66" s="422"/>
      <c r="G66" s="17" t="str">
        <f t="shared" si="0"/>
        <v/>
      </c>
      <c r="H66" s="18"/>
      <c r="I66" s="62"/>
      <c r="J66" s="62"/>
      <c r="K66" s="62" t="str">
        <f t="shared" si="3"/>
        <v/>
      </c>
      <c r="L66" s="401" t="str">
        <f t="shared" si="4"/>
        <v/>
      </c>
    </row>
    <row r="67" spans="2:12" x14ac:dyDescent="0.25">
      <c r="B67" s="58"/>
      <c r="C67" s="65"/>
      <c r="D67" s="15"/>
      <c r="E67" s="15"/>
      <c r="F67" s="422"/>
      <c r="G67" s="17" t="str">
        <f t="shared" si="0"/>
        <v/>
      </c>
      <c r="H67" s="18"/>
      <c r="I67" s="62"/>
      <c r="J67" s="62"/>
      <c r="K67" s="62" t="str">
        <f t="shared" si="3"/>
        <v/>
      </c>
      <c r="L67" s="401" t="str">
        <f t="shared" si="4"/>
        <v/>
      </c>
    </row>
    <row r="68" spans="2:12" x14ac:dyDescent="0.25">
      <c r="B68" s="58"/>
      <c r="C68" s="65"/>
      <c r="D68" s="15"/>
      <c r="E68" s="15"/>
      <c r="F68" s="422"/>
      <c r="G68" s="17" t="str">
        <f t="shared" si="0"/>
        <v/>
      </c>
      <c r="H68" s="18"/>
      <c r="I68" s="62"/>
      <c r="J68" s="62"/>
      <c r="K68" s="62" t="str">
        <f t="shared" si="3"/>
        <v/>
      </c>
      <c r="L68" s="401" t="str">
        <f t="shared" si="4"/>
        <v/>
      </c>
    </row>
    <row r="69" spans="2:12" x14ac:dyDescent="0.25">
      <c r="B69" s="58"/>
      <c r="C69" s="65"/>
      <c r="D69" s="15"/>
      <c r="E69" s="15"/>
      <c r="F69" s="422"/>
      <c r="G69" s="17" t="str">
        <f t="shared" si="0"/>
        <v/>
      </c>
      <c r="H69" s="18"/>
      <c r="I69" s="62"/>
      <c r="J69" s="62"/>
      <c r="K69" s="62" t="str">
        <f t="shared" si="3"/>
        <v/>
      </c>
      <c r="L69" s="401" t="str">
        <f t="shared" si="4"/>
        <v/>
      </c>
    </row>
    <row r="70" spans="2:12" x14ac:dyDescent="0.25">
      <c r="B70" s="58"/>
      <c r="C70" s="65"/>
      <c r="D70" s="15"/>
      <c r="E70" s="15"/>
      <c r="F70" s="422"/>
      <c r="G70" s="17" t="str">
        <f t="shared" si="0"/>
        <v/>
      </c>
      <c r="H70" s="18"/>
      <c r="I70" s="62"/>
      <c r="J70" s="62"/>
      <c r="K70" s="62" t="str">
        <f t="shared" si="3"/>
        <v/>
      </c>
      <c r="L70" s="401" t="str">
        <f t="shared" si="4"/>
        <v/>
      </c>
    </row>
    <row r="71" spans="2:12" x14ac:dyDescent="0.25">
      <c r="B71" s="58"/>
      <c r="C71" s="65"/>
      <c r="D71" s="15"/>
      <c r="E71" s="15"/>
      <c r="F71" s="422"/>
      <c r="G71" s="17" t="str">
        <f t="shared" si="0"/>
        <v/>
      </c>
      <c r="H71" s="18"/>
      <c r="I71" s="62"/>
      <c r="J71" s="62"/>
      <c r="K71" s="62" t="str">
        <f t="shared" si="3"/>
        <v/>
      </c>
      <c r="L71" s="401" t="str">
        <f t="shared" si="4"/>
        <v/>
      </c>
    </row>
    <row r="72" spans="2:12" x14ac:dyDescent="0.25">
      <c r="B72" s="58"/>
      <c r="C72" s="65"/>
      <c r="D72" s="15"/>
      <c r="E72" s="15"/>
      <c r="F72" s="422"/>
      <c r="G72" s="17" t="str">
        <f t="shared" si="0"/>
        <v/>
      </c>
      <c r="H72" s="18"/>
      <c r="I72" s="62"/>
      <c r="J72" s="62"/>
      <c r="K72" s="62" t="str">
        <f t="shared" si="3"/>
        <v/>
      </c>
      <c r="L72" s="401" t="str">
        <f t="shared" si="4"/>
        <v/>
      </c>
    </row>
    <row r="73" spans="2:12" x14ac:dyDescent="0.25">
      <c r="B73" s="58"/>
      <c r="C73" s="65"/>
      <c r="D73" s="15"/>
      <c r="E73" s="15"/>
      <c r="F73" s="422"/>
      <c r="G73" s="17" t="str">
        <f t="shared" si="0"/>
        <v/>
      </c>
      <c r="H73" s="18"/>
      <c r="I73" s="62"/>
      <c r="J73" s="62"/>
      <c r="K73" s="62" t="str">
        <f t="shared" si="3"/>
        <v/>
      </c>
      <c r="L73" s="401" t="str">
        <f t="shared" si="4"/>
        <v/>
      </c>
    </row>
    <row r="74" spans="2:12" x14ac:dyDescent="0.25">
      <c r="B74" s="58"/>
      <c r="C74" s="65"/>
      <c r="D74" s="15"/>
      <c r="E74" s="15"/>
      <c r="F74" s="422"/>
      <c r="G74" s="17" t="str">
        <f t="shared" si="0"/>
        <v/>
      </c>
      <c r="H74" s="18"/>
      <c r="I74" s="62"/>
      <c r="J74" s="62"/>
      <c r="K74" s="62" t="str">
        <f t="shared" si="3"/>
        <v/>
      </c>
      <c r="L74" s="401" t="str">
        <f t="shared" si="4"/>
        <v/>
      </c>
    </row>
    <row r="75" spans="2:12" x14ac:dyDescent="0.25">
      <c r="B75" s="58"/>
      <c r="C75" s="65"/>
      <c r="D75" s="15"/>
      <c r="E75" s="15"/>
      <c r="F75" s="422"/>
      <c r="G75" s="17" t="str">
        <f t="shared" ref="G75" si="5">IF(D75="","",E75*F75)</f>
        <v/>
      </c>
      <c r="H75" s="18"/>
      <c r="I75" s="61"/>
      <c r="J75" s="696"/>
      <c r="K75" s="420" t="str">
        <f t="shared" ref="K75" si="6">IF(I75="","",E75*J75)</f>
        <v/>
      </c>
      <c r="L75" s="401" t="str">
        <f t="shared" ref="L75" si="7">IF(I75="","",IF(SUM(G75)=0,"",K75/G75))</f>
        <v/>
      </c>
    </row>
    <row r="76" spans="2:12" s="28" customFormat="1" ht="25" customHeight="1" x14ac:dyDescent="0.25">
      <c r="B76" s="29" t="str">
        <f>B12</f>
        <v>C1.3</v>
      </c>
      <c r="C76" s="30" t="s">
        <v>791</v>
      </c>
      <c r="D76" s="31"/>
      <c r="E76" s="32"/>
      <c r="F76" s="31"/>
      <c r="G76" s="33">
        <f>SUM(G11:G75)</f>
        <v>445000</v>
      </c>
      <c r="H76" s="34"/>
      <c r="I76" s="408"/>
      <c r="J76" s="406"/>
      <c r="K76" s="418">
        <f>SUM(K11:K75)</f>
        <v>0</v>
      </c>
      <c r="L76" s="407" t="str">
        <f t="shared" ref="L76" si="8">IF(I76="","",IF(SUM(G76)=0,"",K76/G76))</f>
        <v/>
      </c>
    </row>
  </sheetData>
  <mergeCells count="5">
    <mergeCell ref="E3:G3"/>
    <mergeCell ref="B6:F6"/>
    <mergeCell ref="G6:G9"/>
    <mergeCell ref="B7:F7"/>
    <mergeCell ref="B8:F8"/>
  </mergeCells>
  <conditionalFormatting sqref="F11:G76">
    <cfRule type="expression" dxfId="1" priority="1">
      <formula>_Show_Price=FALSE</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4"/>
  <dimension ref="A1:M215"/>
  <sheetViews>
    <sheetView view="pageBreakPreview" topLeftCell="A7" zoomScaleNormal="125" zoomScaleSheetLayoutView="100" zoomScalePageLayoutView="125" workbookViewId="0">
      <selection activeCell="B26" sqref="B26:G26"/>
    </sheetView>
  </sheetViews>
  <sheetFormatPr defaultColWidth="6.81640625" defaultRowHeight="12.5" x14ac:dyDescent="0.25"/>
  <cols>
    <col min="1" max="1" width="0.81640625" style="1" customWidth="1"/>
    <col min="2" max="2" width="11.7265625" style="35" customWidth="1"/>
    <col min="3" max="3" width="45.7265625" style="3" customWidth="1"/>
    <col min="4" max="4" width="13.7265625" style="4" customWidth="1"/>
    <col min="5" max="5" width="15.7265625" style="4" customWidth="1"/>
    <col min="6" max="6" width="15.7265625" style="1" customWidth="1"/>
    <col min="7" max="7" width="15.7265625" style="5" customWidth="1"/>
    <col min="8" max="8" width="0.81640625" style="5" customWidth="1"/>
    <col min="9" max="9" width="6.81640625" style="1"/>
    <col min="10" max="10" width="13.54296875" style="1" customWidth="1"/>
    <col min="11" max="11" width="14.1796875" style="1" customWidth="1"/>
    <col min="12" max="12" width="13.7265625" style="1" customWidth="1"/>
    <col min="13" max="13" width="13.54296875" style="1" customWidth="1"/>
    <col min="14" max="16384" width="6.81640625" style="1"/>
  </cols>
  <sheetData>
    <row r="1" spans="1:13" s="250" customFormat="1" ht="11.5" x14ac:dyDescent="0.25">
      <c r="A1" s="242"/>
      <c r="B1" s="243"/>
      <c r="C1" s="244" t="s">
        <v>993</v>
      </c>
      <c r="D1" s="245"/>
      <c r="E1" s="246" t="s">
        <v>994</v>
      </c>
      <c r="F1" s="244">
        <v>1</v>
      </c>
      <c r="G1" s="247">
        <f>MAX(G2:G228)</f>
        <v>0</v>
      </c>
      <c r="H1" s="247">
        <f>MAX(H2:H228)</f>
        <v>0</v>
      </c>
      <c r="I1" s="248"/>
      <c r="J1" s="249"/>
      <c r="K1" s="247">
        <f>MAX(K2:K228)</f>
        <v>0</v>
      </c>
      <c r="L1" s="249"/>
    </row>
    <row r="2" spans="1:13" s="250" customFormat="1" ht="11.5" x14ac:dyDescent="0.25">
      <c r="B2" s="251" t="s">
        <v>995</v>
      </c>
      <c r="C2" s="252" t="s">
        <v>1</v>
      </c>
      <c r="D2" s="252" t="s">
        <v>2</v>
      </c>
      <c r="E2" s="252" t="s">
        <v>3</v>
      </c>
      <c r="F2" s="252" t="s">
        <v>4</v>
      </c>
      <c r="G2" s="252" t="s">
        <v>5</v>
      </c>
      <c r="H2" s="254"/>
      <c r="I2" s="398" t="s">
        <v>996</v>
      </c>
      <c r="J2" s="253" t="s">
        <v>997</v>
      </c>
      <c r="K2" s="253" t="s">
        <v>998</v>
      </c>
      <c r="L2" s="253" t="s">
        <v>999</v>
      </c>
      <c r="M2" s="253" t="s">
        <v>1000</v>
      </c>
    </row>
    <row r="3" spans="1:13" ht="13" x14ac:dyDescent="0.25">
      <c r="B3" s="2" t="str">
        <f>Client1</f>
        <v>Province of KwaZulu-Natal</v>
      </c>
      <c r="E3" s="1124" t="str">
        <f>"Contract No. "&amp;ContractNo</f>
        <v>Contract No. ZNB 00399/00000/HOD/INF/21/T</v>
      </c>
      <c r="F3" s="1124"/>
      <c r="G3" s="1124"/>
    </row>
    <row r="4" spans="1:13" ht="13" x14ac:dyDescent="0.25">
      <c r="B4" s="87" t="str">
        <f>Client2</f>
        <v>Department of Transport</v>
      </c>
    </row>
    <row r="5" spans="1:13" x14ac:dyDescent="0.25">
      <c r="B5" s="77"/>
      <c r="C5" s="77"/>
      <c r="D5" s="78"/>
      <c r="E5" s="78"/>
      <c r="F5" s="79"/>
      <c r="G5" s="89"/>
    </row>
    <row r="6" spans="1:13" ht="13" x14ac:dyDescent="0.25">
      <c r="B6" s="1112" t="s">
        <v>1773</v>
      </c>
      <c r="C6" s="1113"/>
      <c r="D6" s="1113"/>
      <c r="E6" s="1113"/>
      <c r="F6" s="1113"/>
      <c r="G6" s="1121" t="str">
        <f>"CHAPTER "&amp;B14</f>
        <v>CHAPTER C13.1</v>
      </c>
      <c r="H6" s="6"/>
    </row>
    <row r="7" spans="1:13"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22"/>
      <c r="H7" s="8"/>
    </row>
    <row r="8" spans="1:13" ht="12.75" customHeight="1" x14ac:dyDescent="0.25">
      <c r="B8" s="1117"/>
      <c r="C8" s="1118"/>
      <c r="D8" s="1118"/>
      <c r="E8" s="1118"/>
      <c r="F8" s="1118"/>
      <c r="G8" s="1122"/>
      <c r="H8" s="8"/>
    </row>
    <row r="9" spans="1:13" ht="12.75" customHeight="1" x14ac:dyDescent="0.25">
      <c r="B9" s="1117"/>
      <c r="C9" s="1118"/>
      <c r="D9" s="1118"/>
      <c r="E9" s="1118"/>
      <c r="F9" s="1118"/>
      <c r="G9" s="1122"/>
      <c r="H9" s="8"/>
    </row>
    <row r="10" spans="1:13" ht="12.75" customHeight="1" x14ac:dyDescent="0.25">
      <c r="B10" s="656" t="s">
        <v>1790</v>
      </c>
      <c r="C10" s="641"/>
      <c r="D10" s="12"/>
      <c r="E10" s="641"/>
      <c r="F10" s="641"/>
      <c r="G10" s="1122"/>
      <c r="H10" s="8"/>
    </row>
    <row r="11" spans="1:13" ht="7.5" customHeight="1" x14ac:dyDescent="0.25">
      <c r="B11" s="611"/>
      <c r="C11" s="612"/>
      <c r="D11" s="679"/>
      <c r="E11" s="612"/>
      <c r="F11" s="612"/>
      <c r="G11" s="1123"/>
      <c r="H11" s="8"/>
    </row>
    <row r="12" spans="1:13" s="9" customFormat="1" ht="25" customHeight="1" x14ac:dyDescent="0.25">
      <c r="B12" s="10" t="s">
        <v>0</v>
      </c>
      <c r="C12" s="11" t="s">
        <v>1</v>
      </c>
      <c r="D12" s="11" t="s">
        <v>2</v>
      </c>
      <c r="E12" s="11" t="s">
        <v>3</v>
      </c>
      <c r="F12" s="11" t="s">
        <v>4</v>
      </c>
      <c r="G12" s="11" t="s">
        <v>5</v>
      </c>
      <c r="H12" s="12"/>
      <c r="I12" s="408" t="s">
        <v>996</v>
      </c>
      <c r="J12" s="253" t="s">
        <v>997</v>
      </c>
      <c r="K12" s="253" t="s">
        <v>998</v>
      </c>
      <c r="L12" s="253" t="s">
        <v>999</v>
      </c>
    </row>
    <row r="13" spans="1:13" x14ac:dyDescent="0.25">
      <c r="B13" s="46"/>
      <c r="C13" s="14"/>
      <c r="D13" s="15"/>
      <c r="E13" s="15"/>
      <c r="F13" s="411"/>
      <c r="G13" s="17" t="str">
        <f t="shared" ref="G13:G80" si="0">IF(D13="","",E13*F13)</f>
        <v/>
      </c>
      <c r="H13" s="18"/>
      <c r="I13" s="61"/>
      <c r="J13" s="399"/>
      <c r="K13" s="420" t="str">
        <f t="shared" ref="K13" si="1">IF(I13="","",E13*J13)</f>
        <v/>
      </c>
      <c r="L13" s="401" t="str">
        <f t="shared" ref="L13" si="2">IF(I13="","",IF(SUM(G13)=0,"",K13/G13))</f>
        <v/>
      </c>
    </row>
    <row r="14" spans="1:13" ht="13" x14ac:dyDescent="0.25">
      <c r="B14" s="73" t="s">
        <v>277</v>
      </c>
      <c r="C14" s="19" t="s">
        <v>278</v>
      </c>
      <c r="D14" s="15"/>
      <c r="E14" s="15"/>
      <c r="F14" s="411"/>
      <c r="G14" s="17" t="str">
        <f t="shared" si="0"/>
        <v/>
      </c>
      <c r="H14" s="18"/>
      <c r="I14" s="61"/>
      <c r="J14" s="399"/>
      <c r="K14" s="420" t="str">
        <f t="shared" ref="K14:K77" si="3">IF(I14="","",E14*J14)</f>
        <v/>
      </c>
      <c r="L14" s="401" t="str">
        <f t="shared" ref="L14:L77" si="4">IF(I14="","",IF(SUM(G14)=0,"",K14/G14))</f>
        <v/>
      </c>
    </row>
    <row r="15" spans="1:13" x14ac:dyDescent="0.25">
      <c r="B15" s="46"/>
      <c r="C15" s="14"/>
      <c r="D15" s="15"/>
      <c r="E15" s="15"/>
      <c r="F15" s="411"/>
      <c r="G15" s="17" t="str">
        <f t="shared" si="0"/>
        <v/>
      </c>
      <c r="H15" s="18"/>
      <c r="I15" s="61"/>
      <c r="J15" s="399"/>
      <c r="K15" s="420" t="str">
        <f t="shared" si="3"/>
        <v/>
      </c>
      <c r="L15" s="401" t="str">
        <f t="shared" si="4"/>
        <v/>
      </c>
    </row>
    <row r="16" spans="1:13" ht="13" x14ac:dyDescent="0.25">
      <c r="B16" s="73" t="s">
        <v>292</v>
      </c>
      <c r="C16" s="19" t="s">
        <v>291</v>
      </c>
      <c r="D16" s="15"/>
      <c r="E16" s="15"/>
      <c r="F16" s="422"/>
      <c r="G16" s="17" t="str">
        <f t="shared" si="0"/>
        <v/>
      </c>
      <c r="H16" s="18"/>
      <c r="I16" s="61"/>
      <c r="J16" s="399"/>
      <c r="K16" s="420" t="str">
        <f t="shared" si="3"/>
        <v/>
      </c>
      <c r="L16" s="401" t="str">
        <f t="shared" si="4"/>
        <v/>
      </c>
    </row>
    <row r="17" spans="2:12" x14ac:dyDescent="0.25">
      <c r="B17" s="46"/>
      <c r="C17" s="14"/>
      <c r="D17" s="15"/>
      <c r="E17" s="15"/>
      <c r="F17" s="422"/>
      <c r="G17" s="17" t="str">
        <f t="shared" si="0"/>
        <v/>
      </c>
      <c r="H17" s="18"/>
      <c r="I17" s="61"/>
      <c r="J17" s="399"/>
      <c r="K17" s="420" t="str">
        <f t="shared" si="3"/>
        <v/>
      </c>
      <c r="L17" s="401" t="str">
        <f t="shared" si="4"/>
        <v/>
      </c>
    </row>
    <row r="18" spans="2:12" x14ac:dyDescent="0.25">
      <c r="B18" s="46" t="s">
        <v>293</v>
      </c>
      <c r="C18" s="14" t="s">
        <v>295</v>
      </c>
      <c r="D18" s="15" t="s">
        <v>11</v>
      </c>
      <c r="E18" s="15">
        <v>0</v>
      </c>
      <c r="F18" s="422">
        <v>15000</v>
      </c>
      <c r="G18" s="17">
        <f t="shared" si="0"/>
        <v>0</v>
      </c>
      <c r="H18" s="57"/>
      <c r="I18" s="61" t="s">
        <v>1721</v>
      </c>
      <c r="J18" s="402">
        <f>IF(D18="","",ROUND(Labour_perc_structures*F18,4))</f>
        <v>435</v>
      </c>
      <c r="K18" s="420">
        <f t="shared" si="3"/>
        <v>0</v>
      </c>
      <c r="L18" s="401" t="str">
        <f t="shared" si="4"/>
        <v/>
      </c>
    </row>
    <row r="19" spans="2:12" x14ac:dyDescent="0.25">
      <c r="B19" s="46"/>
      <c r="C19" s="14"/>
      <c r="D19" s="61"/>
      <c r="E19" s="61"/>
      <c r="F19" s="422"/>
      <c r="G19" s="17" t="str">
        <f t="shared" si="0"/>
        <v/>
      </c>
      <c r="H19" s="57"/>
      <c r="I19" s="61"/>
      <c r="J19" s="399"/>
      <c r="K19" s="420" t="str">
        <f t="shared" si="3"/>
        <v/>
      </c>
      <c r="L19" s="401" t="str">
        <f t="shared" si="4"/>
        <v/>
      </c>
    </row>
    <row r="20" spans="2:12" x14ac:dyDescent="0.25">
      <c r="B20" s="46" t="s">
        <v>294</v>
      </c>
      <c r="C20" s="14" t="s">
        <v>296</v>
      </c>
      <c r="D20" s="15" t="s">
        <v>11</v>
      </c>
      <c r="E20" s="15">
        <v>0</v>
      </c>
      <c r="F20" s="422">
        <v>15000</v>
      </c>
      <c r="G20" s="17">
        <f t="shared" si="0"/>
        <v>0</v>
      </c>
      <c r="H20" s="57"/>
      <c r="I20" s="61" t="s">
        <v>1721</v>
      </c>
      <c r="J20" s="402">
        <f>IF(D20="","",ROUND(Labour_perc_structures*F20,4))</f>
        <v>435</v>
      </c>
      <c r="K20" s="420">
        <f t="shared" ref="K20" si="5">IF(I20="","",E20*J20)</f>
        <v>0</v>
      </c>
      <c r="L20" s="401" t="str">
        <f t="shared" ref="L20" si="6">IF(I20="","",IF(SUM(G20)=0,"",K20/G20))</f>
        <v/>
      </c>
    </row>
    <row r="21" spans="2:12" x14ac:dyDescent="0.25">
      <c r="B21" s="46"/>
      <c r="C21" s="14"/>
      <c r="D21" s="61"/>
      <c r="E21" s="61"/>
      <c r="F21" s="422"/>
      <c r="G21" s="17" t="str">
        <f t="shared" si="0"/>
        <v/>
      </c>
      <c r="H21" s="57"/>
      <c r="I21" s="61"/>
      <c r="J21" s="399"/>
      <c r="K21" s="420" t="str">
        <f t="shared" si="3"/>
        <v/>
      </c>
      <c r="L21" s="401" t="str">
        <f t="shared" si="4"/>
        <v/>
      </c>
    </row>
    <row r="22" spans="2:12" x14ac:dyDescent="0.25">
      <c r="B22" s="46"/>
      <c r="C22" s="238"/>
      <c r="D22" s="15"/>
      <c r="E22" s="61"/>
      <c r="F22" s="422"/>
      <c r="G22" s="17" t="str">
        <f t="shared" si="0"/>
        <v/>
      </c>
      <c r="H22" s="18"/>
      <c r="I22" s="61"/>
      <c r="J22" s="402"/>
      <c r="K22" s="420" t="str">
        <f t="shared" si="3"/>
        <v/>
      </c>
      <c r="L22" s="401" t="str">
        <f t="shared" si="4"/>
        <v/>
      </c>
    </row>
    <row r="23" spans="2:12" x14ac:dyDescent="0.25">
      <c r="B23" s="46"/>
      <c r="C23" s="14"/>
      <c r="D23" s="15"/>
      <c r="E23" s="24"/>
      <c r="F23" s="423"/>
      <c r="G23" s="17" t="str">
        <f t="shared" si="0"/>
        <v/>
      </c>
      <c r="H23" s="18"/>
      <c r="I23" s="61"/>
      <c r="J23" s="402"/>
      <c r="K23" s="420" t="str">
        <f t="shared" si="3"/>
        <v/>
      </c>
      <c r="L23" s="401" t="str">
        <f t="shared" si="4"/>
        <v/>
      </c>
    </row>
    <row r="24" spans="2:12" x14ac:dyDescent="0.25">
      <c r="B24" s="46"/>
      <c r="C24" s="14"/>
      <c r="D24" s="15"/>
      <c r="E24" s="24"/>
      <c r="F24" s="421"/>
      <c r="G24" s="17" t="str">
        <f t="shared" si="0"/>
        <v/>
      </c>
      <c r="H24" s="63"/>
      <c r="I24" s="61"/>
      <c r="J24" s="402"/>
      <c r="K24" s="420" t="str">
        <f t="shared" si="3"/>
        <v/>
      </c>
      <c r="L24" s="401" t="str">
        <f t="shared" si="4"/>
        <v/>
      </c>
    </row>
    <row r="25" spans="2:12" x14ac:dyDescent="0.25">
      <c r="B25" s="46"/>
      <c r="C25" s="1"/>
      <c r="D25" s="15"/>
      <c r="E25" s="24"/>
      <c r="F25" s="421"/>
      <c r="G25" s="17" t="str">
        <f t="shared" si="0"/>
        <v/>
      </c>
      <c r="H25" s="63"/>
      <c r="I25" s="61"/>
      <c r="J25" s="402"/>
      <c r="K25" s="420" t="str">
        <f t="shared" si="3"/>
        <v/>
      </c>
      <c r="L25" s="401" t="str">
        <f t="shared" si="4"/>
        <v/>
      </c>
    </row>
    <row r="26" spans="2:12" x14ac:dyDescent="0.25">
      <c r="B26" s="46"/>
      <c r="C26" s="14"/>
      <c r="D26" s="15"/>
      <c r="E26" s="24"/>
      <c r="F26" s="422"/>
      <c r="G26" s="17" t="str">
        <f t="shared" si="0"/>
        <v/>
      </c>
      <c r="H26" s="63"/>
      <c r="I26" s="61"/>
      <c r="J26" s="402"/>
      <c r="K26" s="420" t="str">
        <f t="shared" si="3"/>
        <v/>
      </c>
      <c r="L26" s="401" t="str">
        <f t="shared" si="4"/>
        <v/>
      </c>
    </row>
    <row r="27" spans="2:12" x14ac:dyDescent="0.25">
      <c r="B27" s="46"/>
      <c r="C27" s="14"/>
      <c r="D27" s="15"/>
      <c r="E27" s="24"/>
      <c r="F27" s="421"/>
      <c r="G27" s="17" t="str">
        <f t="shared" si="0"/>
        <v/>
      </c>
      <c r="H27" s="63"/>
      <c r="I27" s="61"/>
      <c r="J27" s="402"/>
      <c r="K27" s="420" t="str">
        <f t="shared" si="3"/>
        <v/>
      </c>
      <c r="L27" s="401" t="str">
        <f t="shared" si="4"/>
        <v/>
      </c>
    </row>
    <row r="28" spans="2:12" x14ac:dyDescent="0.25">
      <c r="B28" s="46"/>
      <c r="C28" s="14"/>
      <c r="D28" s="15"/>
      <c r="E28" s="24"/>
      <c r="F28" s="423"/>
      <c r="G28" s="17" t="str">
        <f t="shared" si="0"/>
        <v/>
      </c>
      <c r="H28" s="63"/>
      <c r="I28" s="61"/>
      <c r="J28" s="399"/>
      <c r="K28" s="420" t="str">
        <f t="shared" si="3"/>
        <v/>
      </c>
      <c r="L28" s="401" t="str">
        <f t="shared" si="4"/>
        <v/>
      </c>
    </row>
    <row r="29" spans="2:12" x14ac:dyDescent="0.25">
      <c r="B29" s="46"/>
      <c r="C29" s="14"/>
      <c r="D29" s="15"/>
      <c r="E29" s="24"/>
      <c r="F29" s="421"/>
      <c r="G29" s="17" t="str">
        <f t="shared" si="0"/>
        <v/>
      </c>
      <c r="H29" s="63"/>
      <c r="I29" s="61"/>
      <c r="J29" s="399"/>
      <c r="K29" s="420" t="str">
        <f t="shared" si="3"/>
        <v/>
      </c>
      <c r="L29" s="401" t="str">
        <f t="shared" si="4"/>
        <v/>
      </c>
    </row>
    <row r="30" spans="2:12" x14ac:dyDescent="0.25">
      <c r="B30" s="46"/>
      <c r="C30" s="14"/>
      <c r="D30" s="15"/>
      <c r="E30" s="24"/>
      <c r="F30" s="422"/>
      <c r="G30" s="17" t="str">
        <f t="shared" si="0"/>
        <v/>
      </c>
      <c r="H30" s="57"/>
      <c r="I30" s="61"/>
      <c r="J30" s="400"/>
      <c r="K30" s="420" t="str">
        <f t="shared" si="3"/>
        <v/>
      </c>
      <c r="L30" s="401" t="str">
        <f t="shared" si="4"/>
        <v/>
      </c>
    </row>
    <row r="31" spans="2:12" x14ac:dyDescent="0.25">
      <c r="B31" s="46"/>
      <c r="C31" s="14"/>
      <c r="D31" s="15"/>
      <c r="E31" s="24"/>
      <c r="F31" s="411"/>
      <c r="G31" s="17" t="str">
        <f t="shared" si="0"/>
        <v/>
      </c>
      <c r="H31" s="18"/>
      <c r="I31" s="61"/>
      <c r="J31" s="399"/>
      <c r="K31" s="420" t="str">
        <f t="shared" si="3"/>
        <v/>
      </c>
      <c r="L31" s="401" t="str">
        <f t="shared" si="4"/>
        <v/>
      </c>
    </row>
    <row r="32" spans="2:12" s="36" customFormat="1" x14ac:dyDescent="0.25">
      <c r="B32" s="46"/>
      <c r="C32" s="14"/>
      <c r="D32" s="15"/>
      <c r="E32" s="24"/>
      <c r="F32" s="411"/>
      <c r="G32" s="17" t="str">
        <f t="shared" si="0"/>
        <v/>
      </c>
      <c r="H32" s="18"/>
      <c r="I32" s="61"/>
      <c r="J32" s="399"/>
      <c r="K32" s="420" t="str">
        <f t="shared" si="3"/>
        <v/>
      </c>
      <c r="L32" s="401" t="str">
        <f t="shared" si="4"/>
        <v/>
      </c>
    </row>
    <row r="33" spans="2:12" s="36" customFormat="1" x14ac:dyDescent="0.25">
      <c r="B33" s="46"/>
      <c r="C33" s="14"/>
      <c r="D33" s="15"/>
      <c r="E33" s="24"/>
      <c r="F33" s="411"/>
      <c r="G33" s="17" t="str">
        <f t="shared" si="0"/>
        <v/>
      </c>
      <c r="H33" s="18"/>
      <c r="I33" s="61"/>
      <c r="J33" s="399"/>
      <c r="K33" s="420" t="str">
        <f t="shared" si="3"/>
        <v/>
      </c>
      <c r="L33" s="401" t="str">
        <f t="shared" si="4"/>
        <v/>
      </c>
    </row>
    <row r="34" spans="2:12" s="36" customFormat="1" x14ac:dyDescent="0.25">
      <c r="B34" s="46"/>
      <c r="C34" s="14"/>
      <c r="D34" s="15"/>
      <c r="E34" s="24"/>
      <c r="F34" s="411"/>
      <c r="G34" s="17" t="str">
        <f t="shared" si="0"/>
        <v/>
      </c>
      <c r="H34" s="18"/>
      <c r="I34" s="61"/>
      <c r="J34" s="399"/>
      <c r="K34" s="420" t="str">
        <f t="shared" si="3"/>
        <v/>
      </c>
      <c r="L34" s="401" t="str">
        <f t="shared" si="4"/>
        <v/>
      </c>
    </row>
    <row r="35" spans="2:12" s="36" customFormat="1" x14ac:dyDescent="0.25">
      <c r="B35" s="46"/>
      <c r="C35" s="14"/>
      <c r="D35" s="15"/>
      <c r="E35" s="24"/>
      <c r="F35" s="411"/>
      <c r="G35" s="17" t="str">
        <f t="shared" si="0"/>
        <v/>
      </c>
      <c r="H35" s="18"/>
      <c r="I35" s="61"/>
      <c r="J35" s="399"/>
      <c r="K35" s="420" t="str">
        <f t="shared" si="3"/>
        <v/>
      </c>
      <c r="L35" s="401" t="str">
        <f t="shared" si="4"/>
        <v/>
      </c>
    </row>
    <row r="36" spans="2:12" x14ac:dyDescent="0.25">
      <c r="B36" s="46"/>
      <c r="C36" s="14"/>
      <c r="D36" s="15"/>
      <c r="E36" s="24"/>
      <c r="F36" s="422"/>
      <c r="G36" s="17" t="str">
        <f t="shared" si="0"/>
        <v/>
      </c>
      <c r="H36" s="57"/>
      <c r="I36" s="61"/>
      <c r="J36" s="400"/>
      <c r="K36" s="420" t="str">
        <f t="shared" si="3"/>
        <v/>
      </c>
      <c r="L36" s="401" t="str">
        <f t="shared" si="4"/>
        <v/>
      </c>
    </row>
    <row r="37" spans="2:12" x14ac:dyDescent="0.25">
      <c r="B37" s="46"/>
      <c r="C37" s="14"/>
      <c r="D37" s="15"/>
      <c r="E37" s="24"/>
      <c r="F37" s="411"/>
      <c r="G37" s="17" t="str">
        <f t="shared" si="0"/>
        <v/>
      </c>
      <c r="H37" s="18"/>
      <c r="I37" s="61"/>
      <c r="J37" s="399"/>
      <c r="K37" s="420" t="str">
        <f t="shared" si="3"/>
        <v/>
      </c>
      <c r="L37" s="401" t="str">
        <f t="shared" si="4"/>
        <v/>
      </c>
    </row>
    <row r="38" spans="2:12" x14ac:dyDescent="0.25">
      <c r="B38" s="46"/>
      <c r="C38" s="14"/>
      <c r="D38" s="15"/>
      <c r="E38" s="24"/>
      <c r="F38" s="411"/>
      <c r="G38" s="17" t="str">
        <f t="shared" si="0"/>
        <v/>
      </c>
      <c r="H38" s="18"/>
      <c r="I38" s="61"/>
      <c r="J38" s="399"/>
      <c r="K38" s="420" t="str">
        <f t="shared" si="3"/>
        <v/>
      </c>
      <c r="L38" s="401" t="str">
        <f t="shared" si="4"/>
        <v/>
      </c>
    </row>
    <row r="39" spans="2:12" x14ac:dyDescent="0.25">
      <c r="B39" s="46"/>
      <c r="C39" s="14"/>
      <c r="D39" s="15"/>
      <c r="E39" s="24"/>
      <c r="F39" s="423"/>
      <c r="G39" s="17" t="str">
        <f t="shared" si="0"/>
        <v/>
      </c>
      <c r="H39" s="18"/>
      <c r="I39" s="61"/>
      <c r="J39" s="399"/>
      <c r="K39" s="420" t="str">
        <f t="shared" si="3"/>
        <v/>
      </c>
      <c r="L39" s="401" t="str">
        <f t="shared" si="4"/>
        <v/>
      </c>
    </row>
    <row r="40" spans="2:12" x14ac:dyDescent="0.25">
      <c r="B40" s="46"/>
      <c r="C40" s="14"/>
      <c r="D40" s="15"/>
      <c r="E40" s="24"/>
      <c r="F40" s="423"/>
      <c r="G40" s="17" t="str">
        <f t="shared" si="0"/>
        <v/>
      </c>
      <c r="H40" s="18"/>
      <c r="I40" s="61"/>
      <c r="J40" s="399"/>
      <c r="K40" s="420" t="str">
        <f t="shared" si="3"/>
        <v/>
      </c>
      <c r="L40" s="401" t="str">
        <f t="shared" si="4"/>
        <v/>
      </c>
    </row>
    <row r="41" spans="2:12" x14ac:dyDescent="0.25">
      <c r="B41" s="46"/>
      <c r="C41" s="14"/>
      <c r="D41" s="15"/>
      <c r="E41" s="15"/>
      <c r="F41" s="411"/>
      <c r="G41" s="17" t="str">
        <f t="shared" si="0"/>
        <v/>
      </c>
      <c r="H41" s="18"/>
      <c r="I41" s="61"/>
      <c r="J41" s="399"/>
      <c r="K41" s="420" t="str">
        <f t="shared" si="3"/>
        <v/>
      </c>
      <c r="L41" s="401" t="str">
        <f t="shared" si="4"/>
        <v/>
      </c>
    </row>
    <row r="42" spans="2:12" x14ac:dyDescent="0.25">
      <c r="B42" s="46"/>
      <c r="C42" s="14"/>
      <c r="D42" s="15"/>
      <c r="E42" s="15"/>
      <c r="F42" s="411"/>
      <c r="G42" s="17" t="str">
        <f t="shared" si="0"/>
        <v/>
      </c>
      <c r="H42" s="18"/>
      <c r="I42" s="61"/>
      <c r="J42" s="399"/>
      <c r="K42" s="420" t="str">
        <f t="shared" si="3"/>
        <v/>
      </c>
      <c r="L42" s="401" t="str">
        <f t="shared" si="4"/>
        <v/>
      </c>
    </row>
    <row r="43" spans="2:12" x14ac:dyDescent="0.25">
      <c r="B43" s="46"/>
      <c r="C43" s="14"/>
      <c r="D43" s="15"/>
      <c r="E43" s="15"/>
      <c r="F43" s="422"/>
      <c r="G43" s="17" t="str">
        <f t="shared" si="0"/>
        <v/>
      </c>
      <c r="H43" s="18"/>
      <c r="I43" s="61"/>
      <c r="J43" s="399"/>
      <c r="K43" s="420" t="str">
        <f t="shared" si="3"/>
        <v/>
      </c>
      <c r="L43" s="401" t="str">
        <f t="shared" si="4"/>
        <v/>
      </c>
    </row>
    <row r="44" spans="2:12" x14ac:dyDescent="0.25">
      <c r="B44" s="46"/>
      <c r="C44" s="14"/>
      <c r="D44" s="15"/>
      <c r="E44" s="15"/>
      <c r="F44" s="422"/>
      <c r="G44" s="17" t="str">
        <f t="shared" si="0"/>
        <v/>
      </c>
      <c r="H44" s="18"/>
      <c r="I44" s="61"/>
      <c r="J44" s="399"/>
      <c r="K44" s="420" t="str">
        <f t="shared" si="3"/>
        <v/>
      </c>
      <c r="L44" s="401" t="str">
        <f t="shared" si="4"/>
        <v/>
      </c>
    </row>
    <row r="45" spans="2:12" x14ac:dyDescent="0.25">
      <c r="B45" s="46"/>
      <c r="C45" s="14"/>
      <c r="D45" s="15"/>
      <c r="E45" s="15"/>
      <c r="F45" s="422"/>
      <c r="G45" s="17" t="str">
        <f t="shared" si="0"/>
        <v/>
      </c>
      <c r="H45" s="18"/>
      <c r="I45" s="61"/>
      <c r="J45" s="399"/>
      <c r="K45" s="420" t="str">
        <f t="shared" si="3"/>
        <v/>
      </c>
      <c r="L45" s="401" t="str">
        <f t="shared" si="4"/>
        <v/>
      </c>
    </row>
    <row r="46" spans="2:12" x14ac:dyDescent="0.25">
      <c r="B46" s="46"/>
      <c r="C46" s="14"/>
      <c r="D46" s="15"/>
      <c r="E46" s="15"/>
      <c r="F46" s="422"/>
      <c r="G46" s="17" t="str">
        <f t="shared" si="0"/>
        <v/>
      </c>
      <c r="H46" s="18"/>
      <c r="I46" s="61"/>
      <c r="J46" s="399"/>
      <c r="K46" s="420" t="str">
        <f t="shared" si="3"/>
        <v/>
      </c>
      <c r="L46" s="401" t="str">
        <f t="shared" si="4"/>
        <v/>
      </c>
    </row>
    <row r="47" spans="2:12" x14ac:dyDescent="0.25">
      <c r="B47" s="46"/>
      <c r="C47" s="14"/>
      <c r="D47" s="15"/>
      <c r="E47" s="15"/>
      <c r="F47" s="422"/>
      <c r="G47" s="17" t="str">
        <f t="shared" si="0"/>
        <v/>
      </c>
      <c r="H47" s="18"/>
      <c r="I47" s="61"/>
      <c r="J47" s="399"/>
      <c r="K47" s="420" t="str">
        <f t="shared" si="3"/>
        <v/>
      </c>
      <c r="L47" s="401" t="str">
        <f t="shared" si="4"/>
        <v/>
      </c>
    </row>
    <row r="48" spans="2:12" x14ac:dyDescent="0.25">
      <c r="B48" s="46"/>
      <c r="C48" s="14"/>
      <c r="D48" s="15"/>
      <c r="E48" s="15"/>
      <c r="F48" s="422"/>
      <c r="G48" s="17" t="str">
        <f t="shared" si="0"/>
        <v/>
      </c>
      <c r="H48" s="18"/>
      <c r="I48" s="61"/>
      <c r="J48" s="402"/>
      <c r="K48" s="420" t="str">
        <f t="shared" si="3"/>
        <v/>
      </c>
      <c r="L48" s="401" t="str">
        <f t="shared" si="4"/>
        <v/>
      </c>
    </row>
    <row r="49" spans="2:12" x14ac:dyDescent="0.25">
      <c r="B49" s="46"/>
      <c r="C49" s="14"/>
      <c r="D49" s="15"/>
      <c r="E49" s="15"/>
      <c r="F49" s="422"/>
      <c r="G49" s="17" t="str">
        <f t="shared" si="0"/>
        <v/>
      </c>
      <c r="H49" s="18"/>
      <c r="I49" s="61"/>
      <c r="J49" s="399"/>
      <c r="K49" s="420" t="str">
        <f t="shared" si="3"/>
        <v/>
      </c>
      <c r="L49" s="401" t="str">
        <f t="shared" si="4"/>
        <v/>
      </c>
    </row>
    <row r="50" spans="2:12" x14ac:dyDescent="0.25">
      <c r="B50" s="46"/>
      <c r="C50" s="14"/>
      <c r="D50" s="15"/>
      <c r="E50" s="15"/>
      <c r="F50" s="422"/>
      <c r="G50" s="17" t="str">
        <f t="shared" si="0"/>
        <v/>
      </c>
      <c r="H50" s="18"/>
      <c r="I50" s="61"/>
      <c r="J50" s="402"/>
      <c r="K50" s="420" t="str">
        <f t="shared" si="3"/>
        <v/>
      </c>
      <c r="L50" s="401" t="str">
        <f t="shared" si="4"/>
        <v/>
      </c>
    </row>
    <row r="51" spans="2:12" x14ac:dyDescent="0.25">
      <c r="B51" s="46"/>
      <c r="C51" s="14"/>
      <c r="D51" s="15"/>
      <c r="E51" s="15"/>
      <c r="F51" s="424"/>
      <c r="G51" s="17" t="str">
        <f t="shared" si="0"/>
        <v/>
      </c>
      <c r="H51" s="18"/>
      <c r="I51" s="62"/>
      <c r="J51" s="62"/>
      <c r="K51" s="420" t="str">
        <f t="shared" si="3"/>
        <v/>
      </c>
      <c r="L51" s="401" t="str">
        <f t="shared" si="4"/>
        <v/>
      </c>
    </row>
    <row r="52" spans="2:12" x14ac:dyDescent="0.25">
      <c r="B52" s="46"/>
      <c r="C52" s="14"/>
      <c r="D52" s="15"/>
      <c r="E52" s="15"/>
      <c r="F52" s="424"/>
      <c r="G52" s="17" t="str">
        <f t="shared" si="0"/>
        <v/>
      </c>
      <c r="H52" s="18"/>
      <c r="I52" s="62"/>
      <c r="J52" s="62"/>
      <c r="K52" s="420" t="str">
        <f t="shared" si="3"/>
        <v/>
      </c>
      <c r="L52" s="401" t="str">
        <f t="shared" si="4"/>
        <v/>
      </c>
    </row>
    <row r="53" spans="2:12" x14ac:dyDescent="0.25">
      <c r="B53" s="46"/>
      <c r="C53" s="14"/>
      <c r="D53" s="15"/>
      <c r="E53" s="15"/>
      <c r="F53" s="422"/>
      <c r="G53" s="17" t="str">
        <f t="shared" si="0"/>
        <v/>
      </c>
      <c r="H53" s="18"/>
      <c r="I53" s="62"/>
      <c r="J53" s="62"/>
      <c r="K53" s="420" t="str">
        <f t="shared" si="3"/>
        <v/>
      </c>
      <c r="L53" s="401" t="str">
        <f t="shared" si="4"/>
        <v/>
      </c>
    </row>
    <row r="54" spans="2:12" x14ac:dyDescent="0.25">
      <c r="B54" s="46"/>
      <c r="C54" s="14"/>
      <c r="D54" s="15"/>
      <c r="E54" s="15"/>
      <c r="F54" s="422"/>
      <c r="G54" s="17" t="str">
        <f t="shared" si="0"/>
        <v/>
      </c>
      <c r="H54" s="18"/>
      <c r="I54" s="62"/>
      <c r="J54" s="62"/>
      <c r="K54" s="420" t="str">
        <f t="shared" si="3"/>
        <v/>
      </c>
      <c r="L54" s="401" t="str">
        <f t="shared" si="4"/>
        <v/>
      </c>
    </row>
    <row r="55" spans="2:12" ht="12" customHeight="1" x14ac:dyDescent="0.25">
      <c r="B55" s="46"/>
      <c r="C55" s="14"/>
      <c r="D55" s="15"/>
      <c r="E55" s="15"/>
      <c r="F55" s="422"/>
      <c r="G55" s="17" t="str">
        <f t="shared" si="0"/>
        <v/>
      </c>
      <c r="H55" s="18"/>
      <c r="I55" s="62"/>
      <c r="J55" s="62"/>
      <c r="K55" s="420" t="str">
        <f t="shared" si="3"/>
        <v/>
      </c>
      <c r="L55" s="401" t="str">
        <f t="shared" si="4"/>
        <v/>
      </c>
    </row>
    <row r="56" spans="2:12" x14ac:dyDescent="0.25">
      <c r="B56" s="46"/>
      <c r="C56" s="14"/>
      <c r="D56" s="15"/>
      <c r="E56" s="15"/>
      <c r="F56" s="422"/>
      <c r="G56" s="17" t="str">
        <f t="shared" si="0"/>
        <v/>
      </c>
      <c r="H56" s="18"/>
      <c r="I56" s="62"/>
      <c r="J56" s="62"/>
      <c r="K56" s="420" t="str">
        <f t="shared" si="3"/>
        <v/>
      </c>
      <c r="L56" s="401" t="str">
        <f t="shared" si="4"/>
        <v/>
      </c>
    </row>
    <row r="57" spans="2:12" ht="12" customHeight="1" x14ac:dyDescent="0.25">
      <c r="B57" s="46"/>
      <c r="C57" s="14"/>
      <c r="D57" s="15"/>
      <c r="E57" s="15"/>
      <c r="F57" s="422"/>
      <c r="G57" s="17" t="str">
        <f t="shared" si="0"/>
        <v/>
      </c>
      <c r="H57" s="18"/>
      <c r="I57" s="62"/>
      <c r="J57" s="62"/>
      <c r="K57" s="420" t="str">
        <f t="shared" si="3"/>
        <v/>
      </c>
      <c r="L57" s="401" t="str">
        <f t="shared" si="4"/>
        <v/>
      </c>
    </row>
    <row r="58" spans="2:12" x14ac:dyDescent="0.25">
      <c r="B58" s="46"/>
      <c r="C58" s="14"/>
      <c r="D58" s="15"/>
      <c r="E58" s="15"/>
      <c r="F58" s="422"/>
      <c r="G58" s="17" t="str">
        <f t="shared" si="0"/>
        <v/>
      </c>
      <c r="H58" s="18"/>
      <c r="I58" s="62"/>
      <c r="J58" s="62"/>
      <c r="K58" s="420" t="str">
        <f t="shared" si="3"/>
        <v/>
      </c>
      <c r="L58" s="401" t="str">
        <f t="shared" si="4"/>
        <v/>
      </c>
    </row>
    <row r="59" spans="2:12" ht="12" customHeight="1" x14ac:dyDescent="0.25">
      <c r="B59" s="46"/>
      <c r="C59" s="14"/>
      <c r="D59" s="61"/>
      <c r="E59" s="61"/>
      <c r="F59" s="422"/>
      <c r="G59" s="17" t="str">
        <f t="shared" si="0"/>
        <v/>
      </c>
      <c r="H59" s="63"/>
      <c r="I59" s="62"/>
      <c r="J59" s="62"/>
      <c r="K59" s="420" t="str">
        <f t="shared" si="3"/>
        <v/>
      </c>
      <c r="L59" s="401" t="str">
        <f t="shared" si="4"/>
        <v/>
      </c>
    </row>
    <row r="60" spans="2:12" ht="12" customHeight="1" x14ac:dyDescent="0.25">
      <c r="B60" s="46"/>
      <c r="C60" s="238"/>
      <c r="D60" s="15"/>
      <c r="E60" s="61"/>
      <c r="F60" s="422"/>
      <c r="G60" s="17" t="str">
        <f t="shared" si="0"/>
        <v/>
      </c>
      <c r="H60" s="63"/>
      <c r="I60" s="62"/>
      <c r="J60" s="62"/>
      <c r="K60" s="420" t="str">
        <f t="shared" si="3"/>
        <v/>
      </c>
      <c r="L60" s="401" t="str">
        <f t="shared" si="4"/>
        <v/>
      </c>
    </row>
    <row r="61" spans="2:12" ht="12" customHeight="1" x14ac:dyDescent="0.25">
      <c r="B61" s="46"/>
      <c r="C61" s="238"/>
      <c r="D61" s="15"/>
      <c r="E61" s="61"/>
      <c r="F61" s="422"/>
      <c r="G61" s="17" t="str">
        <f t="shared" si="0"/>
        <v/>
      </c>
      <c r="H61" s="63"/>
      <c r="I61" s="62"/>
      <c r="J61" s="62"/>
      <c r="K61" s="420" t="str">
        <f t="shared" si="3"/>
        <v/>
      </c>
      <c r="L61" s="401" t="str">
        <f t="shared" si="4"/>
        <v/>
      </c>
    </row>
    <row r="62" spans="2:12" ht="12" customHeight="1" x14ac:dyDescent="0.25">
      <c r="B62" s="46"/>
      <c r="C62" s="238"/>
      <c r="D62" s="15"/>
      <c r="E62" s="61"/>
      <c r="F62" s="422"/>
      <c r="G62" s="17" t="str">
        <f t="shared" si="0"/>
        <v/>
      </c>
      <c r="H62" s="63"/>
      <c r="I62" s="62"/>
      <c r="J62" s="62"/>
      <c r="K62" s="420" t="str">
        <f t="shared" si="3"/>
        <v/>
      </c>
      <c r="L62" s="401" t="str">
        <f t="shared" si="4"/>
        <v/>
      </c>
    </row>
    <row r="63" spans="2:12" ht="12" customHeight="1" x14ac:dyDescent="0.25">
      <c r="B63" s="46"/>
      <c r="C63" s="238"/>
      <c r="D63" s="15"/>
      <c r="E63" s="61"/>
      <c r="F63" s="422"/>
      <c r="G63" s="17" t="str">
        <f t="shared" si="0"/>
        <v/>
      </c>
      <c r="H63" s="63"/>
      <c r="I63" s="62"/>
      <c r="J63" s="62"/>
      <c r="K63" s="420" t="str">
        <f t="shared" si="3"/>
        <v/>
      </c>
      <c r="L63" s="401" t="str">
        <f t="shared" si="4"/>
        <v/>
      </c>
    </row>
    <row r="64" spans="2:12" ht="12" customHeight="1" x14ac:dyDescent="0.25">
      <c r="B64" s="46"/>
      <c r="C64" s="238"/>
      <c r="D64" s="15"/>
      <c r="E64" s="61"/>
      <c r="F64" s="422"/>
      <c r="G64" s="17" t="str">
        <f t="shared" si="0"/>
        <v/>
      </c>
      <c r="H64" s="63"/>
      <c r="I64" s="62"/>
      <c r="J64" s="62"/>
      <c r="K64" s="420" t="str">
        <f t="shared" si="3"/>
        <v/>
      </c>
      <c r="L64" s="401" t="str">
        <f t="shared" si="4"/>
        <v/>
      </c>
    </row>
    <row r="65" spans="2:12" ht="12" customHeight="1" x14ac:dyDescent="0.25">
      <c r="B65" s="46"/>
      <c r="C65" s="238"/>
      <c r="D65" s="15"/>
      <c r="E65" s="61"/>
      <c r="F65" s="422"/>
      <c r="G65" s="17" t="str">
        <f t="shared" si="0"/>
        <v/>
      </c>
      <c r="H65" s="63"/>
      <c r="I65" s="62"/>
      <c r="J65" s="62"/>
      <c r="K65" s="420" t="str">
        <f t="shared" si="3"/>
        <v/>
      </c>
      <c r="L65" s="401" t="str">
        <f t="shared" si="4"/>
        <v/>
      </c>
    </row>
    <row r="66" spans="2:12" ht="12" customHeight="1" x14ac:dyDescent="0.25">
      <c r="B66" s="46"/>
      <c r="C66" s="238"/>
      <c r="D66" s="15"/>
      <c r="E66" s="61"/>
      <c r="F66" s="422"/>
      <c r="G66" s="17" t="str">
        <f t="shared" si="0"/>
        <v/>
      </c>
      <c r="H66" s="63"/>
      <c r="I66" s="62"/>
      <c r="J66" s="62"/>
      <c r="K66" s="420" t="str">
        <f t="shared" si="3"/>
        <v/>
      </c>
      <c r="L66" s="401" t="str">
        <f t="shared" si="4"/>
        <v/>
      </c>
    </row>
    <row r="67" spans="2:12" ht="12" customHeight="1" x14ac:dyDescent="0.25">
      <c r="B67" s="46"/>
      <c r="C67" s="238"/>
      <c r="D67" s="15"/>
      <c r="E67" s="61"/>
      <c r="F67" s="422"/>
      <c r="G67" s="17" t="str">
        <f t="shared" si="0"/>
        <v/>
      </c>
      <c r="H67" s="63"/>
      <c r="I67" s="62"/>
      <c r="J67" s="62"/>
      <c r="K67" s="420" t="str">
        <f t="shared" si="3"/>
        <v/>
      </c>
      <c r="L67" s="401" t="str">
        <f t="shared" si="4"/>
        <v/>
      </c>
    </row>
    <row r="68" spans="2:12" ht="12" customHeight="1" x14ac:dyDescent="0.25">
      <c r="B68" s="46"/>
      <c r="C68" s="238"/>
      <c r="D68" s="15"/>
      <c r="E68" s="61"/>
      <c r="F68" s="422"/>
      <c r="G68" s="17" t="str">
        <f t="shared" si="0"/>
        <v/>
      </c>
      <c r="H68" s="63"/>
      <c r="I68" s="62"/>
      <c r="J68" s="62"/>
      <c r="K68" s="420" t="str">
        <f t="shared" si="3"/>
        <v/>
      </c>
      <c r="L68" s="401" t="str">
        <f t="shared" si="4"/>
        <v/>
      </c>
    </row>
    <row r="69" spans="2:12" ht="12" customHeight="1" x14ac:dyDescent="0.25">
      <c r="B69" s="46"/>
      <c r="C69" s="238"/>
      <c r="D69" s="15"/>
      <c r="E69" s="61"/>
      <c r="F69" s="422"/>
      <c r="G69" s="17" t="str">
        <f t="shared" si="0"/>
        <v/>
      </c>
      <c r="H69" s="63"/>
      <c r="I69" s="62"/>
      <c r="J69" s="62"/>
      <c r="K69" s="420" t="str">
        <f t="shared" si="3"/>
        <v/>
      </c>
      <c r="L69" s="401" t="str">
        <f t="shared" si="4"/>
        <v/>
      </c>
    </row>
    <row r="70" spans="2:12" ht="12" customHeight="1" x14ac:dyDescent="0.25">
      <c r="B70" s="46"/>
      <c r="C70" s="14"/>
      <c r="D70" s="61"/>
      <c r="E70" s="61"/>
      <c r="F70" s="422"/>
      <c r="G70" s="17" t="str">
        <f t="shared" si="0"/>
        <v/>
      </c>
      <c r="H70" s="63"/>
      <c r="I70" s="62"/>
      <c r="J70" s="62"/>
      <c r="K70" s="420" t="str">
        <f t="shared" si="3"/>
        <v/>
      </c>
      <c r="L70" s="401" t="str">
        <f t="shared" si="4"/>
        <v/>
      </c>
    </row>
    <row r="71" spans="2:12" ht="12" customHeight="1" x14ac:dyDescent="0.25">
      <c r="B71" s="46"/>
      <c r="C71" s="238"/>
      <c r="D71" s="15"/>
      <c r="E71" s="61"/>
      <c r="F71" s="422"/>
      <c r="G71" s="17" t="str">
        <f t="shared" si="0"/>
        <v/>
      </c>
      <c r="H71" s="63"/>
      <c r="I71" s="62"/>
      <c r="J71" s="62"/>
      <c r="K71" s="420" t="str">
        <f t="shared" si="3"/>
        <v/>
      </c>
      <c r="L71" s="401" t="str">
        <f t="shared" si="4"/>
        <v/>
      </c>
    </row>
    <row r="72" spans="2:12" ht="12" customHeight="1" x14ac:dyDescent="0.25">
      <c r="B72" s="46"/>
      <c r="C72" s="14"/>
      <c r="D72" s="61"/>
      <c r="E72" s="61"/>
      <c r="F72" s="422"/>
      <c r="G72" s="17" t="str">
        <f t="shared" si="0"/>
        <v/>
      </c>
      <c r="H72" s="63"/>
      <c r="I72" s="61"/>
      <c r="J72" s="62"/>
      <c r="K72" s="420" t="str">
        <f t="shared" si="3"/>
        <v/>
      </c>
      <c r="L72" s="401" t="str">
        <f t="shared" si="4"/>
        <v/>
      </c>
    </row>
    <row r="73" spans="2:12" x14ac:dyDescent="0.25">
      <c r="B73" s="46"/>
      <c r="C73" s="14"/>
      <c r="D73" s="15"/>
      <c r="E73" s="15"/>
      <c r="F73" s="422"/>
      <c r="G73" s="17" t="str">
        <f t="shared" si="0"/>
        <v/>
      </c>
      <c r="H73" s="18"/>
      <c r="I73" s="62"/>
      <c r="J73" s="62"/>
      <c r="K73" s="420" t="str">
        <f t="shared" si="3"/>
        <v/>
      </c>
      <c r="L73" s="401" t="str">
        <f t="shared" si="4"/>
        <v/>
      </c>
    </row>
    <row r="74" spans="2:12" ht="12" customHeight="1" x14ac:dyDescent="0.25">
      <c r="B74" s="46"/>
      <c r="C74" s="14"/>
      <c r="D74" s="61"/>
      <c r="E74" s="61"/>
      <c r="F74" s="422"/>
      <c r="G74" s="17" t="str">
        <f t="shared" si="0"/>
        <v/>
      </c>
      <c r="H74" s="69"/>
      <c r="I74" s="62"/>
      <c r="J74" s="62"/>
      <c r="K74" s="420" t="str">
        <f t="shared" si="3"/>
        <v/>
      </c>
      <c r="L74" s="401" t="str">
        <f t="shared" si="4"/>
        <v/>
      </c>
    </row>
    <row r="75" spans="2:12" x14ac:dyDescent="0.25">
      <c r="B75" s="46"/>
      <c r="C75" s="14"/>
      <c r="D75" s="61"/>
      <c r="E75" s="61"/>
      <c r="F75" s="422"/>
      <c r="G75" s="17" t="str">
        <f t="shared" si="0"/>
        <v/>
      </c>
      <c r="H75" s="63"/>
      <c r="I75" s="62"/>
      <c r="J75" s="62"/>
      <c r="K75" s="420" t="str">
        <f t="shared" si="3"/>
        <v/>
      </c>
      <c r="L75" s="401" t="str">
        <f t="shared" si="4"/>
        <v/>
      </c>
    </row>
    <row r="76" spans="2:12" ht="12" customHeight="1" x14ac:dyDescent="0.25">
      <c r="B76" s="46"/>
      <c r="C76" s="14"/>
      <c r="D76" s="15"/>
      <c r="E76" s="15"/>
      <c r="F76" s="422"/>
      <c r="G76" s="17" t="str">
        <f t="shared" si="0"/>
        <v/>
      </c>
      <c r="H76" s="18"/>
      <c r="I76" s="62"/>
      <c r="J76" s="62"/>
      <c r="K76" s="420" t="str">
        <f t="shared" si="3"/>
        <v/>
      </c>
      <c r="L76" s="401" t="str">
        <f t="shared" si="4"/>
        <v/>
      </c>
    </row>
    <row r="77" spans="2:12" x14ac:dyDescent="0.25">
      <c r="B77" s="46"/>
      <c r="C77" s="14"/>
      <c r="D77" s="15"/>
      <c r="E77" s="15"/>
      <c r="F77" s="422"/>
      <c r="G77" s="17" t="str">
        <f t="shared" si="0"/>
        <v/>
      </c>
      <c r="H77" s="18"/>
      <c r="I77" s="62"/>
      <c r="J77" s="62"/>
      <c r="K77" s="420" t="str">
        <f t="shared" si="3"/>
        <v/>
      </c>
      <c r="L77" s="401" t="str">
        <f t="shared" si="4"/>
        <v/>
      </c>
    </row>
    <row r="78" spans="2:12" ht="12" customHeight="1" x14ac:dyDescent="0.25">
      <c r="B78" s="46"/>
      <c r="C78" s="14"/>
      <c r="D78" s="15"/>
      <c r="E78" s="15"/>
      <c r="F78" s="422"/>
      <c r="G78" s="17" t="str">
        <f t="shared" si="0"/>
        <v/>
      </c>
      <c r="H78" s="18"/>
      <c r="I78" s="62"/>
      <c r="J78" s="62"/>
      <c r="K78" s="420" t="str">
        <f t="shared" ref="K78:K80" si="7">IF(I78="","",E78*J78)</f>
        <v/>
      </c>
      <c r="L78" s="401" t="str">
        <f t="shared" ref="L78:L80" si="8">IF(I78="","",IF(SUM(G78)=0,"",K78/G78))</f>
        <v/>
      </c>
    </row>
    <row r="79" spans="2:12" x14ac:dyDescent="0.25">
      <c r="B79" s="46"/>
      <c r="C79" s="14"/>
      <c r="D79" s="15"/>
      <c r="E79" s="15"/>
      <c r="F79" s="422"/>
      <c r="G79" s="17" t="str">
        <f t="shared" si="0"/>
        <v/>
      </c>
      <c r="H79" s="18"/>
      <c r="I79" s="62"/>
      <c r="J79" s="62"/>
      <c r="K79" s="420" t="str">
        <f t="shared" si="7"/>
        <v/>
      </c>
      <c r="L79" s="401" t="str">
        <f t="shared" si="8"/>
        <v/>
      </c>
    </row>
    <row r="80" spans="2:12" ht="12" customHeight="1" x14ac:dyDescent="0.25">
      <c r="B80" s="46"/>
      <c r="C80" s="14"/>
      <c r="D80" s="15"/>
      <c r="E80" s="15"/>
      <c r="F80" s="422"/>
      <c r="G80" s="17" t="str">
        <f t="shared" si="0"/>
        <v/>
      </c>
      <c r="H80" s="18"/>
      <c r="I80" s="61"/>
      <c r="J80" s="696"/>
      <c r="K80" s="420" t="str">
        <f t="shared" si="7"/>
        <v/>
      </c>
      <c r="L80" s="401" t="str">
        <f t="shared" si="8"/>
        <v/>
      </c>
    </row>
    <row r="81" spans="2:12" s="28" customFormat="1" ht="19.5" customHeight="1" x14ac:dyDescent="0.25">
      <c r="B81" s="135" t="str">
        <f>$B$14</f>
        <v>C13.1</v>
      </c>
      <c r="C81" s="498" t="str">
        <f>"TOTAL CARRIED FORWARD"&amp;IF(G81=G$1," TO SUMMARY (Page C"&amp;Page_B&amp;")","")</f>
        <v>TOTAL CARRIED FORWARD TO SUMMARY (Page C65)</v>
      </c>
      <c r="D81" s="31"/>
      <c r="E81" s="32"/>
      <c r="F81" s="31"/>
      <c r="G81" s="33">
        <f>SUM(G13:G80)</f>
        <v>0</v>
      </c>
      <c r="H81" s="34"/>
      <c r="I81" s="408"/>
      <c r="J81" s="406"/>
      <c r="K81" s="418">
        <f>SUM(K13:K80)</f>
        <v>0</v>
      </c>
      <c r="L81" s="407" t="str">
        <f t="shared" ref="L81" si="9">IF(I81="","",IF(SUM(G81)=0,"",K81/G81))</f>
        <v/>
      </c>
    </row>
    <row r="82" spans="2:12" ht="13" x14ac:dyDescent="0.25">
      <c r="B82" s="1108" t="str">
        <f>Client1</f>
        <v>Province of KwaZulu-Natal</v>
      </c>
      <c r="C82" s="1108"/>
      <c r="D82" s="1108"/>
      <c r="E82" s="1109" t="str">
        <f>"Contract No. "&amp;ContractNo</f>
        <v>Contract No. ZNB 00399/00000/HOD/INF/21/T</v>
      </c>
      <c r="F82" s="1109"/>
      <c r="G82" s="1109"/>
    </row>
    <row r="83" spans="2:12" ht="13" x14ac:dyDescent="0.25">
      <c r="B83" s="1108" t="str">
        <f>Client2</f>
        <v>Department of Transport</v>
      </c>
      <c r="C83" s="1108"/>
      <c r="D83" s="1108"/>
      <c r="E83" s="1109"/>
      <c r="F83" s="1109"/>
      <c r="G83" s="1109"/>
    </row>
    <row r="84" spans="2:12" x14ac:dyDescent="0.25">
      <c r="B84" s="1111"/>
      <c r="C84" s="1111"/>
      <c r="D84" s="1111"/>
      <c r="E84" s="1110"/>
      <c r="F84" s="1110"/>
      <c r="G84" s="1110"/>
    </row>
    <row r="85" spans="2:12" ht="13" x14ac:dyDescent="0.25">
      <c r="B85" s="1112" t="s">
        <v>8</v>
      </c>
      <c r="C85" s="1113"/>
      <c r="D85" s="1113"/>
      <c r="E85" s="1113"/>
      <c r="F85" s="1113"/>
      <c r="G85" s="1125" t="str">
        <f>$G$6</f>
        <v>CHAPTER C13.1</v>
      </c>
      <c r="H85" s="6"/>
    </row>
    <row r="86" spans="2:12" ht="13" x14ac:dyDescent="0.25">
      <c r="B86" s="1117" t="str">
        <f>ContractDescription</f>
        <v>THE CONSTRUCTION OF EARTHWORKS, LAYERWORKS, SURFACING, CULVERTS AND CWAKA RIVER BRIDGE FROM KM 11.600 TO KM 14.000 ON MAIN ROAD P494 IN THE KING CETSHWAYO DISTRICT UNDER EMPANGENI REGION</v>
      </c>
      <c r="C86" s="1118"/>
      <c r="D86" s="1118"/>
      <c r="E86" s="1118"/>
      <c r="F86" s="1118"/>
      <c r="G86" s="1126"/>
      <c r="H86" s="8"/>
    </row>
    <row r="87" spans="2:12" ht="13" x14ac:dyDescent="0.25">
      <c r="B87" s="1117"/>
      <c r="C87" s="1118"/>
      <c r="D87" s="1118"/>
      <c r="E87" s="1118"/>
      <c r="F87" s="1118"/>
      <c r="G87" s="1126"/>
      <c r="H87" s="8"/>
    </row>
    <row r="88" spans="2:12" ht="13" x14ac:dyDescent="0.25">
      <c r="B88" s="1119"/>
      <c r="C88" s="1120"/>
      <c r="D88" s="1120"/>
      <c r="E88" s="1120"/>
      <c r="F88" s="1120"/>
      <c r="G88" s="1127"/>
      <c r="H88" s="8"/>
    </row>
    <row r="89" spans="2:12" s="9" customFormat="1" ht="25" customHeight="1" x14ac:dyDescent="0.25">
      <c r="B89" s="74" t="s">
        <v>0</v>
      </c>
      <c r="C89" s="11" t="s">
        <v>1</v>
      </c>
      <c r="D89" s="11" t="s">
        <v>2</v>
      </c>
      <c r="E89" s="11" t="s">
        <v>3</v>
      </c>
      <c r="F89" s="11" t="s">
        <v>4</v>
      </c>
      <c r="G89" s="11" t="s">
        <v>5</v>
      </c>
      <c r="H89" s="12"/>
    </row>
    <row r="90" spans="2:12" s="28" customFormat="1" ht="19.5" customHeight="1" x14ac:dyDescent="0.25">
      <c r="B90" s="80"/>
      <c r="C90" s="30" t="s">
        <v>27</v>
      </c>
      <c r="D90" s="31"/>
      <c r="E90" s="32"/>
      <c r="F90" s="31"/>
      <c r="G90" s="33">
        <f>G81</f>
        <v>0</v>
      </c>
      <c r="H90" s="34"/>
    </row>
    <row r="91" spans="2:12" x14ac:dyDescent="0.25">
      <c r="B91" s="46"/>
      <c r="C91" s="14"/>
      <c r="D91" s="21"/>
      <c r="E91" s="21"/>
      <c r="F91" s="414"/>
      <c r="G91" s="17"/>
      <c r="H91" s="40"/>
    </row>
    <row r="92" spans="2:12" x14ac:dyDescent="0.25">
      <c r="B92" s="46"/>
      <c r="C92" s="14"/>
      <c r="D92" s="21"/>
      <c r="E92" s="21"/>
      <c r="F92" s="414"/>
      <c r="G92" s="17" t="str">
        <f t="shared" ref="G92:G112" si="10">IF(D92="","",E92*F92)</f>
        <v/>
      </c>
      <c r="H92" s="40"/>
    </row>
    <row r="93" spans="2:12" x14ac:dyDescent="0.25">
      <c r="B93" s="46"/>
      <c r="C93" s="14"/>
      <c r="D93" s="21"/>
      <c r="E93" s="21"/>
      <c r="F93" s="414"/>
      <c r="G93" s="17" t="str">
        <f t="shared" si="10"/>
        <v/>
      </c>
      <c r="H93" s="40"/>
    </row>
    <row r="94" spans="2:12" x14ac:dyDescent="0.25">
      <c r="B94" s="46"/>
      <c r="C94" s="14"/>
      <c r="D94" s="21"/>
      <c r="E94" s="21"/>
      <c r="F94" s="414"/>
      <c r="G94" s="17" t="str">
        <f t="shared" si="10"/>
        <v/>
      </c>
      <c r="H94" s="40"/>
    </row>
    <row r="95" spans="2:12" x14ac:dyDescent="0.25">
      <c r="B95" s="46"/>
      <c r="C95" s="14"/>
      <c r="D95" s="21"/>
      <c r="E95" s="21"/>
      <c r="F95" s="414"/>
      <c r="G95" s="17" t="str">
        <f t="shared" si="10"/>
        <v/>
      </c>
      <c r="H95" s="40"/>
    </row>
    <row r="96" spans="2:12" x14ac:dyDescent="0.25">
      <c r="B96" s="46"/>
      <c r="C96" s="14"/>
      <c r="D96" s="21"/>
      <c r="E96" s="21"/>
      <c r="F96" s="414"/>
      <c r="G96" s="17" t="str">
        <f t="shared" si="10"/>
        <v/>
      </c>
      <c r="H96" s="40"/>
    </row>
    <row r="97" spans="2:8" x14ac:dyDescent="0.25">
      <c r="B97" s="46"/>
      <c r="C97" s="14"/>
      <c r="D97" s="21"/>
      <c r="E97" s="21"/>
      <c r="F97" s="414"/>
      <c r="G97" s="17" t="str">
        <f t="shared" si="10"/>
        <v/>
      </c>
      <c r="H97" s="40"/>
    </row>
    <row r="98" spans="2:8" x14ac:dyDescent="0.25">
      <c r="B98" s="46"/>
      <c r="C98" s="14"/>
      <c r="D98" s="21"/>
      <c r="E98" s="21"/>
      <c r="F98" s="414"/>
      <c r="G98" s="17" t="str">
        <f t="shared" si="10"/>
        <v/>
      </c>
      <c r="H98" s="40"/>
    </row>
    <row r="99" spans="2:8" x14ac:dyDescent="0.25">
      <c r="B99" s="46"/>
      <c r="C99" s="14"/>
      <c r="D99" s="21"/>
      <c r="E99" s="21"/>
      <c r="F99" s="414"/>
      <c r="G99" s="17" t="str">
        <f t="shared" si="10"/>
        <v/>
      </c>
      <c r="H99" s="40"/>
    </row>
    <row r="100" spans="2:8" x14ac:dyDescent="0.25">
      <c r="B100" s="46"/>
      <c r="C100" s="14"/>
      <c r="D100" s="21"/>
      <c r="E100" s="21"/>
      <c r="F100" s="414"/>
      <c r="G100" s="17" t="str">
        <f t="shared" si="10"/>
        <v/>
      </c>
      <c r="H100" s="40"/>
    </row>
    <row r="101" spans="2:8" x14ac:dyDescent="0.25">
      <c r="B101" s="46"/>
      <c r="C101" s="14"/>
      <c r="D101" s="21"/>
      <c r="E101" s="21"/>
      <c r="F101" s="414"/>
      <c r="G101" s="17" t="str">
        <f t="shared" si="10"/>
        <v/>
      </c>
      <c r="H101" s="40"/>
    </row>
    <row r="102" spans="2:8" x14ac:dyDescent="0.25">
      <c r="B102" s="46"/>
      <c r="C102" s="14"/>
      <c r="D102" s="21"/>
      <c r="E102" s="21"/>
      <c r="F102" s="414"/>
      <c r="G102" s="17" t="str">
        <f t="shared" si="10"/>
        <v/>
      </c>
      <c r="H102" s="40"/>
    </row>
    <row r="103" spans="2:8" x14ac:dyDescent="0.25">
      <c r="B103" s="46"/>
      <c r="C103" s="14"/>
      <c r="D103" s="21"/>
      <c r="E103" s="21"/>
      <c r="F103" s="414"/>
      <c r="G103" s="17" t="str">
        <f t="shared" si="10"/>
        <v/>
      </c>
      <c r="H103" s="40"/>
    </row>
    <row r="104" spans="2:8" x14ac:dyDescent="0.25">
      <c r="B104" s="46"/>
      <c r="C104" s="14"/>
      <c r="D104" s="21"/>
      <c r="E104" s="21"/>
      <c r="F104" s="414"/>
      <c r="G104" s="17" t="str">
        <f t="shared" si="10"/>
        <v/>
      </c>
      <c r="H104" s="40"/>
    </row>
    <row r="105" spans="2:8" x14ac:dyDescent="0.25">
      <c r="B105" s="46"/>
      <c r="C105" s="14"/>
      <c r="D105" s="21"/>
      <c r="E105" s="21"/>
      <c r="F105" s="414"/>
      <c r="G105" s="17" t="str">
        <f t="shared" si="10"/>
        <v/>
      </c>
      <c r="H105" s="40"/>
    </row>
    <row r="106" spans="2:8" x14ac:dyDescent="0.25">
      <c r="B106" s="46"/>
      <c r="C106" s="14"/>
      <c r="D106" s="21"/>
      <c r="E106" s="21"/>
      <c r="F106" s="414"/>
      <c r="G106" s="17" t="str">
        <f t="shared" si="10"/>
        <v/>
      </c>
      <c r="H106" s="40"/>
    </row>
    <row r="107" spans="2:8" x14ac:dyDescent="0.25">
      <c r="B107" s="46"/>
      <c r="C107" s="14"/>
      <c r="D107" s="21"/>
      <c r="E107" s="21"/>
      <c r="F107" s="414"/>
      <c r="G107" s="17" t="str">
        <f t="shared" si="10"/>
        <v/>
      </c>
      <c r="H107" s="40"/>
    </row>
    <row r="108" spans="2:8" x14ac:dyDescent="0.25">
      <c r="B108" s="46"/>
      <c r="C108" s="14"/>
      <c r="D108" s="21"/>
      <c r="E108" s="21"/>
      <c r="F108" s="414"/>
      <c r="G108" s="17" t="str">
        <f t="shared" si="10"/>
        <v/>
      </c>
      <c r="H108" s="40"/>
    </row>
    <row r="109" spans="2:8" x14ac:dyDescent="0.25">
      <c r="B109" s="46"/>
      <c r="C109" s="14"/>
      <c r="D109" s="21"/>
      <c r="E109" s="21"/>
      <c r="F109" s="414"/>
      <c r="G109" s="17" t="str">
        <f t="shared" si="10"/>
        <v/>
      </c>
      <c r="H109" s="40"/>
    </row>
    <row r="110" spans="2:8" x14ac:dyDescent="0.25">
      <c r="B110" s="46"/>
      <c r="C110" s="14"/>
      <c r="D110" s="21"/>
      <c r="E110" s="21"/>
      <c r="F110" s="414"/>
      <c r="G110" s="17" t="str">
        <f t="shared" si="10"/>
        <v/>
      </c>
      <c r="H110" s="40"/>
    </row>
    <row r="111" spans="2:8" x14ac:dyDescent="0.25">
      <c r="B111" s="46"/>
      <c r="C111" s="14"/>
      <c r="D111" s="21"/>
      <c r="E111" s="21"/>
      <c r="F111" s="414"/>
      <c r="G111" s="17" t="str">
        <f t="shared" si="10"/>
        <v/>
      </c>
      <c r="H111" s="40"/>
    </row>
    <row r="112" spans="2:8" x14ac:dyDescent="0.25">
      <c r="B112" s="46"/>
      <c r="C112" s="14"/>
      <c r="D112" s="21"/>
      <c r="E112" s="21"/>
      <c r="F112" s="414"/>
      <c r="G112" s="17" t="str">
        <f t="shared" si="10"/>
        <v/>
      </c>
      <c r="H112" s="40"/>
    </row>
    <row r="113" spans="2:8" x14ac:dyDescent="0.25">
      <c r="B113" s="46"/>
      <c r="C113" s="14"/>
      <c r="D113" s="21"/>
      <c r="E113" s="21"/>
      <c r="F113" s="414"/>
      <c r="G113" s="17"/>
      <c r="H113" s="40"/>
    </row>
    <row r="114" spans="2:8" x14ac:dyDescent="0.25">
      <c r="B114" s="46"/>
      <c r="C114" s="14"/>
      <c r="D114" s="21"/>
      <c r="E114" s="21"/>
      <c r="F114" s="414"/>
      <c r="G114" s="17" t="str">
        <f>IF(D114="","",E114*F114)</f>
        <v/>
      </c>
      <c r="H114" s="40"/>
    </row>
    <row r="115" spans="2:8" x14ac:dyDescent="0.25">
      <c r="B115" s="46"/>
      <c r="C115" s="14"/>
      <c r="D115" s="21"/>
      <c r="E115" s="21"/>
      <c r="F115" s="414"/>
      <c r="G115" s="17"/>
      <c r="H115" s="40"/>
    </row>
    <row r="116" spans="2:8" x14ac:dyDescent="0.25">
      <c r="B116" s="46"/>
      <c r="C116" s="14"/>
      <c r="D116" s="21"/>
      <c r="E116" s="21"/>
      <c r="F116" s="414"/>
      <c r="G116" s="17" t="str">
        <f>IF(D116="","",E116*F116)</f>
        <v/>
      </c>
      <c r="H116" s="40"/>
    </row>
    <row r="117" spans="2:8" x14ac:dyDescent="0.25">
      <c r="B117" s="46"/>
      <c r="C117" s="14"/>
      <c r="D117" s="21"/>
      <c r="E117" s="21"/>
      <c r="F117" s="414"/>
      <c r="G117" s="17"/>
      <c r="H117" s="40"/>
    </row>
    <row r="118" spans="2:8" x14ac:dyDescent="0.25">
      <c r="B118" s="46"/>
      <c r="C118" s="14"/>
      <c r="D118" s="21"/>
      <c r="E118" s="21"/>
      <c r="F118" s="414"/>
      <c r="G118" s="17" t="str">
        <f>IF(D118="","",E118*F118)</f>
        <v/>
      </c>
      <c r="H118" s="40"/>
    </row>
    <row r="119" spans="2:8" x14ac:dyDescent="0.25">
      <c r="B119" s="46"/>
      <c r="C119" s="14"/>
      <c r="D119" s="21"/>
      <c r="E119" s="21"/>
      <c r="F119" s="414"/>
      <c r="G119" s="17"/>
      <c r="H119" s="40"/>
    </row>
    <row r="120" spans="2:8" x14ac:dyDescent="0.25">
      <c r="B120" s="46"/>
      <c r="C120" s="14"/>
      <c r="D120" s="21"/>
      <c r="E120" s="21"/>
      <c r="F120" s="414"/>
      <c r="G120" s="17" t="str">
        <f>IF(D120="","",E120*F120)</f>
        <v/>
      </c>
      <c r="H120" s="40"/>
    </row>
    <row r="121" spans="2:8" x14ac:dyDescent="0.25">
      <c r="B121" s="46"/>
      <c r="C121" s="14"/>
      <c r="D121" s="21"/>
      <c r="E121" s="21"/>
      <c r="F121" s="414"/>
      <c r="G121" s="17"/>
      <c r="H121" s="40"/>
    </row>
    <row r="122" spans="2:8" x14ac:dyDescent="0.25">
      <c r="B122" s="46"/>
      <c r="C122" s="14"/>
      <c r="D122" s="21"/>
      <c r="E122" s="21"/>
      <c r="F122" s="414"/>
      <c r="G122" s="17" t="str">
        <f>IF(D122="","",E122*F122)</f>
        <v/>
      </c>
      <c r="H122" s="40"/>
    </row>
    <row r="123" spans="2:8" x14ac:dyDescent="0.25">
      <c r="B123" s="46"/>
      <c r="C123" s="14"/>
      <c r="D123" s="21"/>
      <c r="E123" s="21"/>
      <c r="F123" s="414"/>
      <c r="G123" s="17" t="str">
        <f>IF(D123="","",E123*F123)</f>
        <v/>
      </c>
      <c r="H123" s="40"/>
    </row>
    <row r="124" spans="2:8" x14ac:dyDescent="0.25">
      <c r="B124" s="46"/>
      <c r="C124" s="14"/>
      <c r="D124" s="21"/>
      <c r="E124" s="21"/>
      <c r="F124" s="414"/>
      <c r="G124" s="17" t="str">
        <f>IF(D124="","",E124*F124)</f>
        <v/>
      </c>
      <c r="H124" s="40"/>
    </row>
    <row r="125" spans="2:8" x14ac:dyDescent="0.25">
      <c r="B125" s="46"/>
      <c r="C125" s="14"/>
      <c r="D125" s="21"/>
      <c r="E125" s="21"/>
      <c r="F125" s="414"/>
      <c r="G125" s="17" t="str">
        <f>IF(D125="","",E125*F125)</f>
        <v/>
      </c>
      <c r="H125" s="40"/>
    </row>
    <row r="126" spans="2:8" x14ac:dyDescent="0.25">
      <c r="B126" s="46"/>
      <c r="C126" s="14"/>
      <c r="D126" s="21"/>
      <c r="E126" s="21"/>
      <c r="F126" s="414"/>
      <c r="G126" s="17" t="str">
        <f>IF(D126="","",E126*F126)</f>
        <v/>
      </c>
      <c r="H126" s="40"/>
    </row>
    <row r="127" spans="2:8" x14ac:dyDescent="0.25">
      <c r="B127" s="46"/>
      <c r="C127" s="14"/>
      <c r="D127" s="21"/>
      <c r="E127" s="21"/>
      <c r="F127" s="414"/>
      <c r="G127" s="17"/>
      <c r="H127" s="40"/>
    </row>
    <row r="128" spans="2:8" x14ac:dyDescent="0.25">
      <c r="B128" s="46"/>
      <c r="C128" s="14"/>
      <c r="D128" s="21"/>
      <c r="E128" s="21"/>
      <c r="F128" s="414"/>
      <c r="G128" s="17" t="str">
        <f>IF(D128="","",E128*F128)</f>
        <v/>
      </c>
      <c r="H128" s="40"/>
    </row>
    <row r="129" spans="2:8" x14ac:dyDescent="0.25">
      <c r="B129" s="46"/>
      <c r="C129" s="14"/>
      <c r="D129" s="21"/>
      <c r="E129" s="21"/>
      <c r="F129" s="414"/>
      <c r="G129" s="17"/>
      <c r="H129" s="40"/>
    </row>
    <row r="130" spans="2:8" x14ac:dyDescent="0.25">
      <c r="B130" s="46"/>
      <c r="C130" s="14"/>
      <c r="D130" s="21"/>
      <c r="E130" s="21"/>
      <c r="F130" s="414"/>
      <c r="G130" s="17" t="str">
        <f>IF(D130="","",E130*F130)</f>
        <v/>
      </c>
      <c r="H130" s="40"/>
    </row>
    <row r="131" spans="2:8" ht="12" customHeight="1" x14ac:dyDescent="0.25">
      <c r="B131" s="46"/>
      <c r="C131" s="14"/>
      <c r="D131" s="21"/>
      <c r="E131" s="21"/>
      <c r="F131" s="414"/>
      <c r="G131" s="17"/>
      <c r="H131" s="40"/>
    </row>
    <row r="132" spans="2:8" x14ac:dyDescent="0.25">
      <c r="B132" s="46"/>
      <c r="C132" s="14"/>
      <c r="D132" s="21"/>
      <c r="E132" s="21"/>
      <c r="F132" s="414"/>
      <c r="G132" s="17" t="str">
        <f>IF(D132="","",E132*F132)</f>
        <v/>
      </c>
      <c r="H132" s="40"/>
    </row>
    <row r="133" spans="2:8" ht="12" customHeight="1" x14ac:dyDescent="0.25">
      <c r="B133" s="46"/>
      <c r="C133" s="14"/>
      <c r="D133" s="21"/>
      <c r="E133" s="21"/>
      <c r="F133" s="414"/>
      <c r="G133" s="17"/>
      <c r="H133" s="40"/>
    </row>
    <row r="134" spans="2:8" x14ac:dyDescent="0.25">
      <c r="B134" s="46"/>
      <c r="C134" s="14"/>
      <c r="D134" s="21"/>
      <c r="E134" s="21"/>
      <c r="F134" s="414"/>
      <c r="G134" s="17" t="str">
        <f>IF(D134="","",E134*F134)</f>
        <v/>
      </c>
      <c r="H134" s="40"/>
    </row>
    <row r="135" spans="2:8" ht="12" customHeight="1" x14ac:dyDescent="0.25">
      <c r="B135" s="46"/>
      <c r="C135" s="14"/>
      <c r="D135" s="21"/>
      <c r="E135" s="21"/>
      <c r="F135" s="414"/>
      <c r="G135" s="17"/>
      <c r="H135" s="40"/>
    </row>
    <row r="136" spans="2:8" x14ac:dyDescent="0.25">
      <c r="B136" s="46"/>
      <c r="C136" s="14"/>
      <c r="D136" s="21"/>
      <c r="E136" s="21"/>
      <c r="F136" s="414"/>
      <c r="G136" s="17" t="str">
        <f t="shared" ref="G136:G145" si="11">IF(D136="","",E136*F136)</f>
        <v/>
      </c>
      <c r="H136" s="40"/>
    </row>
    <row r="137" spans="2:8" ht="12" customHeight="1" x14ac:dyDescent="0.25">
      <c r="B137" s="46"/>
      <c r="C137" s="14"/>
      <c r="D137" s="21"/>
      <c r="E137" s="21"/>
      <c r="F137" s="414"/>
      <c r="G137" s="17" t="str">
        <f t="shared" si="11"/>
        <v/>
      </c>
      <c r="H137" s="40"/>
    </row>
    <row r="138" spans="2:8" x14ac:dyDescent="0.25">
      <c r="B138" s="46"/>
      <c r="C138" s="14"/>
      <c r="D138" s="21"/>
      <c r="E138" s="21"/>
      <c r="F138" s="414"/>
      <c r="G138" s="17" t="str">
        <f t="shared" si="11"/>
        <v/>
      </c>
      <c r="H138" s="40"/>
    </row>
    <row r="139" spans="2:8" ht="12" customHeight="1" x14ac:dyDescent="0.25">
      <c r="B139" s="46"/>
      <c r="C139" s="14"/>
      <c r="D139" s="21"/>
      <c r="E139" s="21"/>
      <c r="F139" s="414"/>
      <c r="G139" s="17" t="str">
        <f t="shared" si="11"/>
        <v/>
      </c>
      <c r="H139" s="40"/>
    </row>
    <row r="140" spans="2:8" x14ac:dyDescent="0.25">
      <c r="B140" s="46"/>
      <c r="C140" s="14"/>
      <c r="D140" s="21"/>
      <c r="E140" s="21"/>
      <c r="F140" s="414"/>
      <c r="G140" s="17" t="str">
        <f t="shared" si="11"/>
        <v/>
      </c>
      <c r="H140" s="40"/>
    </row>
    <row r="141" spans="2:8" ht="12" customHeight="1" x14ac:dyDescent="0.25">
      <c r="B141" s="46"/>
      <c r="C141" s="14"/>
      <c r="D141" s="21"/>
      <c r="E141" s="21"/>
      <c r="F141" s="414"/>
      <c r="G141" s="17" t="str">
        <f t="shared" si="11"/>
        <v/>
      </c>
      <c r="H141" s="40"/>
    </row>
    <row r="142" spans="2:8" x14ac:dyDescent="0.25">
      <c r="B142" s="46"/>
      <c r="C142" s="14"/>
      <c r="D142" s="21"/>
      <c r="E142" s="21"/>
      <c r="F142" s="414"/>
      <c r="G142" s="17" t="str">
        <f t="shared" si="11"/>
        <v/>
      </c>
      <c r="H142" s="40"/>
    </row>
    <row r="143" spans="2:8" ht="12" customHeight="1" x14ac:dyDescent="0.25">
      <c r="B143" s="46"/>
      <c r="C143" s="14"/>
      <c r="D143" s="21"/>
      <c r="E143" s="21"/>
      <c r="F143" s="414"/>
      <c r="G143" s="17" t="str">
        <f t="shared" si="11"/>
        <v/>
      </c>
      <c r="H143" s="40"/>
    </row>
    <row r="144" spans="2:8" x14ac:dyDescent="0.25">
      <c r="B144" s="46"/>
      <c r="C144" s="14"/>
      <c r="D144" s="21"/>
      <c r="E144" s="21"/>
      <c r="F144" s="414"/>
      <c r="G144" s="17" t="str">
        <f t="shared" si="11"/>
        <v/>
      </c>
      <c r="H144" s="40"/>
    </row>
    <row r="145" spans="2:8" ht="12" customHeight="1" x14ac:dyDescent="0.25">
      <c r="B145" s="46"/>
      <c r="C145" s="14"/>
      <c r="D145" s="21"/>
      <c r="E145" s="21"/>
      <c r="F145" s="414"/>
      <c r="G145" s="17" t="str">
        <f t="shared" si="11"/>
        <v/>
      </c>
      <c r="H145" s="40"/>
    </row>
    <row r="146" spans="2:8" s="28" customFormat="1" ht="19.5" customHeight="1" x14ac:dyDescent="0.25">
      <c r="B146" s="135" t="str">
        <f>$B$14</f>
        <v>C13.1</v>
      </c>
      <c r="C146" s="498" t="str">
        <f>"TOTAL CARRIED FORWARD"&amp;IF(G146=G$1," TO SUMMARY (Page C"&amp;Page_A&amp;")","")</f>
        <v>TOTAL CARRIED FORWARD TO SUMMARY (Page C48)</v>
      </c>
      <c r="D146" s="31"/>
      <c r="E146" s="32"/>
      <c r="F146" s="31"/>
      <c r="G146" s="33">
        <f>SUM(G90:G145)</f>
        <v>0</v>
      </c>
      <c r="H146" s="34"/>
    </row>
    <row r="147" spans="2:8" ht="13" x14ac:dyDescent="0.25">
      <c r="B147" s="1108" t="str">
        <f>Client1</f>
        <v>Province of KwaZulu-Natal</v>
      </c>
      <c r="C147" s="1108"/>
      <c r="D147" s="1108"/>
      <c r="E147" s="1109" t="str">
        <f>"Contract No. "&amp;ContractNo</f>
        <v>Contract No. ZNB 00399/00000/HOD/INF/21/T</v>
      </c>
      <c r="F147" s="1109"/>
      <c r="G147" s="1109"/>
    </row>
    <row r="148" spans="2:8" ht="13" x14ac:dyDescent="0.25">
      <c r="B148" s="1108" t="str">
        <f>Client2</f>
        <v>Department of Transport</v>
      </c>
      <c r="C148" s="1108"/>
      <c r="D148" s="1108"/>
      <c r="E148" s="1109"/>
      <c r="F148" s="1109"/>
      <c r="G148" s="1109"/>
    </row>
    <row r="149" spans="2:8" x14ac:dyDescent="0.25">
      <c r="B149" s="1111"/>
      <c r="C149" s="1111"/>
      <c r="D149" s="1111"/>
      <c r="E149" s="1110"/>
      <c r="F149" s="1110"/>
      <c r="G149" s="1110"/>
    </row>
    <row r="150" spans="2:8" ht="13" x14ac:dyDescent="0.25">
      <c r="B150" s="1112" t="s">
        <v>8</v>
      </c>
      <c r="C150" s="1113"/>
      <c r="D150" s="1113"/>
      <c r="E150" s="1113"/>
      <c r="F150" s="1113"/>
      <c r="G150" s="1125" t="str">
        <f>$G$6</f>
        <v>CHAPTER C13.1</v>
      </c>
      <c r="H150" s="6"/>
    </row>
    <row r="151" spans="2:8" ht="13" x14ac:dyDescent="0.25">
      <c r="B151" s="1117" t="str">
        <f>ContractDescription</f>
        <v>THE CONSTRUCTION OF EARTHWORKS, LAYERWORKS, SURFACING, CULVERTS AND CWAKA RIVER BRIDGE FROM KM 11.600 TO KM 14.000 ON MAIN ROAD P494 IN THE KING CETSHWAYO DISTRICT UNDER EMPANGENI REGION</v>
      </c>
      <c r="C151" s="1118"/>
      <c r="D151" s="1118"/>
      <c r="E151" s="1118"/>
      <c r="F151" s="1118"/>
      <c r="G151" s="1126"/>
      <c r="H151" s="8"/>
    </row>
    <row r="152" spans="2:8" ht="13" x14ac:dyDescent="0.25">
      <c r="B152" s="1117"/>
      <c r="C152" s="1118"/>
      <c r="D152" s="1118"/>
      <c r="E152" s="1118"/>
      <c r="F152" s="1118"/>
      <c r="G152" s="1126"/>
      <c r="H152" s="8"/>
    </row>
    <row r="153" spans="2:8" ht="13" x14ac:dyDescent="0.25">
      <c r="B153" s="1119"/>
      <c r="C153" s="1120"/>
      <c r="D153" s="1120"/>
      <c r="E153" s="1120"/>
      <c r="F153" s="1120"/>
      <c r="G153" s="1127"/>
      <c r="H153" s="8"/>
    </row>
    <row r="154" spans="2:8" s="9" customFormat="1" ht="25" customHeight="1" x14ac:dyDescent="0.25">
      <c r="B154" s="74" t="s">
        <v>0</v>
      </c>
      <c r="C154" s="11" t="s">
        <v>1</v>
      </c>
      <c r="D154" s="11" t="s">
        <v>2</v>
      </c>
      <c r="E154" s="11" t="s">
        <v>3</v>
      </c>
      <c r="F154" s="11" t="s">
        <v>4</v>
      </c>
      <c r="G154" s="11" t="s">
        <v>5</v>
      </c>
      <c r="H154" s="12"/>
    </row>
    <row r="155" spans="2:8" s="28" customFormat="1" ht="19.5" customHeight="1" x14ac:dyDescent="0.25">
      <c r="B155" s="80"/>
      <c r="C155" s="30" t="s">
        <v>27</v>
      </c>
      <c r="D155" s="31"/>
      <c r="E155" s="32"/>
      <c r="F155" s="31"/>
      <c r="G155" s="33">
        <f>G146</f>
        <v>0</v>
      </c>
      <c r="H155" s="34"/>
    </row>
    <row r="156" spans="2:8" ht="11.9" customHeight="1" x14ac:dyDescent="0.25">
      <c r="B156" s="46"/>
      <c r="C156" s="14"/>
      <c r="D156" s="21"/>
      <c r="E156" s="21"/>
      <c r="F156" s="414"/>
      <c r="G156" s="17"/>
      <c r="H156" s="40"/>
    </row>
    <row r="157" spans="2:8" x14ac:dyDescent="0.25">
      <c r="B157" s="46"/>
      <c r="C157" s="14"/>
      <c r="D157" s="21"/>
      <c r="E157" s="21"/>
      <c r="F157" s="414"/>
      <c r="G157" s="17" t="str">
        <f t="shared" ref="G157:G214" si="12">IF(D157="","",E157*F157)</f>
        <v/>
      </c>
      <c r="H157" s="40"/>
    </row>
    <row r="158" spans="2:8" ht="11.9" customHeight="1" x14ac:dyDescent="0.25">
      <c r="B158" s="46"/>
      <c r="C158" s="14"/>
      <c r="D158" s="21"/>
      <c r="E158" s="21"/>
      <c r="F158" s="414"/>
      <c r="G158" s="17" t="str">
        <f t="shared" si="12"/>
        <v/>
      </c>
      <c r="H158" s="40"/>
    </row>
    <row r="159" spans="2:8" x14ac:dyDescent="0.25">
      <c r="B159" s="46"/>
      <c r="C159" s="14"/>
      <c r="D159" s="21"/>
      <c r="E159" s="21"/>
      <c r="F159" s="414"/>
      <c r="G159" s="17" t="str">
        <f t="shared" si="12"/>
        <v/>
      </c>
      <c r="H159" s="40"/>
    </row>
    <row r="160" spans="2:8" ht="11.9" customHeight="1" x14ac:dyDescent="0.25">
      <c r="B160" s="46"/>
      <c r="C160" s="14"/>
      <c r="D160" s="21"/>
      <c r="E160" s="21"/>
      <c r="F160" s="414"/>
      <c r="G160" s="17" t="str">
        <f t="shared" si="12"/>
        <v/>
      </c>
      <c r="H160" s="40"/>
    </row>
    <row r="161" spans="2:8" x14ac:dyDescent="0.25">
      <c r="B161" s="46"/>
      <c r="C161" s="14"/>
      <c r="D161" s="21"/>
      <c r="E161" s="21"/>
      <c r="F161" s="414"/>
      <c r="G161" s="17" t="str">
        <f t="shared" si="12"/>
        <v/>
      </c>
      <c r="H161" s="40"/>
    </row>
    <row r="162" spans="2:8" ht="11.9" customHeight="1" x14ac:dyDescent="0.25">
      <c r="B162" s="46"/>
      <c r="C162" s="14"/>
      <c r="D162" s="21"/>
      <c r="E162" s="21"/>
      <c r="F162" s="414"/>
      <c r="G162" s="17" t="str">
        <f t="shared" si="12"/>
        <v/>
      </c>
      <c r="H162" s="40"/>
    </row>
    <row r="163" spans="2:8" x14ac:dyDescent="0.25">
      <c r="B163" s="46"/>
      <c r="C163" s="14"/>
      <c r="D163" s="21"/>
      <c r="E163" s="21"/>
      <c r="F163" s="414"/>
      <c r="G163" s="17" t="str">
        <f t="shared" si="12"/>
        <v/>
      </c>
      <c r="H163" s="40"/>
    </row>
    <row r="164" spans="2:8" ht="11.9" customHeight="1" x14ac:dyDescent="0.25">
      <c r="B164" s="46"/>
      <c r="C164" s="14"/>
      <c r="D164" s="21"/>
      <c r="E164" s="21"/>
      <c r="F164" s="414"/>
      <c r="G164" s="17" t="str">
        <f t="shared" si="12"/>
        <v/>
      </c>
      <c r="H164" s="40"/>
    </row>
    <row r="165" spans="2:8" x14ac:dyDescent="0.25">
      <c r="B165" s="46"/>
      <c r="C165" s="14"/>
      <c r="D165" s="21"/>
      <c r="E165" s="21"/>
      <c r="F165" s="414"/>
      <c r="G165" s="17" t="str">
        <f t="shared" si="12"/>
        <v/>
      </c>
      <c r="H165" s="40"/>
    </row>
    <row r="166" spans="2:8" ht="11.9" customHeight="1" x14ac:dyDescent="0.25">
      <c r="B166" s="46"/>
      <c r="C166" s="14"/>
      <c r="D166" s="21"/>
      <c r="E166" s="21"/>
      <c r="F166" s="414"/>
      <c r="G166" s="17" t="str">
        <f t="shared" si="12"/>
        <v/>
      </c>
      <c r="H166" s="40"/>
    </row>
    <row r="167" spans="2:8" x14ac:dyDescent="0.25">
      <c r="B167" s="46"/>
      <c r="C167" s="14"/>
      <c r="D167" s="21"/>
      <c r="E167" s="21"/>
      <c r="F167" s="414"/>
      <c r="G167" s="17" t="str">
        <f t="shared" si="12"/>
        <v/>
      </c>
      <c r="H167" s="40"/>
    </row>
    <row r="168" spans="2:8" ht="11.9" customHeight="1" x14ac:dyDescent="0.25">
      <c r="B168" s="46"/>
      <c r="C168" s="14"/>
      <c r="D168" s="21"/>
      <c r="E168" s="21"/>
      <c r="F168" s="414"/>
      <c r="G168" s="17" t="str">
        <f t="shared" si="12"/>
        <v/>
      </c>
      <c r="H168" s="40"/>
    </row>
    <row r="169" spans="2:8" x14ac:dyDescent="0.25">
      <c r="B169" s="46"/>
      <c r="C169" s="14"/>
      <c r="D169" s="21"/>
      <c r="E169" s="21"/>
      <c r="F169" s="414"/>
      <c r="G169" s="17" t="str">
        <f t="shared" si="12"/>
        <v/>
      </c>
      <c r="H169" s="40"/>
    </row>
    <row r="170" spans="2:8" ht="11.9" customHeight="1" x14ac:dyDescent="0.25">
      <c r="B170" s="46"/>
      <c r="C170" s="14"/>
      <c r="D170" s="21"/>
      <c r="E170" s="21"/>
      <c r="F170" s="414"/>
      <c r="G170" s="17" t="str">
        <f t="shared" si="12"/>
        <v/>
      </c>
      <c r="H170" s="40"/>
    </row>
    <row r="171" spans="2:8" x14ac:dyDescent="0.25">
      <c r="B171" s="46"/>
      <c r="C171" s="14"/>
      <c r="D171" s="21"/>
      <c r="E171" s="21"/>
      <c r="F171" s="414"/>
      <c r="G171" s="17" t="str">
        <f t="shared" si="12"/>
        <v/>
      </c>
      <c r="H171" s="40"/>
    </row>
    <row r="172" spans="2:8" ht="11.9" customHeight="1" x14ac:dyDescent="0.25">
      <c r="B172" s="46"/>
      <c r="C172" s="14"/>
      <c r="D172" s="21"/>
      <c r="E172" s="21"/>
      <c r="F172" s="414"/>
      <c r="G172" s="17" t="str">
        <f t="shared" si="12"/>
        <v/>
      </c>
      <c r="H172" s="40"/>
    </row>
    <row r="173" spans="2:8" x14ac:dyDescent="0.25">
      <c r="B173" s="46"/>
      <c r="C173" s="14"/>
      <c r="D173" s="21"/>
      <c r="E173" s="21"/>
      <c r="F173" s="414"/>
      <c r="G173" s="17" t="str">
        <f t="shared" si="12"/>
        <v/>
      </c>
      <c r="H173" s="40"/>
    </row>
    <row r="174" spans="2:8" ht="11.9" customHeight="1" x14ac:dyDescent="0.25">
      <c r="B174" s="46"/>
      <c r="C174" s="14"/>
      <c r="D174" s="21"/>
      <c r="E174" s="21"/>
      <c r="F174" s="414"/>
      <c r="G174" s="17" t="str">
        <f t="shared" si="12"/>
        <v/>
      </c>
      <c r="H174" s="40"/>
    </row>
    <row r="175" spans="2:8" x14ac:dyDescent="0.25">
      <c r="B175" s="46"/>
      <c r="C175" s="14"/>
      <c r="D175" s="21"/>
      <c r="E175" s="21"/>
      <c r="F175" s="414"/>
      <c r="G175" s="17" t="str">
        <f t="shared" si="12"/>
        <v/>
      </c>
      <c r="H175" s="40"/>
    </row>
    <row r="176" spans="2:8" ht="11.9" customHeight="1" x14ac:dyDescent="0.25">
      <c r="B176" s="46"/>
      <c r="C176" s="14"/>
      <c r="D176" s="21"/>
      <c r="E176" s="21"/>
      <c r="F176" s="414"/>
      <c r="G176" s="17" t="str">
        <f t="shared" si="12"/>
        <v/>
      </c>
      <c r="H176" s="40"/>
    </row>
    <row r="177" spans="2:8" x14ac:dyDescent="0.25">
      <c r="B177" s="46"/>
      <c r="C177" s="14"/>
      <c r="D177" s="21"/>
      <c r="E177" s="21"/>
      <c r="F177" s="414"/>
      <c r="G177" s="17" t="str">
        <f t="shared" si="12"/>
        <v/>
      </c>
      <c r="H177" s="40"/>
    </row>
    <row r="178" spans="2:8" ht="11.9" customHeight="1" x14ac:dyDescent="0.25">
      <c r="B178" s="46"/>
      <c r="C178" s="14"/>
      <c r="D178" s="21"/>
      <c r="E178" s="21"/>
      <c r="F178" s="414"/>
      <c r="G178" s="17" t="str">
        <f t="shared" si="12"/>
        <v/>
      </c>
      <c r="H178" s="40"/>
    </row>
    <row r="179" spans="2:8" x14ac:dyDescent="0.25">
      <c r="B179" s="46"/>
      <c r="C179" s="14"/>
      <c r="D179" s="21"/>
      <c r="E179" s="21"/>
      <c r="F179" s="414"/>
      <c r="G179" s="17" t="str">
        <f t="shared" si="12"/>
        <v/>
      </c>
      <c r="H179" s="40"/>
    </row>
    <row r="180" spans="2:8" ht="11.9" customHeight="1" x14ac:dyDescent="0.25">
      <c r="B180" s="46"/>
      <c r="C180" s="14"/>
      <c r="D180" s="21"/>
      <c r="E180" s="21"/>
      <c r="F180" s="414"/>
      <c r="G180" s="17" t="str">
        <f t="shared" si="12"/>
        <v/>
      </c>
      <c r="H180" s="40"/>
    </row>
    <row r="181" spans="2:8" x14ac:dyDescent="0.25">
      <c r="B181" s="46"/>
      <c r="C181" s="14"/>
      <c r="D181" s="21"/>
      <c r="E181" s="21"/>
      <c r="F181" s="414"/>
      <c r="G181" s="17" t="str">
        <f t="shared" si="12"/>
        <v/>
      </c>
      <c r="H181" s="40"/>
    </row>
    <row r="182" spans="2:8" ht="11.9" customHeight="1" x14ac:dyDescent="0.25">
      <c r="B182" s="46"/>
      <c r="C182" s="14"/>
      <c r="D182" s="21"/>
      <c r="E182" s="21"/>
      <c r="F182" s="414"/>
      <c r="G182" s="17" t="str">
        <f t="shared" si="12"/>
        <v/>
      </c>
      <c r="H182" s="40"/>
    </row>
    <row r="183" spans="2:8" x14ac:dyDescent="0.25">
      <c r="B183" s="46"/>
      <c r="C183" s="14"/>
      <c r="D183" s="21"/>
      <c r="E183" s="21"/>
      <c r="F183" s="414"/>
      <c r="G183" s="17" t="str">
        <f t="shared" si="12"/>
        <v/>
      </c>
      <c r="H183" s="40"/>
    </row>
    <row r="184" spans="2:8" ht="11.9" customHeight="1" x14ac:dyDescent="0.25">
      <c r="B184" s="46"/>
      <c r="C184" s="14"/>
      <c r="D184" s="21"/>
      <c r="E184" s="21"/>
      <c r="F184" s="414"/>
      <c r="G184" s="17" t="str">
        <f t="shared" si="12"/>
        <v/>
      </c>
      <c r="H184" s="40"/>
    </row>
    <row r="185" spans="2:8" x14ac:dyDescent="0.25">
      <c r="B185" s="46"/>
      <c r="C185" s="14"/>
      <c r="D185" s="21"/>
      <c r="E185" s="21"/>
      <c r="F185" s="414"/>
      <c r="G185" s="17" t="str">
        <f t="shared" si="12"/>
        <v/>
      </c>
      <c r="H185" s="40"/>
    </row>
    <row r="186" spans="2:8" ht="11.9" customHeight="1" x14ac:dyDescent="0.25">
      <c r="B186" s="46"/>
      <c r="C186" s="14"/>
      <c r="D186" s="21"/>
      <c r="E186" s="21"/>
      <c r="F186" s="414"/>
      <c r="G186" s="17" t="str">
        <f t="shared" si="12"/>
        <v/>
      </c>
      <c r="H186" s="40"/>
    </row>
    <row r="187" spans="2:8" x14ac:dyDescent="0.25">
      <c r="B187" s="46"/>
      <c r="C187" s="14"/>
      <c r="D187" s="21"/>
      <c r="E187" s="21"/>
      <c r="F187" s="414"/>
      <c r="G187" s="17" t="str">
        <f t="shared" si="12"/>
        <v/>
      </c>
      <c r="H187" s="40"/>
    </row>
    <row r="188" spans="2:8" ht="11.9" customHeight="1" x14ac:dyDescent="0.25">
      <c r="B188" s="46"/>
      <c r="C188" s="14"/>
      <c r="D188" s="21"/>
      <c r="E188" s="21"/>
      <c r="F188" s="414"/>
      <c r="G188" s="17" t="str">
        <f t="shared" si="12"/>
        <v/>
      </c>
      <c r="H188" s="40"/>
    </row>
    <row r="189" spans="2:8" ht="13.5" customHeight="1" x14ac:dyDescent="0.25">
      <c r="B189" s="46"/>
      <c r="C189" s="14"/>
      <c r="D189" s="21"/>
      <c r="E189" s="21"/>
      <c r="F189" s="414"/>
      <c r="G189" s="17" t="str">
        <f t="shared" si="12"/>
        <v/>
      </c>
      <c r="H189" s="40"/>
    </row>
    <row r="190" spans="2:8" ht="11.9" customHeight="1" x14ac:dyDescent="0.25">
      <c r="B190" s="46"/>
      <c r="C190" s="14"/>
      <c r="D190" s="21"/>
      <c r="E190" s="21"/>
      <c r="F190" s="414"/>
      <c r="G190" s="17" t="str">
        <f t="shared" si="12"/>
        <v/>
      </c>
      <c r="H190" s="40"/>
    </row>
    <row r="191" spans="2:8" x14ac:dyDescent="0.25">
      <c r="B191" s="46"/>
      <c r="C191" s="14"/>
      <c r="D191" s="21"/>
      <c r="E191" s="21"/>
      <c r="F191" s="414"/>
      <c r="G191" s="17" t="str">
        <f t="shared" si="12"/>
        <v/>
      </c>
      <c r="H191" s="40"/>
    </row>
    <row r="192" spans="2:8" ht="11.9" customHeight="1" x14ac:dyDescent="0.25">
      <c r="B192" s="46"/>
      <c r="C192" s="14"/>
      <c r="D192" s="21"/>
      <c r="E192" s="21"/>
      <c r="F192" s="414"/>
      <c r="G192" s="17" t="str">
        <f t="shared" si="12"/>
        <v/>
      </c>
      <c r="H192" s="40"/>
    </row>
    <row r="193" spans="2:8" x14ac:dyDescent="0.25">
      <c r="B193" s="46"/>
      <c r="C193" s="14"/>
      <c r="D193" s="21"/>
      <c r="E193" s="21"/>
      <c r="F193" s="414"/>
      <c r="G193" s="17" t="str">
        <f t="shared" si="12"/>
        <v/>
      </c>
      <c r="H193" s="40"/>
    </row>
    <row r="194" spans="2:8" ht="11.9" customHeight="1" x14ac:dyDescent="0.25">
      <c r="B194" s="46"/>
      <c r="C194" s="14"/>
      <c r="D194" s="21"/>
      <c r="E194" s="21"/>
      <c r="F194" s="414"/>
      <c r="G194" s="17" t="str">
        <f t="shared" si="12"/>
        <v/>
      </c>
      <c r="H194" s="40"/>
    </row>
    <row r="195" spans="2:8" x14ac:dyDescent="0.25">
      <c r="B195" s="46"/>
      <c r="C195" s="14"/>
      <c r="D195" s="21"/>
      <c r="E195" s="21"/>
      <c r="F195" s="414"/>
      <c r="G195" s="17" t="str">
        <f t="shared" si="12"/>
        <v/>
      </c>
      <c r="H195" s="40"/>
    </row>
    <row r="196" spans="2:8" ht="11.9" customHeight="1" x14ac:dyDescent="0.25">
      <c r="B196" s="46"/>
      <c r="C196" s="14"/>
      <c r="D196" s="21"/>
      <c r="E196" s="21"/>
      <c r="F196" s="414"/>
      <c r="G196" s="17" t="str">
        <f t="shared" si="12"/>
        <v/>
      </c>
      <c r="H196" s="40"/>
    </row>
    <row r="197" spans="2:8" x14ac:dyDescent="0.25">
      <c r="B197" s="46"/>
      <c r="C197" s="14"/>
      <c r="D197" s="21"/>
      <c r="E197" s="21"/>
      <c r="F197" s="414"/>
      <c r="G197" s="17" t="str">
        <f t="shared" si="12"/>
        <v/>
      </c>
      <c r="H197" s="40"/>
    </row>
    <row r="198" spans="2:8" ht="11.9" customHeight="1" x14ac:dyDescent="0.25">
      <c r="B198" s="46"/>
      <c r="C198" s="14"/>
      <c r="D198" s="21"/>
      <c r="E198" s="21"/>
      <c r="F198" s="414"/>
      <c r="G198" s="17" t="str">
        <f t="shared" si="12"/>
        <v/>
      </c>
      <c r="H198" s="40"/>
    </row>
    <row r="199" spans="2:8" x14ac:dyDescent="0.25">
      <c r="B199" s="46"/>
      <c r="C199" s="14"/>
      <c r="D199" s="21"/>
      <c r="E199" s="21"/>
      <c r="F199" s="414"/>
      <c r="G199" s="17" t="str">
        <f t="shared" si="12"/>
        <v/>
      </c>
      <c r="H199" s="40"/>
    </row>
    <row r="200" spans="2:8" ht="11.9" customHeight="1" x14ac:dyDescent="0.25">
      <c r="B200" s="46"/>
      <c r="C200" s="14"/>
      <c r="D200" s="21"/>
      <c r="E200" s="21"/>
      <c r="F200" s="414"/>
      <c r="G200" s="17" t="str">
        <f t="shared" si="12"/>
        <v/>
      </c>
      <c r="H200" s="40"/>
    </row>
    <row r="201" spans="2:8" x14ac:dyDescent="0.25">
      <c r="B201" s="46"/>
      <c r="C201" s="14"/>
      <c r="D201" s="21"/>
      <c r="E201" s="21"/>
      <c r="F201" s="414"/>
      <c r="G201" s="17" t="str">
        <f t="shared" si="12"/>
        <v/>
      </c>
      <c r="H201" s="40"/>
    </row>
    <row r="202" spans="2:8" ht="11.9" customHeight="1" x14ac:dyDescent="0.25">
      <c r="B202" s="46"/>
      <c r="C202" s="14"/>
      <c r="D202" s="21"/>
      <c r="E202" s="21"/>
      <c r="F202" s="414"/>
      <c r="G202" s="17" t="str">
        <f t="shared" si="12"/>
        <v/>
      </c>
      <c r="H202" s="40"/>
    </row>
    <row r="203" spans="2:8" x14ac:dyDescent="0.25">
      <c r="B203" s="46"/>
      <c r="C203" s="14"/>
      <c r="D203" s="21"/>
      <c r="E203" s="21"/>
      <c r="F203" s="414"/>
      <c r="G203" s="17" t="str">
        <f t="shared" si="12"/>
        <v/>
      </c>
      <c r="H203" s="40"/>
    </row>
    <row r="204" spans="2:8" ht="11.9" customHeight="1" x14ac:dyDescent="0.25">
      <c r="B204" s="46"/>
      <c r="C204" s="14"/>
      <c r="D204" s="21"/>
      <c r="E204" s="21"/>
      <c r="F204" s="414"/>
      <c r="G204" s="17" t="str">
        <f t="shared" si="12"/>
        <v/>
      </c>
      <c r="H204" s="40"/>
    </row>
    <row r="205" spans="2:8" x14ac:dyDescent="0.25">
      <c r="B205" s="46"/>
      <c r="C205" s="14"/>
      <c r="D205" s="21"/>
      <c r="E205" s="21"/>
      <c r="F205" s="414"/>
      <c r="G205" s="17" t="str">
        <f t="shared" si="12"/>
        <v/>
      </c>
      <c r="H205" s="40"/>
    </row>
    <row r="206" spans="2:8" ht="11.9" customHeight="1" x14ac:dyDescent="0.25">
      <c r="B206" s="46"/>
      <c r="C206" s="14"/>
      <c r="D206" s="21"/>
      <c r="E206" s="21"/>
      <c r="F206" s="414"/>
      <c r="G206" s="17" t="str">
        <f t="shared" si="12"/>
        <v/>
      </c>
      <c r="H206" s="40"/>
    </row>
    <row r="207" spans="2:8" x14ac:dyDescent="0.25">
      <c r="B207" s="46"/>
      <c r="C207" s="14"/>
      <c r="D207" s="21"/>
      <c r="E207" s="21"/>
      <c r="F207" s="414"/>
      <c r="G207" s="17" t="str">
        <f t="shared" si="12"/>
        <v/>
      </c>
      <c r="H207" s="40"/>
    </row>
    <row r="208" spans="2:8" ht="11.9" customHeight="1" x14ac:dyDescent="0.25">
      <c r="B208" s="46"/>
      <c r="C208" s="14"/>
      <c r="D208" s="21"/>
      <c r="E208" s="21"/>
      <c r="F208" s="414"/>
      <c r="G208" s="17" t="str">
        <f t="shared" si="12"/>
        <v/>
      </c>
      <c r="H208" s="40"/>
    </row>
    <row r="209" spans="2:8" x14ac:dyDescent="0.25">
      <c r="B209" s="46"/>
      <c r="C209" s="14"/>
      <c r="D209" s="21"/>
      <c r="E209" s="21"/>
      <c r="F209" s="414"/>
      <c r="G209" s="17" t="str">
        <f t="shared" si="12"/>
        <v/>
      </c>
      <c r="H209" s="40"/>
    </row>
    <row r="210" spans="2:8" ht="11.9" customHeight="1" x14ac:dyDescent="0.25">
      <c r="B210" s="46"/>
      <c r="C210" s="14"/>
      <c r="D210" s="21"/>
      <c r="E210" s="21"/>
      <c r="F210" s="414"/>
      <c r="G210" s="17" t="str">
        <f t="shared" si="12"/>
        <v/>
      </c>
      <c r="H210" s="40"/>
    </row>
    <row r="211" spans="2:8" x14ac:dyDescent="0.25">
      <c r="B211" s="46"/>
      <c r="C211" s="14"/>
      <c r="D211" s="21"/>
      <c r="E211" s="21"/>
      <c r="F211" s="414"/>
      <c r="G211" s="17" t="str">
        <f t="shared" si="12"/>
        <v/>
      </c>
      <c r="H211" s="40"/>
    </row>
    <row r="212" spans="2:8" ht="11.9" customHeight="1" x14ac:dyDescent="0.25">
      <c r="B212" s="46"/>
      <c r="C212" s="14"/>
      <c r="D212" s="21"/>
      <c r="E212" s="21"/>
      <c r="F212" s="414"/>
      <c r="G212" s="17" t="str">
        <f t="shared" si="12"/>
        <v/>
      </c>
      <c r="H212" s="40"/>
    </row>
    <row r="213" spans="2:8" x14ac:dyDescent="0.25">
      <c r="B213" s="46"/>
      <c r="C213" s="14"/>
      <c r="D213" s="21"/>
      <c r="E213" s="21"/>
      <c r="F213" s="414"/>
      <c r="G213" s="17" t="str">
        <f t="shared" si="12"/>
        <v/>
      </c>
      <c r="H213" s="40"/>
    </row>
    <row r="214" spans="2:8" ht="11.9" customHeight="1" x14ac:dyDescent="0.25">
      <c r="B214" s="46"/>
      <c r="C214" s="14"/>
      <c r="D214" s="21"/>
      <c r="E214" s="21"/>
      <c r="F214" s="414"/>
      <c r="G214" s="17" t="str">
        <f t="shared" si="12"/>
        <v/>
      </c>
      <c r="H214" s="40"/>
    </row>
    <row r="215" spans="2:8" s="28" customFormat="1" ht="24.75" customHeight="1" x14ac:dyDescent="0.25">
      <c r="B215" s="144" t="str">
        <f>$B$14</f>
        <v>C13.1</v>
      </c>
      <c r="C215" s="498" t="str">
        <f>"TOTAL CARRIED FORWARD"&amp;IF(G215=G$1," TO SUMMARY (Page C"&amp;Page_A&amp;")","")</f>
        <v>TOTAL CARRIED FORWARD TO SUMMARY (Page C48)</v>
      </c>
      <c r="D215" s="31"/>
      <c r="E215" s="32"/>
      <c r="F215" s="31"/>
      <c r="G215" s="33">
        <f>SUM(G155:G214)</f>
        <v>0</v>
      </c>
      <c r="H215" s="34"/>
    </row>
  </sheetData>
  <mergeCells count="18">
    <mergeCell ref="B150:F150"/>
    <mergeCell ref="G150:G153"/>
    <mergeCell ref="B151:F153"/>
    <mergeCell ref="B85:F85"/>
    <mergeCell ref="G85:G88"/>
    <mergeCell ref="B86:F88"/>
    <mergeCell ref="B147:D147"/>
    <mergeCell ref="E147:G149"/>
    <mergeCell ref="B148:D148"/>
    <mergeCell ref="B149:D149"/>
    <mergeCell ref="E3:G3"/>
    <mergeCell ref="B6:F6"/>
    <mergeCell ref="G6:G11"/>
    <mergeCell ref="B82:D82"/>
    <mergeCell ref="E82:G84"/>
    <mergeCell ref="B83:D83"/>
    <mergeCell ref="B84:D84"/>
    <mergeCell ref="B7:F9"/>
  </mergeCells>
  <conditionalFormatting sqref="F13:G81">
    <cfRule type="expression" dxfId="0" priority="1">
      <formula>AND(_Show_Price=FALSE,$D13&lt;&gt;"PC Sum",$D13&lt;&gt;"P C Sum",$D13&lt;&gt;"Prov Sum",$D13&lt;&gt;"P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70C0"/>
  </sheetPr>
  <dimension ref="A1:N78"/>
  <sheetViews>
    <sheetView view="pageBreakPreview" zoomScale="90" zoomScaleNormal="125" zoomScaleSheetLayoutView="90" zoomScalePageLayoutView="125" workbookViewId="0">
      <selection activeCell="G16" sqref="G1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11.7265625"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1</v>
      </c>
      <c r="H1" s="247">
        <f>MAX(H2:H78)</f>
        <v>0</v>
      </c>
      <c r="I1" s="247">
        <f>MAX(I2:I212)</f>
        <v>0</v>
      </c>
      <c r="J1" s="248"/>
      <c r="K1" s="249"/>
      <c r="L1" s="417">
        <f>MAX(L2:L78)</f>
        <v>0</v>
      </c>
      <c r="M1" s="249"/>
    </row>
    <row r="2" spans="1:14" s="250" customFormat="1" ht="11.5" x14ac:dyDescent="0.25">
      <c r="B2" s="251" t="s">
        <v>995</v>
      </c>
      <c r="C2" s="252" t="s">
        <v>1</v>
      </c>
      <c r="D2" s="252" t="s">
        <v>2</v>
      </c>
      <c r="E2" s="252" t="s">
        <v>996</v>
      </c>
      <c r="F2" s="252" t="s">
        <v>3</v>
      </c>
      <c r="G2" s="252" t="s">
        <v>4</v>
      </c>
      <c r="H2" s="252" t="s">
        <v>5</v>
      </c>
      <c r="I2" s="252"/>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1" t="str">
        <f>"CHAPTER "&amp;B12</f>
        <v>CHAPTER C1.3</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14"/>
      <c r="D11" s="15"/>
      <c r="E11" s="15"/>
      <c r="F11" s="15"/>
      <c r="G11" s="411"/>
      <c r="H11" s="17" t="str">
        <f t="shared" ref="H11:H74" si="0">IF(D11="","",F11*G11)</f>
        <v/>
      </c>
      <c r="I11" s="18"/>
      <c r="J11" s="61"/>
      <c r="K11" s="399"/>
      <c r="L11" s="420" t="str">
        <f t="shared" ref="L11" si="1">IF(J11="","",F11*K11)</f>
        <v/>
      </c>
      <c r="M11" s="401" t="str">
        <f>IF(J11="","",IF(SUM(H11)=0,"",L11/H11))</f>
        <v/>
      </c>
    </row>
    <row r="12" spans="1:14" ht="26" x14ac:dyDescent="0.25">
      <c r="B12" s="146" t="s">
        <v>53</v>
      </c>
      <c r="C12" s="19" t="s">
        <v>54</v>
      </c>
      <c r="D12" s="15"/>
      <c r="E12" s="15"/>
      <c r="F12" s="15"/>
      <c r="G12" s="411"/>
      <c r="H12" s="17" t="str">
        <f t="shared" si="0"/>
        <v/>
      </c>
      <c r="I12" s="18"/>
      <c r="J12" s="61"/>
      <c r="K12" s="399"/>
      <c r="L12" s="420" t="str">
        <f t="shared" ref="L12:L75" si="2">IF(J12="","",F12*K12)</f>
        <v/>
      </c>
      <c r="M12" s="401" t="str">
        <f t="shared" ref="M12:M75" si="3">IF(J12="","",IF(SUM(H12)=0,"",L12/H12))</f>
        <v/>
      </c>
    </row>
    <row r="13" spans="1:14" x14ac:dyDescent="0.25">
      <c r="B13" s="58"/>
      <c r="C13" s="14"/>
      <c r="D13" s="15"/>
      <c r="E13" s="15"/>
      <c r="F13" s="15"/>
      <c r="G13" s="411"/>
      <c r="H13" s="17" t="str">
        <f t="shared" si="0"/>
        <v/>
      </c>
      <c r="I13" s="18"/>
      <c r="J13" s="61"/>
      <c r="K13" s="399"/>
      <c r="L13" s="420" t="str">
        <f t="shared" si="2"/>
        <v/>
      </c>
      <c r="M13" s="401" t="str">
        <f t="shared" si="3"/>
        <v/>
      </c>
    </row>
    <row r="14" spans="1:14" ht="13" x14ac:dyDescent="0.25">
      <c r="B14" s="146" t="s">
        <v>1864</v>
      </c>
      <c r="C14" s="19" t="s">
        <v>55</v>
      </c>
      <c r="D14" s="15"/>
      <c r="E14" s="15"/>
      <c r="F14" s="15"/>
      <c r="G14" s="411"/>
      <c r="H14" s="17" t="str">
        <f t="shared" si="0"/>
        <v/>
      </c>
      <c r="I14" s="18"/>
      <c r="J14" s="61"/>
      <c r="K14" s="399"/>
      <c r="L14" s="420" t="str">
        <f t="shared" si="2"/>
        <v/>
      </c>
      <c r="M14" s="401" t="str">
        <f t="shared" si="3"/>
        <v/>
      </c>
    </row>
    <row r="15" spans="1:14" x14ac:dyDescent="0.25">
      <c r="B15" s="58"/>
      <c r="C15" s="14"/>
      <c r="D15" s="15"/>
      <c r="E15" s="15"/>
      <c r="F15" s="15"/>
      <c r="G15" s="411"/>
      <c r="H15" s="17" t="str">
        <f t="shared" si="0"/>
        <v/>
      </c>
      <c r="I15" s="18"/>
      <c r="J15" s="61"/>
      <c r="K15" s="399"/>
      <c r="L15" s="420" t="str">
        <f t="shared" si="2"/>
        <v/>
      </c>
      <c r="M15" s="401" t="str">
        <f t="shared" si="3"/>
        <v/>
      </c>
    </row>
    <row r="16" spans="1:14" x14ac:dyDescent="0.25">
      <c r="B16" s="58" t="s">
        <v>56</v>
      </c>
      <c r="C16" s="14" t="s">
        <v>58</v>
      </c>
      <c r="D16" s="15" t="s">
        <v>11</v>
      </c>
      <c r="E16" s="15"/>
      <c r="F16" s="24">
        <v>1</v>
      </c>
      <c r="G16" s="422"/>
      <c r="H16" s="17">
        <f t="shared" si="0"/>
        <v>0</v>
      </c>
      <c r="I16" s="57"/>
      <c r="J16" s="61"/>
      <c r="K16" s="400"/>
      <c r="L16" s="420" t="str">
        <f t="shared" si="2"/>
        <v/>
      </c>
      <c r="M16" s="401" t="str">
        <f t="shared" si="3"/>
        <v/>
      </c>
    </row>
    <row r="17" spans="2:13" x14ac:dyDescent="0.25">
      <c r="B17" s="58"/>
      <c r="C17" s="14"/>
      <c r="D17" s="15"/>
      <c r="E17" s="15"/>
      <c r="F17" s="24"/>
      <c r="G17" s="422"/>
      <c r="H17" s="17" t="str">
        <f t="shared" si="0"/>
        <v/>
      </c>
      <c r="I17" s="57"/>
      <c r="J17" s="61"/>
      <c r="K17" s="399"/>
      <c r="L17" s="420" t="str">
        <f t="shared" si="2"/>
        <v/>
      </c>
      <c r="M17" s="401" t="str">
        <f t="shared" si="3"/>
        <v/>
      </c>
    </row>
    <row r="18" spans="2:13" x14ac:dyDescent="0.25">
      <c r="B18" s="58" t="s">
        <v>57</v>
      </c>
      <c r="C18" s="14" t="s">
        <v>59</v>
      </c>
      <c r="D18" s="15" t="s">
        <v>18</v>
      </c>
      <c r="E18" s="15"/>
      <c r="F18" s="24">
        <f>_ContractPeriod</f>
        <v>22</v>
      </c>
      <c r="G18" s="422"/>
      <c r="H18" s="17">
        <f t="shared" si="0"/>
        <v>0</v>
      </c>
      <c r="I18" s="57"/>
      <c r="J18" s="61"/>
      <c r="K18" s="402"/>
      <c r="L18" s="420" t="str">
        <f t="shared" si="2"/>
        <v/>
      </c>
      <c r="M18" s="401" t="str">
        <f t="shared" si="3"/>
        <v/>
      </c>
    </row>
    <row r="19" spans="2:13" x14ac:dyDescent="0.25">
      <c r="B19" s="58"/>
      <c r="C19" s="14"/>
      <c r="D19" s="15"/>
      <c r="E19" s="15"/>
      <c r="F19" s="24"/>
      <c r="G19" s="411"/>
      <c r="H19" s="17" t="str">
        <f t="shared" si="0"/>
        <v/>
      </c>
      <c r="I19" s="18"/>
      <c r="J19" s="61"/>
      <c r="K19" s="402"/>
      <c r="L19" s="420" t="str">
        <f t="shared" si="2"/>
        <v/>
      </c>
      <c r="M19" s="401" t="str">
        <f t="shared" si="3"/>
        <v/>
      </c>
    </row>
    <row r="20" spans="2:13" ht="14.5" x14ac:dyDescent="0.25">
      <c r="B20" s="146" t="s">
        <v>1865</v>
      </c>
      <c r="C20" s="19" t="s">
        <v>60</v>
      </c>
      <c r="D20" s="15" t="s">
        <v>61</v>
      </c>
      <c r="E20" s="15"/>
      <c r="F20" s="24">
        <v>12</v>
      </c>
      <c r="G20" s="422"/>
      <c r="H20" s="17">
        <f t="shared" si="0"/>
        <v>0</v>
      </c>
      <c r="I20" s="18"/>
      <c r="J20" s="61"/>
      <c r="K20" s="402"/>
      <c r="L20" s="420" t="str">
        <f t="shared" si="2"/>
        <v/>
      </c>
      <c r="M20" s="401" t="str">
        <f t="shared" si="3"/>
        <v/>
      </c>
    </row>
    <row r="21" spans="2:13" x14ac:dyDescent="0.25">
      <c r="B21" s="58"/>
      <c r="C21" s="14"/>
      <c r="D21" s="15"/>
      <c r="E21" s="15"/>
      <c r="F21" s="24"/>
      <c r="G21" s="411"/>
      <c r="H21" s="17" t="str">
        <f t="shared" si="0"/>
        <v/>
      </c>
      <c r="I21" s="60"/>
      <c r="J21" s="61"/>
      <c r="K21" s="402"/>
      <c r="L21" s="420" t="str">
        <f t="shared" si="2"/>
        <v/>
      </c>
      <c r="M21" s="401" t="str">
        <f t="shared" si="3"/>
        <v/>
      </c>
    </row>
    <row r="22" spans="2:13" x14ac:dyDescent="0.25">
      <c r="B22" s="58"/>
      <c r="C22" s="14"/>
      <c r="D22" s="15"/>
      <c r="E22" s="15"/>
      <c r="F22" s="24"/>
      <c r="G22" s="411"/>
      <c r="H22" s="17" t="str">
        <f t="shared" si="0"/>
        <v/>
      </c>
      <c r="I22" s="60"/>
      <c r="J22" s="61"/>
      <c r="K22" s="402"/>
      <c r="L22" s="420" t="str">
        <f t="shared" si="2"/>
        <v/>
      </c>
      <c r="M22" s="401" t="str">
        <f t="shared" si="3"/>
        <v/>
      </c>
    </row>
    <row r="23" spans="2:13" x14ac:dyDescent="0.25">
      <c r="B23" s="58"/>
      <c r="C23" s="14"/>
      <c r="D23" s="15"/>
      <c r="E23" s="15"/>
      <c r="F23" s="24"/>
      <c r="G23" s="411"/>
      <c r="H23" s="17" t="str">
        <f t="shared" si="0"/>
        <v/>
      </c>
      <c r="I23" s="60"/>
      <c r="J23" s="61"/>
      <c r="K23" s="402"/>
      <c r="L23" s="420" t="str">
        <f t="shared" si="2"/>
        <v/>
      </c>
      <c r="M23" s="401" t="str">
        <f t="shared" si="3"/>
        <v/>
      </c>
    </row>
    <row r="24" spans="2:13" ht="13" x14ac:dyDescent="0.25">
      <c r="B24" s="395"/>
      <c r="C24" s="683"/>
      <c r="D24" s="684"/>
      <c r="E24" s="684"/>
      <c r="F24" s="684"/>
      <c r="G24" s="685"/>
      <c r="H24" s="17" t="str">
        <f t="shared" si="0"/>
        <v/>
      </c>
      <c r="I24" s="18"/>
      <c r="J24" s="61"/>
      <c r="K24" s="402"/>
      <c r="L24" s="420" t="str">
        <f t="shared" si="2"/>
        <v/>
      </c>
      <c r="M24" s="401" t="str">
        <f t="shared" si="3"/>
        <v/>
      </c>
    </row>
    <row r="25" spans="2:13" x14ac:dyDescent="0.25">
      <c r="B25" s="58"/>
      <c r="C25" s="686"/>
      <c r="D25" s="684"/>
      <c r="E25" s="684"/>
      <c r="F25" s="684"/>
      <c r="G25" s="685"/>
      <c r="H25" s="17" t="str">
        <f t="shared" si="0"/>
        <v/>
      </c>
      <c r="I25" s="18"/>
      <c r="J25" s="61"/>
      <c r="K25" s="402"/>
      <c r="L25" s="420" t="str">
        <f t="shared" si="2"/>
        <v/>
      </c>
      <c r="M25" s="401" t="str">
        <f t="shared" si="3"/>
        <v/>
      </c>
    </row>
    <row r="26" spans="2:13" x14ac:dyDescent="0.25">
      <c r="B26" s="395"/>
      <c r="C26" s="686"/>
      <c r="D26" s="684"/>
      <c r="E26" s="684"/>
      <c r="F26" s="687"/>
      <c r="G26" s="685"/>
      <c r="H26" s="389" t="str">
        <f t="shared" si="0"/>
        <v/>
      </c>
      <c r="I26" s="18"/>
      <c r="J26" s="61"/>
      <c r="K26" s="399"/>
      <c r="L26" s="420" t="str">
        <f t="shared" si="2"/>
        <v/>
      </c>
      <c r="M26" s="401" t="str">
        <f t="shared" si="3"/>
        <v/>
      </c>
    </row>
    <row r="27" spans="2:13" x14ac:dyDescent="0.25">
      <c r="B27" s="395"/>
      <c r="C27" s="686"/>
      <c r="D27" s="684"/>
      <c r="E27" s="684"/>
      <c r="F27" s="684"/>
      <c r="G27" s="685"/>
      <c r="H27" s="389" t="str">
        <f t="shared" si="0"/>
        <v/>
      </c>
      <c r="I27" s="18"/>
      <c r="J27" s="61"/>
      <c r="K27" s="399"/>
      <c r="L27" s="420" t="str">
        <f t="shared" si="2"/>
        <v/>
      </c>
      <c r="M27" s="401" t="str">
        <f t="shared" si="3"/>
        <v/>
      </c>
    </row>
    <row r="28" spans="2:13" x14ac:dyDescent="0.25">
      <c r="B28" s="395"/>
      <c r="C28" s="686"/>
      <c r="D28" s="684"/>
      <c r="E28" s="684"/>
      <c r="F28" s="687"/>
      <c r="G28" s="688"/>
      <c r="H28" s="389" t="str">
        <f t="shared" si="0"/>
        <v/>
      </c>
      <c r="I28" s="18"/>
      <c r="J28" s="61"/>
      <c r="K28" s="400"/>
      <c r="L28" s="420" t="str">
        <f t="shared" si="2"/>
        <v/>
      </c>
      <c r="M28" s="401" t="str">
        <f t="shared" si="3"/>
        <v/>
      </c>
    </row>
    <row r="29" spans="2:13" x14ac:dyDescent="0.25">
      <c r="B29" s="58"/>
      <c r="C29" s="686"/>
      <c r="D29" s="684"/>
      <c r="E29" s="684"/>
      <c r="F29" s="684"/>
      <c r="G29" s="685"/>
      <c r="H29" s="17" t="str">
        <f t="shared" si="0"/>
        <v/>
      </c>
      <c r="I29" s="18"/>
      <c r="J29" s="61"/>
      <c r="K29" s="399"/>
      <c r="L29" s="420" t="str">
        <f t="shared" si="2"/>
        <v/>
      </c>
      <c r="M29" s="401" t="str">
        <f t="shared" si="3"/>
        <v/>
      </c>
    </row>
    <row r="30" spans="2:13" ht="13" x14ac:dyDescent="0.25">
      <c r="B30" s="395"/>
      <c r="C30" s="683"/>
      <c r="D30" s="684"/>
      <c r="E30" s="684"/>
      <c r="F30" s="684"/>
      <c r="G30" s="685"/>
      <c r="H30" s="389" t="str">
        <f t="shared" si="0"/>
        <v/>
      </c>
      <c r="I30" s="18"/>
      <c r="J30" s="61"/>
      <c r="K30" s="399"/>
      <c r="L30" s="420" t="str">
        <f t="shared" si="2"/>
        <v/>
      </c>
      <c r="M30" s="401" t="str">
        <f t="shared" si="3"/>
        <v/>
      </c>
    </row>
    <row r="31" spans="2:13" x14ac:dyDescent="0.25">
      <c r="B31" s="395"/>
      <c r="C31" s="686"/>
      <c r="D31" s="684"/>
      <c r="E31" s="684"/>
      <c r="F31" s="684"/>
      <c r="G31" s="685"/>
      <c r="H31" s="389" t="str">
        <f t="shared" si="0"/>
        <v/>
      </c>
      <c r="I31" s="18"/>
      <c r="J31" s="61"/>
      <c r="K31" s="399"/>
      <c r="L31" s="420" t="str">
        <f t="shared" si="2"/>
        <v/>
      </c>
      <c r="M31" s="401" t="str">
        <f t="shared" si="3"/>
        <v/>
      </c>
    </row>
    <row r="32" spans="2:13" x14ac:dyDescent="0.25">
      <c r="B32" s="395"/>
      <c r="C32" s="686"/>
      <c r="D32" s="684"/>
      <c r="E32" s="684"/>
      <c r="F32" s="687"/>
      <c r="G32" s="685"/>
      <c r="H32" s="389" t="str">
        <f t="shared" si="0"/>
        <v/>
      </c>
      <c r="I32" s="18"/>
      <c r="J32" s="61"/>
      <c r="K32" s="399"/>
      <c r="L32" s="420" t="str">
        <f t="shared" si="2"/>
        <v/>
      </c>
      <c r="M32" s="401" t="str">
        <f t="shared" si="3"/>
        <v/>
      </c>
    </row>
    <row r="33" spans="2:13" x14ac:dyDescent="0.25">
      <c r="B33" s="395"/>
      <c r="C33" s="668"/>
      <c r="D33" s="684"/>
      <c r="E33" s="684"/>
      <c r="F33" s="684"/>
      <c r="G33" s="685"/>
      <c r="H33" s="389" t="str">
        <f t="shared" si="0"/>
        <v/>
      </c>
      <c r="I33" s="18"/>
      <c r="J33" s="61"/>
      <c r="K33" s="399"/>
      <c r="L33" s="420" t="str">
        <f t="shared" si="2"/>
        <v/>
      </c>
      <c r="M33" s="401" t="str">
        <f t="shared" si="3"/>
        <v/>
      </c>
    </row>
    <row r="34" spans="2:13" x14ac:dyDescent="0.25">
      <c r="B34" s="395"/>
      <c r="C34" s="686"/>
      <c r="D34" s="684"/>
      <c r="E34" s="684"/>
      <c r="F34" s="687"/>
      <c r="G34" s="688"/>
      <c r="H34" s="389" t="str">
        <f t="shared" si="0"/>
        <v/>
      </c>
      <c r="I34" s="18"/>
      <c r="J34" s="61"/>
      <c r="K34" s="400"/>
      <c r="L34" s="420" t="str">
        <f t="shared" si="2"/>
        <v/>
      </c>
      <c r="M34" s="401" t="str">
        <f t="shared" si="3"/>
        <v/>
      </c>
    </row>
    <row r="35" spans="2:13" x14ac:dyDescent="0.25">
      <c r="B35" s="58"/>
      <c r="C35" s="686"/>
      <c r="D35" s="684"/>
      <c r="E35" s="684"/>
      <c r="F35" s="684"/>
      <c r="G35" s="685"/>
      <c r="H35" s="17" t="str">
        <f t="shared" si="0"/>
        <v/>
      </c>
      <c r="I35" s="18"/>
      <c r="J35" s="61"/>
      <c r="K35" s="399"/>
      <c r="L35" s="420" t="str">
        <f t="shared" si="2"/>
        <v/>
      </c>
      <c r="M35" s="401" t="str">
        <f t="shared" si="3"/>
        <v/>
      </c>
    </row>
    <row r="36" spans="2:13" x14ac:dyDescent="0.25">
      <c r="B36" s="58"/>
      <c r="C36" s="14"/>
      <c r="D36" s="15"/>
      <c r="E36" s="15"/>
      <c r="F36" s="15"/>
      <c r="G36" s="422"/>
      <c r="H36" s="17" t="str">
        <f t="shared" si="0"/>
        <v/>
      </c>
      <c r="I36" s="18"/>
      <c r="J36" s="61"/>
      <c r="K36" s="399"/>
      <c r="L36" s="420" t="str">
        <f t="shared" si="2"/>
        <v/>
      </c>
      <c r="M36" s="401" t="str">
        <f t="shared" si="3"/>
        <v/>
      </c>
    </row>
    <row r="37" spans="2:13" x14ac:dyDescent="0.25">
      <c r="B37" s="58"/>
      <c r="C37" s="14"/>
      <c r="D37" s="15"/>
      <c r="E37" s="15"/>
      <c r="F37" s="15"/>
      <c r="G37" s="422"/>
      <c r="H37" s="17" t="str">
        <f t="shared" si="0"/>
        <v/>
      </c>
      <c r="I37" s="18"/>
      <c r="J37" s="61"/>
      <c r="K37" s="399"/>
      <c r="L37" s="420" t="str">
        <f t="shared" si="2"/>
        <v/>
      </c>
      <c r="M37" s="401" t="str">
        <f t="shared" si="3"/>
        <v/>
      </c>
    </row>
    <row r="38" spans="2:13" x14ac:dyDescent="0.25">
      <c r="B38" s="58"/>
      <c r="C38" s="14"/>
      <c r="D38" s="15"/>
      <c r="E38" s="15"/>
      <c r="F38" s="15"/>
      <c r="G38" s="422"/>
      <c r="H38" s="17" t="str">
        <f t="shared" si="0"/>
        <v/>
      </c>
      <c r="I38" s="18"/>
      <c r="J38" s="61"/>
      <c r="K38" s="399"/>
      <c r="L38" s="420" t="str">
        <f t="shared" si="2"/>
        <v/>
      </c>
      <c r="M38" s="401" t="str">
        <f t="shared" si="3"/>
        <v/>
      </c>
    </row>
    <row r="39" spans="2:13" x14ac:dyDescent="0.25">
      <c r="B39" s="58"/>
      <c r="C39" s="14"/>
      <c r="D39" s="15"/>
      <c r="E39" s="15"/>
      <c r="F39" s="15"/>
      <c r="G39" s="422"/>
      <c r="H39" s="17" t="str">
        <f t="shared" si="0"/>
        <v/>
      </c>
      <c r="I39" s="18"/>
      <c r="J39" s="61"/>
      <c r="K39" s="399"/>
      <c r="L39" s="420" t="str">
        <f t="shared" si="2"/>
        <v/>
      </c>
      <c r="M39" s="401" t="str">
        <f t="shared" si="3"/>
        <v/>
      </c>
    </row>
    <row r="40" spans="2:13" x14ac:dyDescent="0.25">
      <c r="B40" s="58"/>
      <c r="C40" s="14"/>
      <c r="D40" s="15"/>
      <c r="E40" s="15"/>
      <c r="F40" s="15"/>
      <c r="G40" s="422"/>
      <c r="H40" s="17" t="str">
        <f t="shared" si="0"/>
        <v/>
      </c>
      <c r="I40" s="18"/>
      <c r="J40" s="61"/>
      <c r="K40" s="399"/>
      <c r="L40" s="420" t="str">
        <f t="shared" si="2"/>
        <v/>
      </c>
      <c r="M40" s="401" t="str">
        <f t="shared" si="3"/>
        <v/>
      </c>
    </row>
    <row r="41" spans="2:13" x14ac:dyDescent="0.25">
      <c r="B41" s="58"/>
      <c r="C41" s="14"/>
      <c r="D41" s="15"/>
      <c r="E41" s="15"/>
      <c r="F41" s="15"/>
      <c r="G41" s="422"/>
      <c r="H41" s="17" t="str">
        <f t="shared" si="0"/>
        <v/>
      </c>
      <c r="I41" s="18"/>
      <c r="J41" s="61"/>
      <c r="K41" s="399"/>
      <c r="L41" s="420" t="str">
        <f t="shared" si="2"/>
        <v/>
      </c>
      <c r="M41" s="401" t="str">
        <f t="shared" si="3"/>
        <v/>
      </c>
    </row>
    <row r="42" spans="2:13" x14ac:dyDescent="0.25">
      <c r="B42" s="58"/>
      <c r="C42" s="14"/>
      <c r="D42" s="15"/>
      <c r="E42" s="15"/>
      <c r="F42" s="15"/>
      <c r="G42" s="422"/>
      <c r="H42" s="17" t="str">
        <f t="shared" si="0"/>
        <v/>
      </c>
      <c r="I42" s="18"/>
      <c r="J42" s="61"/>
      <c r="K42" s="399"/>
      <c r="L42" s="420" t="str">
        <f t="shared" si="2"/>
        <v/>
      </c>
      <c r="M42" s="401" t="str">
        <f t="shared" si="3"/>
        <v/>
      </c>
    </row>
    <row r="43" spans="2:13" x14ac:dyDescent="0.25">
      <c r="B43" s="58"/>
      <c r="C43" s="14"/>
      <c r="D43" s="15"/>
      <c r="E43" s="15"/>
      <c r="F43" s="15"/>
      <c r="G43" s="422"/>
      <c r="H43" s="17" t="str">
        <f t="shared" si="0"/>
        <v/>
      </c>
      <c r="I43" s="18"/>
      <c r="J43" s="61"/>
      <c r="K43" s="399"/>
      <c r="L43" s="420" t="str">
        <f t="shared" si="2"/>
        <v/>
      </c>
      <c r="M43" s="401" t="str">
        <f t="shared" si="3"/>
        <v/>
      </c>
    </row>
    <row r="44" spans="2:13" x14ac:dyDescent="0.25">
      <c r="B44" s="58"/>
      <c r="C44" s="14"/>
      <c r="D44" s="15"/>
      <c r="E44" s="15"/>
      <c r="F44" s="15"/>
      <c r="G44" s="422"/>
      <c r="H44" s="17" t="str">
        <f t="shared" si="0"/>
        <v/>
      </c>
      <c r="I44" s="18"/>
      <c r="J44" s="61"/>
      <c r="K44" s="399"/>
      <c r="L44" s="420" t="str">
        <f t="shared" si="2"/>
        <v/>
      </c>
      <c r="M44" s="401" t="str">
        <f t="shared" si="3"/>
        <v/>
      </c>
    </row>
    <row r="45" spans="2:13" x14ac:dyDescent="0.25">
      <c r="B45" s="58"/>
      <c r="C45" s="14"/>
      <c r="D45" s="15"/>
      <c r="E45" s="15"/>
      <c r="F45" s="15"/>
      <c r="G45" s="422"/>
      <c r="H45" s="17" t="str">
        <f t="shared" si="0"/>
        <v/>
      </c>
      <c r="I45" s="18"/>
      <c r="J45" s="61"/>
      <c r="K45" s="399"/>
      <c r="L45" s="420" t="str">
        <f t="shared" si="2"/>
        <v/>
      </c>
      <c r="M45" s="401" t="str">
        <f t="shared" si="3"/>
        <v/>
      </c>
    </row>
    <row r="46" spans="2:13" x14ac:dyDescent="0.25">
      <c r="B46" s="58"/>
      <c r="C46" s="14"/>
      <c r="D46" s="15"/>
      <c r="E46" s="15"/>
      <c r="F46" s="15"/>
      <c r="G46" s="422"/>
      <c r="H46" s="17" t="str">
        <f t="shared" si="0"/>
        <v/>
      </c>
      <c r="I46" s="18"/>
      <c r="J46" s="61"/>
      <c r="K46" s="402"/>
      <c r="L46" s="420" t="str">
        <f t="shared" si="2"/>
        <v/>
      </c>
      <c r="M46" s="401" t="str">
        <f t="shared" si="3"/>
        <v/>
      </c>
    </row>
    <row r="47" spans="2:13" x14ac:dyDescent="0.25">
      <c r="B47" s="58"/>
      <c r="C47" s="14"/>
      <c r="D47" s="15"/>
      <c r="E47" s="15"/>
      <c r="F47" s="15"/>
      <c r="G47" s="422"/>
      <c r="H47" s="17" t="str">
        <f t="shared" si="0"/>
        <v/>
      </c>
      <c r="I47" s="18"/>
      <c r="J47" s="61"/>
      <c r="K47" s="399"/>
      <c r="L47" s="420" t="str">
        <f t="shared" si="2"/>
        <v/>
      </c>
      <c r="M47" s="401" t="str">
        <f t="shared" si="3"/>
        <v/>
      </c>
    </row>
    <row r="48" spans="2:13" x14ac:dyDescent="0.25">
      <c r="B48" s="58"/>
      <c r="C48" s="14"/>
      <c r="D48" s="15"/>
      <c r="E48" s="15"/>
      <c r="F48" s="15"/>
      <c r="G48" s="422"/>
      <c r="H48" s="17" t="str">
        <f t="shared" si="0"/>
        <v/>
      </c>
      <c r="I48" s="18"/>
      <c r="J48" s="61"/>
      <c r="K48" s="402"/>
      <c r="L48" s="420" t="str">
        <f t="shared" si="2"/>
        <v/>
      </c>
      <c r="M48" s="401" t="str">
        <f t="shared" si="3"/>
        <v/>
      </c>
    </row>
    <row r="49" spans="2:13" x14ac:dyDescent="0.25">
      <c r="B49" s="58"/>
      <c r="C49" s="14"/>
      <c r="D49" s="15"/>
      <c r="E49" s="15"/>
      <c r="F49" s="15"/>
      <c r="G49" s="422"/>
      <c r="H49" s="17" t="str">
        <f t="shared" si="0"/>
        <v/>
      </c>
      <c r="I49" s="18"/>
      <c r="J49" s="61"/>
      <c r="K49" s="402"/>
      <c r="L49" s="420" t="str">
        <f t="shared" si="2"/>
        <v/>
      </c>
      <c r="M49" s="401" t="str">
        <f t="shared" si="3"/>
        <v/>
      </c>
    </row>
    <row r="50" spans="2:13" x14ac:dyDescent="0.25">
      <c r="B50" s="58"/>
      <c r="C50" s="14"/>
      <c r="D50" s="15"/>
      <c r="E50" s="15"/>
      <c r="F50" s="15"/>
      <c r="G50" s="422"/>
      <c r="H50" s="17" t="str">
        <f t="shared" si="0"/>
        <v/>
      </c>
      <c r="I50" s="18"/>
      <c r="J50" s="61"/>
      <c r="K50" s="399"/>
      <c r="L50" s="420" t="str">
        <f t="shared" si="2"/>
        <v/>
      </c>
      <c r="M50" s="401" t="str">
        <f t="shared" si="3"/>
        <v/>
      </c>
    </row>
    <row r="51" spans="2:13" x14ac:dyDescent="0.25">
      <c r="B51" s="58"/>
      <c r="C51" s="14"/>
      <c r="D51" s="15"/>
      <c r="E51" s="15"/>
      <c r="F51" s="15"/>
      <c r="G51" s="422"/>
      <c r="H51" s="17" t="str">
        <f t="shared" si="0"/>
        <v/>
      </c>
      <c r="I51" s="18"/>
      <c r="J51" s="61"/>
      <c r="K51" s="399"/>
      <c r="L51" s="420" t="str">
        <f t="shared" si="2"/>
        <v/>
      </c>
      <c r="M51" s="401" t="str">
        <f t="shared" si="3"/>
        <v/>
      </c>
    </row>
    <row r="52" spans="2:13" x14ac:dyDescent="0.25">
      <c r="B52" s="58"/>
      <c r="C52" s="14"/>
      <c r="D52" s="15"/>
      <c r="E52" s="15"/>
      <c r="F52" s="15"/>
      <c r="G52" s="422"/>
      <c r="H52" s="17" t="str">
        <f t="shared" si="0"/>
        <v/>
      </c>
      <c r="I52" s="18"/>
      <c r="J52" s="61"/>
      <c r="K52" s="399"/>
      <c r="L52" s="420" t="str">
        <f t="shared" si="2"/>
        <v/>
      </c>
      <c r="M52" s="401" t="str">
        <f t="shared" si="3"/>
        <v/>
      </c>
    </row>
    <row r="53" spans="2:13" x14ac:dyDescent="0.25">
      <c r="B53" s="58"/>
      <c r="C53" s="14"/>
      <c r="D53" s="15"/>
      <c r="E53" s="15"/>
      <c r="F53" s="15"/>
      <c r="G53" s="422"/>
      <c r="H53" s="17" t="str">
        <f t="shared" si="0"/>
        <v/>
      </c>
      <c r="I53" s="18"/>
      <c r="J53" s="61"/>
      <c r="K53" s="399"/>
      <c r="L53" s="420" t="str">
        <f t="shared" si="2"/>
        <v/>
      </c>
      <c r="M53" s="401" t="str">
        <f t="shared" si="3"/>
        <v/>
      </c>
    </row>
    <row r="54" spans="2:13" x14ac:dyDescent="0.25">
      <c r="B54" s="58"/>
      <c r="C54" s="14"/>
      <c r="D54" s="15"/>
      <c r="E54" s="15"/>
      <c r="F54" s="15"/>
      <c r="G54" s="422"/>
      <c r="H54" s="17" t="str">
        <f t="shared" si="0"/>
        <v/>
      </c>
      <c r="I54" s="18"/>
      <c r="J54" s="61"/>
      <c r="K54" s="399"/>
      <c r="L54" s="420" t="str">
        <f t="shared" si="2"/>
        <v/>
      </c>
      <c r="M54" s="401" t="str">
        <f t="shared" si="3"/>
        <v/>
      </c>
    </row>
    <row r="55" spans="2:13" x14ac:dyDescent="0.25">
      <c r="B55" s="58"/>
      <c r="C55" s="14"/>
      <c r="D55" s="15"/>
      <c r="E55" s="15"/>
      <c r="F55" s="15"/>
      <c r="G55" s="422"/>
      <c r="H55" s="17" t="str">
        <f t="shared" si="0"/>
        <v/>
      </c>
      <c r="I55" s="18"/>
      <c r="J55" s="61"/>
      <c r="K55" s="62"/>
      <c r="L55" s="420" t="str">
        <f t="shared" si="2"/>
        <v/>
      </c>
      <c r="M55" s="401" t="str">
        <f t="shared" si="3"/>
        <v/>
      </c>
    </row>
    <row r="56" spans="2:13" x14ac:dyDescent="0.25">
      <c r="B56" s="58"/>
      <c r="C56" s="14"/>
      <c r="D56" s="15"/>
      <c r="E56" s="15"/>
      <c r="F56" s="15"/>
      <c r="G56" s="422"/>
      <c r="H56" s="17" t="str">
        <f t="shared" si="0"/>
        <v/>
      </c>
      <c r="I56" s="18"/>
      <c r="J56" s="61"/>
      <c r="K56" s="402"/>
      <c r="L56" s="420" t="str">
        <f t="shared" si="2"/>
        <v/>
      </c>
      <c r="M56" s="401" t="str">
        <f t="shared" si="3"/>
        <v/>
      </c>
    </row>
    <row r="57" spans="2:13" x14ac:dyDescent="0.25">
      <c r="B57" s="58"/>
      <c r="C57" s="14"/>
      <c r="D57" s="15"/>
      <c r="E57" s="15"/>
      <c r="F57" s="15"/>
      <c r="G57" s="422"/>
      <c r="H57" s="17" t="str">
        <f t="shared" si="0"/>
        <v/>
      </c>
      <c r="I57" s="18"/>
      <c r="J57" s="62"/>
      <c r="K57" s="62"/>
      <c r="L57" s="420" t="str">
        <f t="shared" si="2"/>
        <v/>
      </c>
      <c r="M57" s="401" t="str">
        <f t="shared" si="3"/>
        <v/>
      </c>
    </row>
    <row r="58" spans="2:13" x14ac:dyDescent="0.25">
      <c r="B58" s="58"/>
      <c r="C58" s="14"/>
      <c r="D58" s="15"/>
      <c r="E58" s="15"/>
      <c r="F58" s="15"/>
      <c r="G58" s="422"/>
      <c r="H58" s="17" t="str">
        <f t="shared" si="0"/>
        <v/>
      </c>
      <c r="I58" s="18"/>
      <c r="J58" s="62"/>
      <c r="K58" s="62"/>
      <c r="L58" s="420" t="str">
        <f t="shared" si="2"/>
        <v/>
      </c>
      <c r="M58" s="401" t="str">
        <f t="shared" si="3"/>
        <v/>
      </c>
    </row>
    <row r="59" spans="2:13" x14ac:dyDescent="0.25">
      <c r="B59" s="58"/>
      <c r="C59" s="14"/>
      <c r="D59" s="15"/>
      <c r="E59" s="15"/>
      <c r="F59" s="15"/>
      <c r="G59" s="422"/>
      <c r="H59" s="17" t="str">
        <f t="shared" si="0"/>
        <v/>
      </c>
      <c r="I59" s="18"/>
      <c r="J59" s="62"/>
      <c r="K59" s="62"/>
      <c r="L59" s="420" t="str">
        <f t="shared" si="2"/>
        <v/>
      </c>
      <c r="M59" s="401" t="str">
        <f t="shared" si="3"/>
        <v/>
      </c>
    </row>
    <row r="60" spans="2:13" x14ac:dyDescent="0.25">
      <c r="B60" s="58"/>
      <c r="C60" s="14"/>
      <c r="D60" s="15"/>
      <c r="E60" s="15"/>
      <c r="F60" s="15"/>
      <c r="G60" s="422"/>
      <c r="H60" s="17" t="str">
        <f t="shared" si="0"/>
        <v/>
      </c>
      <c r="I60" s="18"/>
      <c r="J60" s="62"/>
      <c r="K60" s="62"/>
      <c r="L60" s="420" t="str">
        <f t="shared" si="2"/>
        <v/>
      </c>
      <c r="M60" s="401" t="str">
        <f t="shared" si="3"/>
        <v/>
      </c>
    </row>
    <row r="61" spans="2:13" x14ac:dyDescent="0.25">
      <c r="B61" s="58"/>
      <c r="C61" s="14"/>
      <c r="D61" s="15"/>
      <c r="E61" s="15"/>
      <c r="F61" s="15"/>
      <c r="G61" s="422"/>
      <c r="H61" s="17" t="str">
        <f t="shared" si="0"/>
        <v/>
      </c>
      <c r="I61" s="18"/>
      <c r="J61" s="62"/>
      <c r="K61" s="62"/>
      <c r="L61" s="420" t="str">
        <f t="shared" si="2"/>
        <v/>
      </c>
      <c r="M61" s="401" t="str">
        <f t="shared" si="3"/>
        <v/>
      </c>
    </row>
    <row r="62" spans="2:13" x14ac:dyDescent="0.25">
      <c r="B62" s="58"/>
      <c r="C62" s="14"/>
      <c r="D62" s="15"/>
      <c r="E62" s="15"/>
      <c r="F62" s="15"/>
      <c r="G62" s="422"/>
      <c r="H62" s="17" t="str">
        <f t="shared" si="0"/>
        <v/>
      </c>
      <c r="I62" s="18"/>
      <c r="J62" s="62"/>
      <c r="K62" s="62"/>
      <c r="L62" s="420" t="str">
        <f t="shared" si="2"/>
        <v/>
      </c>
      <c r="M62" s="401" t="str">
        <f t="shared" si="3"/>
        <v/>
      </c>
    </row>
    <row r="63" spans="2:13" x14ac:dyDescent="0.25">
      <c r="B63" s="58"/>
      <c r="C63" s="14"/>
      <c r="D63" s="15"/>
      <c r="E63" s="15"/>
      <c r="F63" s="15"/>
      <c r="G63" s="422"/>
      <c r="H63" s="17" t="str">
        <f t="shared" si="0"/>
        <v/>
      </c>
      <c r="I63" s="18"/>
      <c r="J63" s="62"/>
      <c r="K63" s="62"/>
      <c r="L63" s="420" t="str">
        <f t="shared" si="2"/>
        <v/>
      </c>
      <c r="M63" s="401" t="str">
        <f t="shared" si="3"/>
        <v/>
      </c>
    </row>
    <row r="64" spans="2:13" x14ac:dyDescent="0.25">
      <c r="B64" s="58"/>
      <c r="C64" s="14"/>
      <c r="D64" s="15"/>
      <c r="E64" s="15"/>
      <c r="F64" s="15"/>
      <c r="G64" s="422"/>
      <c r="H64" s="17" t="str">
        <f t="shared" si="0"/>
        <v/>
      </c>
      <c r="I64" s="18"/>
      <c r="J64" s="62"/>
      <c r="K64" s="62"/>
      <c r="L64" s="420" t="str">
        <f t="shared" si="2"/>
        <v/>
      </c>
      <c r="M64" s="401" t="str">
        <f t="shared" si="3"/>
        <v/>
      </c>
    </row>
    <row r="65" spans="2:13" x14ac:dyDescent="0.25">
      <c r="B65" s="58"/>
      <c r="C65" s="14"/>
      <c r="D65" s="15"/>
      <c r="E65" s="15"/>
      <c r="F65" s="15"/>
      <c r="G65" s="422"/>
      <c r="H65" s="17" t="str">
        <f t="shared" si="0"/>
        <v/>
      </c>
      <c r="I65" s="18"/>
      <c r="J65" s="62"/>
      <c r="K65" s="62"/>
      <c r="L65" s="420" t="str">
        <f t="shared" si="2"/>
        <v/>
      </c>
      <c r="M65" s="401" t="str">
        <f t="shared" si="3"/>
        <v/>
      </c>
    </row>
    <row r="66" spans="2:13" x14ac:dyDescent="0.25">
      <c r="B66" s="58"/>
      <c r="C66" s="14"/>
      <c r="D66" s="15"/>
      <c r="E66" s="15"/>
      <c r="F66" s="15"/>
      <c r="G66" s="422"/>
      <c r="H66" s="17" t="str">
        <f t="shared" si="0"/>
        <v/>
      </c>
      <c r="I66" s="18"/>
      <c r="J66" s="62"/>
      <c r="K66" s="62"/>
      <c r="L66" s="420" t="str">
        <f t="shared" si="2"/>
        <v/>
      </c>
      <c r="M66" s="401" t="str">
        <f t="shared" si="3"/>
        <v/>
      </c>
    </row>
    <row r="67" spans="2:13" x14ac:dyDescent="0.25">
      <c r="B67" s="58"/>
      <c r="C67" s="14"/>
      <c r="D67" s="15"/>
      <c r="E67" s="15"/>
      <c r="F67" s="15"/>
      <c r="G67" s="422"/>
      <c r="H67" s="17" t="str">
        <f t="shared" si="0"/>
        <v/>
      </c>
      <c r="I67" s="18"/>
      <c r="J67" s="62"/>
      <c r="K67" s="62"/>
      <c r="L67" s="420" t="str">
        <f t="shared" si="2"/>
        <v/>
      </c>
      <c r="M67" s="401" t="str">
        <f t="shared" si="3"/>
        <v/>
      </c>
    </row>
    <row r="68" spans="2:13" x14ac:dyDescent="0.25">
      <c r="B68" s="58"/>
      <c r="C68" s="14"/>
      <c r="D68" s="15"/>
      <c r="E68" s="15"/>
      <c r="F68" s="15"/>
      <c r="G68" s="422"/>
      <c r="H68" s="17" t="str">
        <f t="shared" si="0"/>
        <v/>
      </c>
      <c r="I68" s="18"/>
      <c r="J68" s="62"/>
      <c r="K68" s="62"/>
      <c r="L68" s="420" t="str">
        <f t="shared" si="2"/>
        <v/>
      </c>
      <c r="M68" s="401" t="str">
        <f t="shared" si="3"/>
        <v/>
      </c>
    </row>
    <row r="69" spans="2:13" x14ac:dyDescent="0.25">
      <c r="B69" s="58"/>
      <c r="C69" s="14"/>
      <c r="D69" s="15"/>
      <c r="E69" s="15"/>
      <c r="F69" s="15"/>
      <c r="G69" s="422"/>
      <c r="H69" s="17" t="str">
        <f t="shared" si="0"/>
        <v/>
      </c>
      <c r="I69" s="18"/>
      <c r="J69" s="62"/>
      <c r="K69" s="62"/>
      <c r="L69" s="420" t="str">
        <f t="shared" si="2"/>
        <v/>
      </c>
      <c r="M69" s="401" t="str">
        <f t="shared" si="3"/>
        <v/>
      </c>
    </row>
    <row r="70" spans="2:13" x14ac:dyDescent="0.25">
      <c r="B70" s="58"/>
      <c r="C70" s="14"/>
      <c r="D70" s="15"/>
      <c r="E70" s="15"/>
      <c r="F70" s="15"/>
      <c r="G70" s="422"/>
      <c r="H70" s="17" t="str">
        <f t="shared" si="0"/>
        <v/>
      </c>
      <c r="I70" s="18"/>
      <c r="J70" s="62"/>
      <c r="K70" s="62"/>
      <c r="L70" s="420" t="str">
        <f t="shared" si="2"/>
        <v/>
      </c>
      <c r="M70" s="401" t="str">
        <f t="shared" si="3"/>
        <v/>
      </c>
    </row>
    <row r="71" spans="2:13" x14ac:dyDescent="0.25">
      <c r="B71" s="58"/>
      <c r="C71" s="14"/>
      <c r="D71" s="15"/>
      <c r="E71" s="15"/>
      <c r="F71" s="15"/>
      <c r="G71" s="422"/>
      <c r="H71" s="17" t="str">
        <f t="shared" si="0"/>
        <v/>
      </c>
      <c r="I71" s="18"/>
      <c r="J71" s="62"/>
      <c r="K71" s="62"/>
      <c r="L71" s="420" t="str">
        <f t="shared" si="2"/>
        <v/>
      </c>
      <c r="M71" s="401" t="str">
        <f t="shared" si="3"/>
        <v/>
      </c>
    </row>
    <row r="72" spans="2:13" x14ac:dyDescent="0.25">
      <c r="B72" s="58"/>
      <c r="C72" s="14"/>
      <c r="D72" s="15"/>
      <c r="E72" s="15"/>
      <c r="F72" s="15"/>
      <c r="G72" s="422"/>
      <c r="H72" s="17" t="str">
        <f t="shared" si="0"/>
        <v/>
      </c>
      <c r="I72" s="18"/>
      <c r="J72" s="62"/>
      <c r="K72" s="695"/>
      <c r="L72" s="420" t="str">
        <f t="shared" si="2"/>
        <v/>
      </c>
      <c r="M72" s="401" t="str">
        <f t="shared" si="3"/>
        <v/>
      </c>
    </row>
    <row r="73" spans="2:13" x14ac:dyDescent="0.25">
      <c r="B73" s="58"/>
      <c r="C73" s="14"/>
      <c r="D73" s="15"/>
      <c r="E73" s="15"/>
      <c r="F73" s="15"/>
      <c r="G73" s="422"/>
      <c r="H73" s="17" t="str">
        <f t="shared" si="0"/>
        <v/>
      </c>
      <c r="I73" s="18"/>
      <c r="J73" s="62"/>
      <c r="K73" s="695"/>
      <c r="L73" s="420" t="str">
        <f t="shared" si="2"/>
        <v/>
      </c>
      <c r="M73" s="401" t="str">
        <f t="shared" si="3"/>
        <v/>
      </c>
    </row>
    <row r="74" spans="2:13" x14ac:dyDescent="0.25">
      <c r="B74" s="58"/>
      <c r="C74" s="14"/>
      <c r="D74" s="15"/>
      <c r="E74" s="15"/>
      <c r="F74" s="15"/>
      <c r="G74" s="422"/>
      <c r="H74" s="17" t="str">
        <f t="shared" si="0"/>
        <v/>
      </c>
      <c r="I74" s="18"/>
      <c r="J74" s="62"/>
      <c r="K74" s="695"/>
      <c r="L74" s="420" t="str">
        <f t="shared" si="2"/>
        <v/>
      </c>
      <c r="M74" s="401" t="str">
        <f t="shared" si="3"/>
        <v/>
      </c>
    </row>
    <row r="75" spans="2:13" x14ac:dyDescent="0.25">
      <c r="B75" s="58"/>
      <c r="C75" s="14"/>
      <c r="D75" s="15"/>
      <c r="E75" s="15"/>
      <c r="F75" s="15"/>
      <c r="G75" s="422"/>
      <c r="H75" s="17" t="str">
        <f t="shared" ref="H75:H77" si="4">IF(D75="","",F75*G75)</f>
        <v/>
      </c>
      <c r="I75" s="18"/>
      <c r="J75" s="62"/>
      <c r="K75" s="695"/>
      <c r="L75" s="420" t="str">
        <f t="shared" si="2"/>
        <v/>
      </c>
      <c r="M75" s="401" t="str">
        <f t="shared" si="3"/>
        <v/>
      </c>
    </row>
    <row r="76" spans="2:13" x14ac:dyDescent="0.25">
      <c r="B76" s="58"/>
      <c r="C76" s="14"/>
      <c r="D76" s="15"/>
      <c r="E76" s="15"/>
      <c r="F76" s="15"/>
      <c r="G76" s="422"/>
      <c r="H76" s="17" t="str">
        <f t="shared" si="4"/>
        <v/>
      </c>
      <c r="I76" s="18"/>
      <c r="J76" s="61"/>
      <c r="K76" s="695"/>
      <c r="L76" s="420" t="str">
        <f t="shared" ref="L76:L77" si="5">IF(J76="","",F76*K76)</f>
        <v/>
      </c>
      <c r="M76" s="401" t="str">
        <f t="shared" ref="M76:M78" si="6">IF(J76="","",IF(SUM(H76)=0,"",L76/H76))</f>
        <v/>
      </c>
    </row>
    <row r="77" spans="2:13" x14ac:dyDescent="0.25">
      <c r="B77" s="58"/>
      <c r="C77" s="14"/>
      <c r="D77" s="15"/>
      <c r="E77" s="15"/>
      <c r="F77" s="15"/>
      <c r="G77" s="422"/>
      <c r="H77" s="17" t="str">
        <f t="shared" si="4"/>
        <v/>
      </c>
      <c r="I77" s="18"/>
      <c r="J77" s="61"/>
      <c r="K77" s="696"/>
      <c r="L77" s="420" t="str">
        <f t="shared" si="5"/>
        <v/>
      </c>
      <c r="M77" s="401" t="str">
        <f t="shared" si="6"/>
        <v/>
      </c>
    </row>
    <row r="78" spans="2:13" s="28" customFormat="1" ht="25" customHeight="1" x14ac:dyDescent="0.25">
      <c r="B78" s="29" t="str">
        <f>B12</f>
        <v>C1.3</v>
      </c>
      <c r="C78" s="498" t="str">
        <f>"TOTAL CARRIED FORWARD"&amp;IF(H78=H$1," TO SUMMARY (Page C"&amp;Page_A&amp;")","")</f>
        <v>TOTAL CARRIED FORWARD TO SUMMARY (Page C48)</v>
      </c>
      <c r="D78" s="31"/>
      <c r="E78" s="31"/>
      <c r="F78" s="32"/>
      <c r="G78" s="31"/>
      <c r="H78" s="33">
        <f>SUM(H11:H77)</f>
        <v>0</v>
      </c>
      <c r="I78" s="34"/>
      <c r="J78" s="408"/>
      <c r="K78" s="406"/>
      <c r="L78" s="418">
        <f>SUM(L11:L77)</f>
        <v>0</v>
      </c>
      <c r="M78" s="407" t="str">
        <f t="shared" si="6"/>
        <v/>
      </c>
    </row>
  </sheetData>
  <mergeCells count="4">
    <mergeCell ref="F3:H3"/>
    <mergeCell ref="B7:G9"/>
    <mergeCell ref="H6:H9"/>
    <mergeCell ref="B6:G6"/>
  </mergeCells>
  <phoneticPr fontId="15" type="noConversion"/>
  <conditionalFormatting sqref="G11:H78">
    <cfRule type="expression" dxfId="80"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70C0"/>
  </sheetPr>
  <dimension ref="A1:N275"/>
  <sheetViews>
    <sheetView view="pageBreakPreview" zoomScale="90" zoomScaleNormal="100" zoomScaleSheetLayoutView="90" zoomScalePageLayoutView="125" workbookViewId="0">
      <pane ySplit="2" topLeftCell="A3" activePane="bottomLeft" state="frozen"/>
      <selection activeCell="G24" sqref="G24"/>
      <selection pane="bottomLeft" activeCell="G16" sqref="G16"/>
    </sheetView>
  </sheetViews>
  <sheetFormatPr defaultColWidth="6.81640625" defaultRowHeight="12.5" x14ac:dyDescent="0.25"/>
  <cols>
    <col min="1" max="1" width="0.81640625" style="1" customWidth="1"/>
    <col min="2" max="2" width="11.7265625" style="35" customWidth="1"/>
    <col min="3" max="3" width="45.7265625" style="3" customWidth="1"/>
    <col min="4" max="4" width="12.453125" style="4" customWidth="1"/>
    <col min="5" max="5" width="5" style="4" customWidth="1"/>
    <col min="6" max="6" width="15.7265625" style="4" customWidth="1"/>
    <col min="7" max="7" width="15.7265625" style="1" customWidth="1"/>
    <col min="8" max="8" width="15.7265625" style="5" customWidth="1"/>
    <col min="9" max="9" width="0.81640625" style="5" customWidth="1"/>
    <col min="10" max="10" width="0" style="1" hidden="1" customWidth="1"/>
    <col min="11" max="11" width="13.54296875" style="1" hidden="1" customWidth="1"/>
    <col min="12" max="12" width="14.1796875" style="1" hidden="1" customWidth="1"/>
    <col min="13" max="13" width="13.7265625" style="1" hidden="1" customWidth="1"/>
    <col min="14" max="14" width="13.54296875" style="1" hidden="1" customWidth="1"/>
    <col min="15" max="16384" width="6.81640625" style="1"/>
  </cols>
  <sheetData>
    <row r="1" spans="1:14" s="250" customFormat="1" ht="11.5" x14ac:dyDescent="0.25">
      <c r="A1" s="242"/>
      <c r="B1" s="243"/>
      <c r="C1" s="244" t="s">
        <v>993</v>
      </c>
      <c r="D1" s="245"/>
      <c r="E1" s="245"/>
      <c r="F1" s="246" t="s">
        <v>994</v>
      </c>
      <c r="G1" s="244">
        <v>2</v>
      </c>
      <c r="H1" s="247">
        <f>MAX(H2:H275)</f>
        <v>210000</v>
      </c>
      <c r="I1" s="247">
        <f>MAX(I2:I215)</f>
        <v>0</v>
      </c>
      <c r="J1" s="248"/>
      <c r="K1" s="249"/>
      <c r="L1" s="417">
        <f>MAX(L2:L275)</f>
        <v>40000</v>
      </c>
      <c r="M1" s="249"/>
    </row>
    <row r="2" spans="1:14" s="250" customFormat="1" ht="11.5" x14ac:dyDescent="0.25">
      <c r="B2" s="251" t="s">
        <v>995</v>
      </c>
      <c r="C2" s="252" t="s">
        <v>1</v>
      </c>
      <c r="D2" s="252" t="s">
        <v>2</v>
      </c>
      <c r="E2" s="252" t="s">
        <v>996</v>
      </c>
      <c r="F2" s="252" t="s">
        <v>3</v>
      </c>
      <c r="G2" s="252" t="s">
        <v>4</v>
      </c>
      <c r="H2" s="252" t="s">
        <v>5</v>
      </c>
      <c r="I2" s="254"/>
      <c r="J2" s="398" t="s">
        <v>996</v>
      </c>
      <c r="K2" s="253" t="s">
        <v>997</v>
      </c>
      <c r="L2" s="253" t="s">
        <v>998</v>
      </c>
      <c r="M2" s="253" t="s">
        <v>999</v>
      </c>
      <c r="N2" s="253" t="s">
        <v>1000</v>
      </c>
    </row>
    <row r="3" spans="1:14" ht="13" x14ac:dyDescent="0.25">
      <c r="B3" s="2" t="str">
        <f>Client1</f>
        <v>Province of KwaZulu-Natal</v>
      </c>
      <c r="F3" s="1124" t="str">
        <f>"Contract No. "&amp;ContractNo</f>
        <v>Contract No. ZNB 00399/00000/HOD/INF/21/T</v>
      </c>
      <c r="G3" s="1124"/>
      <c r="H3" s="1124"/>
    </row>
    <row r="4" spans="1:14" ht="13" x14ac:dyDescent="0.25">
      <c r="B4" s="87" t="str">
        <f>Client2</f>
        <v>Department of Transport</v>
      </c>
    </row>
    <row r="5" spans="1:14" x14ac:dyDescent="0.25">
      <c r="B5" s="77"/>
      <c r="C5" s="77"/>
      <c r="D5" s="78"/>
      <c r="E5" s="78"/>
      <c r="F5" s="78"/>
      <c r="G5" s="79"/>
      <c r="H5" s="89"/>
    </row>
    <row r="6" spans="1:14" ht="13" x14ac:dyDescent="0.25">
      <c r="B6" s="1112" t="s">
        <v>8</v>
      </c>
      <c r="C6" s="1113"/>
      <c r="D6" s="1113"/>
      <c r="E6" s="1113"/>
      <c r="F6" s="1113"/>
      <c r="G6" s="1113"/>
      <c r="H6" s="1121" t="str">
        <f>"CHAPTER "&amp;B12</f>
        <v>CHAPTER C1.4</v>
      </c>
      <c r="I6" s="6"/>
    </row>
    <row r="7" spans="1:14" ht="7.5" customHeight="1" x14ac:dyDescent="0.25">
      <c r="B7" s="1117" t="str">
        <f>ContractDescription</f>
        <v>THE CONSTRUCTION OF EARTHWORKS, LAYERWORKS, SURFACING, CULVERTS AND CWAKA RIVER BRIDGE FROM KM 11.600 TO KM 14.000 ON MAIN ROAD P494 IN THE KING CETSHWAYO DISTRICT UNDER EMPANGENI REGION</v>
      </c>
      <c r="C7" s="1118"/>
      <c r="D7" s="1118"/>
      <c r="E7" s="1118"/>
      <c r="F7" s="1118"/>
      <c r="G7" s="1118"/>
      <c r="H7" s="1122"/>
      <c r="I7" s="8"/>
    </row>
    <row r="8" spans="1:14" ht="12.75" customHeight="1" x14ac:dyDescent="0.25">
      <c r="B8" s="1117"/>
      <c r="C8" s="1118"/>
      <c r="D8" s="1118"/>
      <c r="E8" s="1118"/>
      <c r="F8" s="1118"/>
      <c r="G8" s="1118"/>
      <c r="H8" s="1122"/>
      <c r="I8" s="8"/>
    </row>
    <row r="9" spans="1:14" ht="7.5" customHeight="1" x14ac:dyDescent="0.25">
      <c r="B9" s="1119"/>
      <c r="C9" s="1120"/>
      <c r="D9" s="1120"/>
      <c r="E9" s="1120"/>
      <c r="F9" s="1120"/>
      <c r="G9" s="1120"/>
      <c r="H9" s="1123"/>
      <c r="I9" s="8"/>
    </row>
    <row r="10" spans="1:14" s="9" customFormat="1" ht="25" customHeight="1" x14ac:dyDescent="0.25">
      <c r="B10" s="10" t="s">
        <v>0</v>
      </c>
      <c r="C10" s="11" t="s">
        <v>1</v>
      </c>
      <c r="D10" s="11" t="s">
        <v>2</v>
      </c>
      <c r="E10" s="11" t="s">
        <v>996</v>
      </c>
      <c r="F10" s="11" t="s">
        <v>3</v>
      </c>
      <c r="G10" s="11" t="s">
        <v>4</v>
      </c>
      <c r="H10" s="11" t="s">
        <v>5</v>
      </c>
      <c r="I10" s="12"/>
      <c r="J10" s="408" t="s">
        <v>996</v>
      </c>
      <c r="K10" s="253" t="s">
        <v>997</v>
      </c>
      <c r="L10" s="253" t="s">
        <v>998</v>
      </c>
      <c r="M10" s="253" t="s">
        <v>999</v>
      </c>
    </row>
    <row r="11" spans="1:14" x14ac:dyDescent="0.25">
      <c r="B11" s="58"/>
      <c r="C11" s="14"/>
      <c r="D11" s="15"/>
      <c r="E11" s="15"/>
      <c r="F11" s="580"/>
      <c r="G11" s="411"/>
      <c r="H11" s="17" t="str">
        <f t="shared" ref="H11:H70" si="0">IF(D11="","",F11*G11)</f>
        <v/>
      </c>
      <c r="I11" s="18"/>
      <c r="J11" s="61"/>
      <c r="K11" s="399"/>
      <c r="L11" s="420" t="str">
        <f t="shared" ref="L11" si="1">IF(J11="","",F11*K11)</f>
        <v/>
      </c>
      <c r="M11" s="401" t="str">
        <f>IF(J11="","",IF(SUM(H11)=0,"",L11/H11))</f>
        <v/>
      </c>
    </row>
    <row r="12" spans="1:14" ht="13" x14ac:dyDescent="0.25">
      <c r="B12" s="146" t="s">
        <v>62</v>
      </c>
      <c r="C12" s="19" t="s">
        <v>63</v>
      </c>
      <c r="D12" s="15"/>
      <c r="E12" s="15"/>
      <c r="F12" s="580"/>
      <c r="G12" s="411"/>
      <c r="H12" s="17" t="str">
        <f t="shared" si="0"/>
        <v/>
      </c>
      <c r="I12" s="18"/>
      <c r="J12" s="61"/>
      <c r="K12" s="399"/>
      <c r="L12" s="420" t="str">
        <f t="shared" ref="L12:L70" si="2">IF(J12="","",F12*K12)</f>
        <v/>
      </c>
      <c r="M12" s="401" t="str">
        <f t="shared" ref="M12:M70" si="3">IF(J12="","",IF(SUM(H12)=0,"",L12/H12))</f>
        <v/>
      </c>
    </row>
    <row r="13" spans="1:14" x14ac:dyDescent="0.25">
      <c r="B13" s="58"/>
      <c r="C13" s="14"/>
      <c r="D13" s="15"/>
      <c r="E13" s="15"/>
      <c r="F13" s="580"/>
      <c r="G13" s="411"/>
      <c r="H13" s="17" t="str">
        <f t="shared" si="0"/>
        <v/>
      </c>
      <c r="I13" s="18"/>
      <c r="J13" s="61"/>
      <c r="K13" s="399"/>
      <c r="L13" s="420" t="str">
        <f t="shared" si="2"/>
        <v/>
      </c>
      <c r="M13" s="401" t="str">
        <f t="shared" si="3"/>
        <v/>
      </c>
    </row>
    <row r="14" spans="1:14" ht="13" x14ac:dyDescent="0.25">
      <c r="B14" s="146" t="s">
        <v>1868</v>
      </c>
      <c r="C14" s="19" t="s">
        <v>64</v>
      </c>
      <c r="D14" s="15"/>
      <c r="E14" s="15"/>
      <c r="F14" s="580"/>
      <c r="G14" s="411"/>
      <c r="H14" s="17" t="str">
        <f t="shared" si="0"/>
        <v/>
      </c>
      <c r="I14" s="18"/>
      <c r="J14" s="61"/>
      <c r="K14" s="399"/>
      <c r="L14" s="420" t="str">
        <f t="shared" si="2"/>
        <v/>
      </c>
      <c r="M14" s="401" t="str">
        <f t="shared" si="3"/>
        <v/>
      </c>
    </row>
    <row r="15" spans="1:14" x14ac:dyDescent="0.25">
      <c r="B15" s="58"/>
      <c r="C15" s="14"/>
      <c r="D15" s="15"/>
      <c r="E15" s="15"/>
      <c r="F15" s="580"/>
      <c r="G15" s="411"/>
      <c r="H15" s="17" t="str">
        <f t="shared" si="0"/>
        <v/>
      </c>
      <c r="I15" s="18"/>
      <c r="J15" s="61"/>
      <c r="K15" s="399"/>
      <c r="L15" s="420" t="str">
        <f t="shared" si="2"/>
        <v/>
      </c>
      <c r="M15" s="401" t="str">
        <f t="shared" si="3"/>
        <v/>
      </c>
    </row>
    <row r="16" spans="1:14" ht="14.5" x14ac:dyDescent="0.25">
      <c r="B16" s="58" t="s">
        <v>65</v>
      </c>
      <c r="C16" s="14" t="s">
        <v>72</v>
      </c>
      <c r="D16" s="15" t="s">
        <v>61</v>
      </c>
      <c r="E16" s="15"/>
      <c r="F16" s="24">
        <v>100</v>
      </c>
      <c r="G16" s="422"/>
      <c r="H16" s="17">
        <f t="shared" si="0"/>
        <v>0</v>
      </c>
      <c r="I16" s="18"/>
      <c r="J16" s="61"/>
      <c r="K16" s="399"/>
      <c r="L16" s="420" t="str">
        <f t="shared" ref="L16" si="4">IF(J16="","",F16*K16)</f>
        <v/>
      </c>
      <c r="M16" s="401" t="str">
        <f t="shared" ref="M16" si="5">IF(J16="","",IF(SUM(H16)=0,"",L16/H16))</f>
        <v/>
      </c>
    </row>
    <row r="17" spans="2:13" x14ac:dyDescent="0.25">
      <c r="B17" s="58"/>
      <c r="C17" s="14"/>
      <c r="D17" s="15"/>
      <c r="E17" s="15"/>
      <c r="F17" s="24"/>
      <c r="G17" s="422"/>
      <c r="H17" s="17" t="str">
        <f t="shared" si="0"/>
        <v/>
      </c>
      <c r="I17" s="57"/>
      <c r="J17" s="61"/>
      <c r="K17" s="399"/>
      <c r="L17" s="420" t="str">
        <f t="shared" si="2"/>
        <v/>
      </c>
      <c r="M17" s="401" t="str">
        <f t="shared" si="3"/>
        <v/>
      </c>
    </row>
    <row r="18" spans="2:13" ht="14.5" x14ac:dyDescent="0.25">
      <c r="B18" s="58" t="s">
        <v>66</v>
      </c>
      <c r="C18" s="14" t="s">
        <v>73</v>
      </c>
      <c r="D18" s="15" t="s">
        <v>61</v>
      </c>
      <c r="E18" s="15"/>
      <c r="F18" s="24">
        <v>54</v>
      </c>
      <c r="G18" s="422"/>
      <c r="H18" s="17">
        <f t="shared" si="0"/>
        <v>0</v>
      </c>
      <c r="I18" s="57"/>
      <c r="J18" s="61"/>
      <c r="K18" s="399"/>
      <c r="L18" s="420" t="str">
        <f t="shared" si="2"/>
        <v/>
      </c>
      <c r="M18" s="401" t="str">
        <f t="shared" si="3"/>
        <v/>
      </c>
    </row>
    <row r="19" spans="2:13" x14ac:dyDescent="0.25">
      <c r="B19" s="58"/>
      <c r="C19" s="14"/>
      <c r="D19" s="15"/>
      <c r="E19" s="15"/>
      <c r="F19" s="24"/>
      <c r="G19" s="422"/>
      <c r="H19" s="17" t="str">
        <f t="shared" si="0"/>
        <v/>
      </c>
      <c r="I19" s="57"/>
      <c r="J19" s="61"/>
      <c r="K19" s="399"/>
      <c r="L19" s="420" t="str">
        <f t="shared" si="2"/>
        <v/>
      </c>
      <c r="M19" s="401" t="str">
        <f t="shared" si="3"/>
        <v/>
      </c>
    </row>
    <row r="20" spans="2:13" ht="14.5" x14ac:dyDescent="0.25">
      <c r="B20" s="58" t="s">
        <v>67</v>
      </c>
      <c r="C20" s="14" t="s">
        <v>74</v>
      </c>
      <c r="D20" s="15" t="s">
        <v>61</v>
      </c>
      <c r="E20" s="15"/>
      <c r="F20" s="24">
        <v>30</v>
      </c>
      <c r="G20" s="422"/>
      <c r="H20" s="17">
        <f t="shared" si="0"/>
        <v>0</v>
      </c>
      <c r="I20" s="57"/>
      <c r="J20" s="61"/>
      <c r="K20" s="402"/>
      <c r="L20" s="420" t="str">
        <f t="shared" si="2"/>
        <v/>
      </c>
      <c r="M20" s="401" t="str">
        <f t="shared" si="3"/>
        <v/>
      </c>
    </row>
    <row r="21" spans="2:13" x14ac:dyDescent="0.25">
      <c r="B21" s="58"/>
      <c r="C21" s="14"/>
      <c r="D21" s="15"/>
      <c r="E21" s="15"/>
      <c r="F21" s="24"/>
      <c r="G21" s="422"/>
      <c r="H21" s="17" t="str">
        <f t="shared" si="0"/>
        <v/>
      </c>
      <c r="I21" s="57"/>
      <c r="J21" s="61"/>
      <c r="K21" s="402"/>
      <c r="L21" s="420" t="str">
        <f t="shared" si="2"/>
        <v/>
      </c>
      <c r="M21" s="401" t="str">
        <f t="shared" si="3"/>
        <v/>
      </c>
    </row>
    <row r="22" spans="2:13" ht="14.5" x14ac:dyDescent="0.25">
      <c r="B22" s="58" t="s">
        <v>68</v>
      </c>
      <c r="C22" s="14" t="s">
        <v>75</v>
      </c>
      <c r="D22" s="15" t="s">
        <v>61</v>
      </c>
      <c r="E22" s="15"/>
      <c r="F22" s="24">
        <v>32</v>
      </c>
      <c r="G22" s="411"/>
      <c r="H22" s="17">
        <f t="shared" si="0"/>
        <v>0</v>
      </c>
      <c r="I22" s="18"/>
      <c r="J22" s="61"/>
      <c r="K22" s="402"/>
      <c r="L22" s="420" t="str">
        <f t="shared" si="2"/>
        <v/>
      </c>
      <c r="M22" s="401" t="str">
        <f t="shared" si="3"/>
        <v/>
      </c>
    </row>
    <row r="23" spans="2:13" x14ac:dyDescent="0.25">
      <c r="B23" s="58"/>
      <c r="C23" s="14"/>
      <c r="D23" s="15"/>
      <c r="E23" s="15"/>
      <c r="F23" s="24"/>
      <c r="G23" s="411"/>
      <c r="H23" s="17" t="str">
        <f t="shared" si="0"/>
        <v/>
      </c>
      <c r="I23" s="18"/>
      <c r="J23" s="61"/>
      <c r="K23" s="402"/>
      <c r="L23" s="420" t="str">
        <f t="shared" si="2"/>
        <v/>
      </c>
      <c r="M23" s="401" t="str">
        <f t="shared" si="3"/>
        <v/>
      </c>
    </row>
    <row r="24" spans="2:13" x14ac:dyDescent="0.25">
      <c r="B24" s="58" t="s">
        <v>69</v>
      </c>
      <c r="C24" s="14" t="s">
        <v>76</v>
      </c>
      <c r="D24" s="15" t="s">
        <v>34</v>
      </c>
      <c r="E24" s="15"/>
      <c r="F24" s="24">
        <v>4</v>
      </c>
      <c r="G24" s="411"/>
      <c r="H24" s="17">
        <f t="shared" si="0"/>
        <v>0</v>
      </c>
      <c r="I24" s="18"/>
      <c r="J24" s="61"/>
      <c r="K24" s="402"/>
      <c r="L24" s="420" t="str">
        <f t="shared" si="2"/>
        <v/>
      </c>
      <c r="M24" s="401" t="str">
        <f t="shared" si="3"/>
        <v/>
      </c>
    </row>
    <row r="25" spans="2:13" x14ac:dyDescent="0.25">
      <c r="B25" s="58"/>
      <c r="C25" s="14"/>
      <c r="D25" s="15"/>
      <c r="E25" s="15"/>
      <c r="F25" s="24"/>
      <c r="G25" s="411"/>
      <c r="H25" s="17" t="str">
        <f t="shared" si="0"/>
        <v/>
      </c>
      <c r="I25" s="18"/>
      <c r="J25" s="61"/>
      <c r="K25" s="402"/>
      <c r="L25" s="420" t="str">
        <f t="shared" si="2"/>
        <v/>
      </c>
      <c r="M25" s="401" t="str">
        <f t="shared" si="3"/>
        <v/>
      </c>
    </row>
    <row r="26" spans="2:13" ht="37.5" x14ac:dyDescent="0.25">
      <c r="B26" s="58" t="s">
        <v>70</v>
      </c>
      <c r="C26" s="14" t="s">
        <v>2098</v>
      </c>
      <c r="D26" s="15" t="s">
        <v>34</v>
      </c>
      <c r="E26" s="15"/>
      <c r="F26" s="24">
        <v>1</v>
      </c>
      <c r="G26" s="421"/>
      <c r="H26" s="17">
        <f t="shared" si="0"/>
        <v>0</v>
      </c>
      <c r="I26" s="60"/>
      <c r="J26" s="61"/>
      <c r="K26" s="399"/>
      <c r="L26" s="420" t="str">
        <f t="shared" si="2"/>
        <v/>
      </c>
      <c r="M26" s="401" t="str">
        <f t="shared" si="3"/>
        <v/>
      </c>
    </row>
    <row r="27" spans="2:13" x14ac:dyDescent="0.25">
      <c r="B27" s="58"/>
      <c r="C27" s="14"/>
      <c r="D27" s="15"/>
      <c r="E27" s="15"/>
      <c r="F27" s="24"/>
      <c r="G27" s="411"/>
      <c r="H27" s="17" t="str">
        <f t="shared" si="0"/>
        <v/>
      </c>
      <c r="I27" s="60"/>
      <c r="J27" s="61"/>
      <c r="K27" s="399"/>
      <c r="L27" s="420" t="str">
        <f t="shared" si="2"/>
        <v/>
      </c>
      <c r="M27" s="401" t="str">
        <f t="shared" si="3"/>
        <v/>
      </c>
    </row>
    <row r="28" spans="2:13" x14ac:dyDescent="0.25">
      <c r="B28" s="58" t="s">
        <v>71</v>
      </c>
      <c r="C28" s="14" t="s">
        <v>1869</v>
      </c>
      <c r="D28" s="15" t="s">
        <v>34</v>
      </c>
      <c r="E28" s="15"/>
      <c r="F28" s="24">
        <v>1</v>
      </c>
      <c r="G28" s="422"/>
      <c r="H28" s="17">
        <f t="shared" si="0"/>
        <v>0</v>
      </c>
      <c r="I28" s="63"/>
      <c r="J28" s="61"/>
      <c r="K28" s="400"/>
      <c r="L28" s="420" t="str">
        <f t="shared" si="2"/>
        <v/>
      </c>
      <c r="M28" s="401" t="str">
        <f t="shared" si="3"/>
        <v/>
      </c>
    </row>
    <row r="29" spans="2:13" x14ac:dyDescent="0.25">
      <c r="B29" s="58"/>
      <c r="C29" s="26"/>
      <c r="D29" s="15"/>
      <c r="E29" s="15"/>
      <c r="F29" s="24"/>
      <c r="G29" s="422"/>
      <c r="H29" s="17" t="str">
        <f t="shared" si="0"/>
        <v/>
      </c>
      <c r="I29" s="63"/>
      <c r="J29" s="61"/>
      <c r="K29" s="399"/>
      <c r="L29" s="420" t="str">
        <f t="shared" si="2"/>
        <v/>
      </c>
      <c r="M29" s="401" t="str">
        <f t="shared" si="3"/>
        <v/>
      </c>
    </row>
    <row r="30" spans="2:13" ht="13" x14ac:dyDescent="0.25">
      <c r="B30" s="146" t="s">
        <v>1870</v>
      </c>
      <c r="C30" s="19" t="s">
        <v>77</v>
      </c>
      <c r="D30" s="15"/>
      <c r="E30" s="15"/>
      <c r="F30" s="24"/>
      <c r="G30" s="421"/>
      <c r="H30" s="17" t="str">
        <f t="shared" si="0"/>
        <v/>
      </c>
      <c r="I30" s="63"/>
      <c r="J30" s="61"/>
      <c r="K30" s="399"/>
      <c r="L30" s="420" t="str">
        <f t="shared" si="2"/>
        <v/>
      </c>
      <c r="M30" s="401" t="str">
        <f t="shared" si="3"/>
        <v/>
      </c>
    </row>
    <row r="31" spans="2:13" x14ac:dyDescent="0.25">
      <c r="B31" s="58"/>
      <c r="C31" s="26"/>
      <c r="D31" s="15"/>
      <c r="E31" s="15"/>
      <c r="F31" s="24"/>
      <c r="G31" s="421"/>
      <c r="H31" s="17" t="str">
        <f t="shared" si="0"/>
        <v/>
      </c>
      <c r="I31" s="63"/>
      <c r="J31" s="61"/>
      <c r="K31" s="399"/>
      <c r="L31" s="420" t="str">
        <f t="shared" si="2"/>
        <v/>
      </c>
      <c r="M31" s="401" t="str">
        <f t="shared" si="3"/>
        <v/>
      </c>
    </row>
    <row r="32" spans="2:13" ht="14.5" x14ac:dyDescent="0.25">
      <c r="B32" s="58" t="s">
        <v>78</v>
      </c>
      <c r="C32" s="14" t="s">
        <v>80</v>
      </c>
      <c r="D32" s="15" t="s">
        <v>61</v>
      </c>
      <c r="E32" s="15"/>
      <c r="F32" s="580">
        <v>6</v>
      </c>
      <c r="G32" s="411"/>
      <c r="H32" s="17">
        <f t="shared" si="0"/>
        <v>0</v>
      </c>
      <c r="I32" s="63"/>
      <c r="J32" s="61"/>
      <c r="K32" s="399"/>
      <c r="L32" s="420" t="str">
        <f t="shared" si="2"/>
        <v/>
      </c>
      <c r="M32" s="401" t="str">
        <f t="shared" si="3"/>
        <v/>
      </c>
    </row>
    <row r="33" spans="2:13" x14ac:dyDescent="0.25">
      <c r="B33" s="58"/>
      <c r="C33" s="26"/>
      <c r="D33" s="15"/>
      <c r="E33" s="15"/>
      <c r="F33" s="24"/>
      <c r="G33" s="423"/>
      <c r="H33" s="17" t="str">
        <f t="shared" si="0"/>
        <v/>
      </c>
      <c r="I33" s="63"/>
      <c r="J33" s="61"/>
      <c r="K33" s="399"/>
      <c r="L33" s="420" t="str">
        <f t="shared" si="2"/>
        <v/>
      </c>
      <c r="M33" s="401" t="str">
        <f t="shared" si="3"/>
        <v/>
      </c>
    </row>
    <row r="34" spans="2:13" ht="14.5" x14ac:dyDescent="0.25">
      <c r="B34" s="58" t="s">
        <v>79</v>
      </c>
      <c r="C34" s="14" t="s">
        <v>2099</v>
      </c>
      <c r="D34" s="15" t="s">
        <v>61</v>
      </c>
      <c r="E34" s="15"/>
      <c r="F34" s="580">
        <v>4</v>
      </c>
      <c r="G34" s="422"/>
      <c r="H34" s="17">
        <f t="shared" si="0"/>
        <v>0</v>
      </c>
      <c r="I34" s="63"/>
      <c r="J34" s="61"/>
      <c r="K34" s="400"/>
      <c r="L34" s="420" t="str">
        <f t="shared" si="2"/>
        <v/>
      </c>
      <c r="M34" s="401" t="str">
        <f t="shared" si="3"/>
        <v/>
      </c>
    </row>
    <row r="35" spans="2:13" x14ac:dyDescent="0.25">
      <c r="B35" s="58"/>
      <c r="C35" s="26"/>
      <c r="D35" s="15"/>
      <c r="E35" s="15"/>
      <c r="F35" s="24"/>
      <c r="G35" s="421"/>
      <c r="H35" s="17" t="str">
        <f t="shared" si="0"/>
        <v/>
      </c>
      <c r="I35" s="63"/>
      <c r="J35" s="61"/>
      <c r="K35" s="399"/>
      <c r="L35" s="420" t="str">
        <f t="shared" si="2"/>
        <v/>
      </c>
      <c r="M35" s="401" t="str">
        <f t="shared" si="3"/>
        <v/>
      </c>
    </row>
    <row r="36" spans="2:13" ht="13" x14ac:dyDescent="0.25">
      <c r="B36" s="146" t="s">
        <v>1871</v>
      </c>
      <c r="C36" s="19" t="s">
        <v>81</v>
      </c>
      <c r="D36" s="15"/>
      <c r="E36" s="15"/>
      <c r="F36" s="580"/>
      <c r="G36" s="422"/>
      <c r="H36" s="17" t="str">
        <f t="shared" si="0"/>
        <v/>
      </c>
      <c r="I36" s="63"/>
      <c r="J36" s="61"/>
      <c r="K36" s="399"/>
      <c r="L36" s="420" t="str">
        <f t="shared" si="2"/>
        <v/>
      </c>
      <c r="M36" s="401" t="str">
        <f t="shared" si="3"/>
        <v/>
      </c>
    </row>
    <row r="37" spans="2:13" x14ac:dyDescent="0.25">
      <c r="B37" s="58"/>
      <c r="C37" s="14"/>
      <c r="D37" s="15"/>
      <c r="E37" s="15"/>
      <c r="F37" s="580"/>
      <c r="G37" s="422"/>
      <c r="H37" s="17" t="str">
        <f t="shared" si="0"/>
        <v/>
      </c>
      <c r="I37" s="63"/>
      <c r="J37" s="61"/>
      <c r="K37" s="399"/>
      <c r="L37" s="420" t="str">
        <f t="shared" si="2"/>
        <v/>
      </c>
      <c r="M37" s="401" t="str">
        <f t="shared" si="3"/>
        <v/>
      </c>
    </row>
    <row r="38" spans="2:13" x14ac:dyDescent="0.25">
      <c r="B38" s="58" t="s">
        <v>88</v>
      </c>
      <c r="C38" s="14" t="s">
        <v>82</v>
      </c>
      <c r="D38" s="15" t="s">
        <v>34</v>
      </c>
      <c r="E38" s="15"/>
      <c r="F38" s="580">
        <v>30</v>
      </c>
      <c r="G38" s="422"/>
      <c r="H38" s="17">
        <f t="shared" si="0"/>
        <v>0</v>
      </c>
      <c r="I38" s="63"/>
      <c r="J38" s="61"/>
      <c r="K38" s="399"/>
      <c r="L38" s="420" t="str">
        <f t="shared" si="2"/>
        <v/>
      </c>
      <c r="M38" s="401" t="str">
        <f t="shared" si="3"/>
        <v/>
      </c>
    </row>
    <row r="39" spans="2:13" x14ac:dyDescent="0.25">
      <c r="B39" s="58"/>
      <c r="C39" s="14"/>
      <c r="D39" s="15"/>
      <c r="E39" s="15"/>
      <c r="F39" s="580"/>
      <c r="G39" s="422"/>
      <c r="H39" s="17" t="str">
        <f t="shared" si="0"/>
        <v/>
      </c>
      <c r="I39" s="63"/>
      <c r="J39" s="61"/>
      <c r="K39" s="399"/>
      <c r="L39" s="420" t="str">
        <f t="shared" si="2"/>
        <v/>
      </c>
      <c r="M39" s="401" t="str">
        <f t="shared" si="3"/>
        <v/>
      </c>
    </row>
    <row r="40" spans="2:13" ht="25" x14ac:dyDescent="0.25">
      <c r="B40" s="58" t="s">
        <v>89</v>
      </c>
      <c r="C40" s="14" t="s">
        <v>83</v>
      </c>
      <c r="D40" s="15" t="s">
        <v>34</v>
      </c>
      <c r="E40" s="15"/>
      <c r="F40" s="580">
        <v>4</v>
      </c>
      <c r="G40" s="424"/>
      <c r="H40" s="17">
        <f t="shared" si="0"/>
        <v>0</v>
      </c>
      <c r="I40" s="18"/>
      <c r="J40" s="61"/>
      <c r="K40" s="399"/>
      <c r="L40" s="420" t="str">
        <f t="shared" si="2"/>
        <v/>
      </c>
      <c r="M40" s="401" t="str">
        <f t="shared" si="3"/>
        <v/>
      </c>
    </row>
    <row r="41" spans="2:13" x14ac:dyDescent="0.25">
      <c r="B41" s="58"/>
      <c r="C41" s="14"/>
      <c r="D41" s="15"/>
      <c r="E41" s="15"/>
      <c r="F41" s="580"/>
      <c r="G41" s="424"/>
      <c r="H41" s="17" t="str">
        <f t="shared" si="0"/>
        <v/>
      </c>
      <c r="I41" s="18"/>
      <c r="J41" s="61"/>
      <c r="K41" s="399"/>
      <c r="L41" s="420" t="str">
        <f t="shared" si="2"/>
        <v/>
      </c>
      <c r="M41" s="401" t="str">
        <f t="shared" si="3"/>
        <v/>
      </c>
    </row>
    <row r="42" spans="2:13" x14ac:dyDescent="0.25">
      <c r="B42" s="58" t="s">
        <v>90</v>
      </c>
      <c r="C42" s="14" t="s">
        <v>84</v>
      </c>
      <c r="D42" s="15" t="s">
        <v>34</v>
      </c>
      <c r="E42" s="15"/>
      <c r="F42" s="580">
        <v>4</v>
      </c>
      <c r="G42" s="422"/>
      <c r="H42" s="17">
        <f t="shared" si="0"/>
        <v>0</v>
      </c>
      <c r="I42" s="18"/>
      <c r="J42" s="61"/>
      <c r="K42" s="399"/>
      <c r="L42" s="420" t="str">
        <f t="shared" si="2"/>
        <v/>
      </c>
      <c r="M42" s="401" t="str">
        <f t="shared" si="3"/>
        <v/>
      </c>
    </row>
    <row r="43" spans="2:13" x14ac:dyDescent="0.25">
      <c r="B43" s="58"/>
      <c r="C43" s="14"/>
      <c r="D43" s="15"/>
      <c r="E43" s="15"/>
      <c r="F43" s="580"/>
      <c r="G43" s="422"/>
      <c r="H43" s="17" t="str">
        <f t="shared" si="0"/>
        <v/>
      </c>
      <c r="I43" s="57"/>
      <c r="J43" s="61"/>
      <c r="K43" s="399"/>
      <c r="L43" s="420" t="str">
        <f t="shared" si="2"/>
        <v/>
      </c>
      <c r="M43" s="401" t="str">
        <f t="shared" si="3"/>
        <v/>
      </c>
    </row>
    <row r="44" spans="2:13" x14ac:dyDescent="0.25">
      <c r="B44" s="58" t="s">
        <v>91</v>
      </c>
      <c r="C44" s="14" t="s">
        <v>85</v>
      </c>
      <c r="D44" s="15" t="s">
        <v>34</v>
      </c>
      <c r="E44" s="15"/>
      <c r="F44" s="580">
        <v>2</v>
      </c>
      <c r="G44" s="422"/>
      <c r="H44" s="17">
        <f t="shared" si="0"/>
        <v>0</v>
      </c>
      <c r="I44" s="18"/>
      <c r="J44" s="61"/>
      <c r="K44" s="399"/>
      <c r="L44" s="420" t="str">
        <f t="shared" si="2"/>
        <v/>
      </c>
      <c r="M44" s="401" t="str">
        <f t="shared" si="3"/>
        <v/>
      </c>
    </row>
    <row r="45" spans="2:13" s="36" customFormat="1" x14ac:dyDescent="0.25">
      <c r="B45" s="58"/>
      <c r="C45" s="14"/>
      <c r="D45" s="15"/>
      <c r="E45" s="15"/>
      <c r="F45" s="580"/>
      <c r="G45" s="422"/>
      <c r="H45" s="17" t="str">
        <f t="shared" si="0"/>
        <v/>
      </c>
      <c r="I45" s="18"/>
      <c r="J45" s="61"/>
      <c r="K45" s="399"/>
      <c r="L45" s="420" t="str">
        <f t="shared" si="2"/>
        <v/>
      </c>
      <c r="M45" s="401" t="str">
        <f t="shared" si="3"/>
        <v/>
      </c>
    </row>
    <row r="46" spans="2:13" x14ac:dyDescent="0.25">
      <c r="B46" s="58" t="s">
        <v>92</v>
      </c>
      <c r="C46" s="14" t="s">
        <v>86</v>
      </c>
      <c r="D46" s="15" t="s">
        <v>34</v>
      </c>
      <c r="E46" s="15"/>
      <c r="F46" s="580">
        <v>4</v>
      </c>
      <c r="G46" s="422"/>
      <c r="H46" s="17">
        <f t="shared" si="0"/>
        <v>0</v>
      </c>
      <c r="I46" s="57"/>
      <c r="J46" s="61"/>
      <c r="K46" s="402"/>
      <c r="L46" s="420" t="str">
        <f t="shared" si="2"/>
        <v/>
      </c>
      <c r="M46" s="401" t="str">
        <f t="shared" si="3"/>
        <v/>
      </c>
    </row>
    <row r="47" spans="2:13" x14ac:dyDescent="0.25">
      <c r="B47" s="58"/>
      <c r="C47" s="26"/>
      <c r="D47" s="15"/>
      <c r="E47" s="15"/>
      <c r="F47" s="580"/>
      <c r="G47" s="422"/>
      <c r="H47" s="17" t="str">
        <f t="shared" si="0"/>
        <v/>
      </c>
      <c r="I47" s="57"/>
      <c r="J47" s="61"/>
      <c r="K47" s="399"/>
      <c r="L47" s="420" t="str">
        <f t="shared" si="2"/>
        <v/>
      </c>
      <c r="M47" s="401" t="str">
        <f t="shared" si="3"/>
        <v/>
      </c>
    </row>
    <row r="48" spans="2:13" x14ac:dyDescent="0.25">
      <c r="B48" s="58" t="s">
        <v>93</v>
      </c>
      <c r="C48" s="26" t="s">
        <v>87</v>
      </c>
      <c r="D48" s="15" t="s">
        <v>34</v>
      </c>
      <c r="E48" s="15"/>
      <c r="F48" s="580">
        <v>4</v>
      </c>
      <c r="G48" s="422"/>
      <c r="H48" s="17">
        <f t="shared" si="0"/>
        <v>0</v>
      </c>
      <c r="I48" s="57"/>
      <c r="J48" s="61"/>
      <c r="K48" s="402"/>
      <c r="L48" s="420" t="str">
        <f t="shared" si="2"/>
        <v/>
      </c>
      <c r="M48" s="401" t="str">
        <f t="shared" si="3"/>
        <v/>
      </c>
    </row>
    <row r="49" spans="2:13" x14ac:dyDescent="0.25">
      <c r="B49" s="58"/>
      <c r="C49" s="14"/>
      <c r="D49" s="15"/>
      <c r="E49" s="15"/>
      <c r="F49" s="580"/>
      <c r="G49" s="422"/>
      <c r="H49" s="17" t="str">
        <f t="shared" si="0"/>
        <v/>
      </c>
      <c r="I49" s="57"/>
      <c r="J49" s="61"/>
      <c r="K49" s="402"/>
      <c r="L49" s="420" t="str">
        <f t="shared" si="2"/>
        <v/>
      </c>
      <c r="M49" s="401" t="str">
        <f t="shared" si="3"/>
        <v/>
      </c>
    </row>
    <row r="50" spans="2:13" ht="50" x14ac:dyDescent="0.25">
      <c r="B50" s="58" t="s">
        <v>94</v>
      </c>
      <c r="C50" s="26" t="s">
        <v>2100</v>
      </c>
      <c r="D50" s="15" t="s">
        <v>34</v>
      </c>
      <c r="E50" s="15"/>
      <c r="F50" s="697">
        <v>2</v>
      </c>
      <c r="G50" s="424"/>
      <c r="H50" s="17">
        <f t="shared" si="0"/>
        <v>0</v>
      </c>
      <c r="I50" s="18"/>
      <c r="J50" s="61"/>
      <c r="K50" s="399"/>
      <c r="L50" s="420" t="str">
        <f t="shared" si="2"/>
        <v/>
      </c>
      <c r="M50" s="401" t="str">
        <f t="shared" si="3"/>
        <v/>
      </c>
    </row>
    <row r="51" spans="2:13" x14ac:dyDescent="0.25">
      <c r="B51" s="58"/>
      <c r="C51" s="26"/>
      <c r="D51" s="15"/>
      <c r="E51" s="15"/>
      <c r="F51" s="697"/>
      <c r="G51" s="422"/>
      <c r="H51" s="17" t="str">
        <f t="shared" si="0"/>
        <v/>
      </c>
      <c r="I51" s="18"/>
      <c r="J51" s="61"/>
      <c r="K51" s="399"/>
      <c r="L51" s="420" t="str">
        <f t="shared" si="2"/>
        <v/>
      </c>
      <c r="M51" s="401" t="str">
        <f t="shared" si="3"/>
        <v/>
      </c>
    </row>
    <row r="52" spans="2:13" x14ac:dyDescent="0.25">
      <c r="B52" s="58" t="s">
        <v>95</v>
      </c>
      <c r="C52" s="14" t="s">
        <v>98</v>
      </c>
      <c r="D52" s="15" t="s">
        <v>34</v>
      </c>
      <c r="E52" s="15"/>
      <c r="F52" s="580">
        <v>4</v>
      </c>
      <c r="G52" s="422"/>
      <c r="H52" s="17">
        <f t="shared" si="0"/>
        <v>0</v>
      </c>
      <c r="I52" s="18"/>
      <c r="J52" s="61"/>
      <c r="K52" s="399"/>
      <c r="L52" s="420" t="str">
        <f t="shared" si="2"/>
        <v/>
      </c>
      <c r="M52" s="401" t="str">
        <f t="shared" si="3"/>
        <v/>
      </c>
    </row>
    <row r="53" spans="2:13" x14ac:dyDescent="0.25">
      <c r="B53" s="58"/>
      <c r="C53" s="14"/>
      <c r="D53" s="15"/>
      <c r="E53" s="15"/>
      <c r="F53" s="580"/>
      <c r="G53" s="422"/>
      <c r="H53" s="17" t="str">
        <f t="shared" si="0"/>
        <v/>
      </c>
      <c r="I53" s="18"/>
      <c r="J53" s="61"/>
      <c r="K53" s="399"/>
      <c r="L53" s="420" t="str">
        <f t="shared" si="2"/>
        <v/>
      </c>
      <c r="M53" s="401" t="str">
        <f t="shared" si="3"/>
        <v/>
      </c>
    </row>
    <row r="54" spans="2:13" x14ac:dyDescent="0.25">
      <c r="B54" s="58" t="s">
        <v>96</v>
      </c>
      <c r="C54" s="70" t="s">
        <v>1872</v>
      </c>
      <c r="D54" s="15" t="s">
        <v>34</v>
      </c>
      <c r="E54" s="15"/>
      <c r="F54" s="697">
        <v>8</v>
      </c>
      <c r="G54" s="422"/>
      <c r="H54" s="17">
        <f t="shared" si="0"/>
        <v>0</v>
      </c>
      <c r="I54" s="18"/>
      <c r="J54" s="61"/>
      <c r="K54" s="399"/>
      <c r="L54" s="420" t="str">
        <f t="shared" si="2"/>
        <v/>
      </c>
      <c r="M54" s="401" t="str">
        <f t="shared" si="3"/>
        <v/>
      </c>
    </row>
    <row r="55" spans="2:13" x14ac:dyDescent="0.25">
      <c r="B55" s="58"/>
      <c r="C55" s="14"/>
      <c r="D55" s="15"/>
      <c r="E55" s="15"/>
      <c r="F55" s="580"/>
      <c r="G55" s="422"/>
      <c r="H55" s="17" t="str">
        <f t="shared" si="0"/>
        <v/>
      </c>
      <c r="I55" s="18"/>
      <c r="J55" s="61"/>
      <c r="K55" s="62"/>
      <c r="L55" s="420" t="str">
        <f t="shared" si="2"/>
        <v/>
      </c>
      <c r="M55" s="401" t="str">
        <f t="shared" si="3"/>
        <v/>
      </c>
    </row>
    <row r="56" spans="2:13" x14ac:dyDescent="0.25">
      <c r="B56" s="58" t="s">
        <v>97</v>
      </c>
      <c r="C56" s="14" t="s">
        <v>99</v>
      </c>
      <c r="D56" s="15" t="s">
        <v>34</v>
      </c>
      <c r="E56" s="15"/>
      <c r="F56" s="580">
        <v>2</v>
      </c>
      <c r="G56" s="422"/>
      <c r="H56" s="17">
        <f t="shared" si="0"/>
        <v>0</v>
      </c>
      <c r="I56" s="18"/>
      <c r="J56" s="61"/>
      <c r="K56" s="402"/>
      <c r="L56" s="420" t="str">
        <f t="shared" si="2"/>
        <v/>
      </c>
      <c r="M56" s="401" t="str">
        <f t="shared" si="3"/>
        <v/>
      </c>
    </row>
    <row r="57" spans="2:13" x14ac:dyDescent="0.25">
      <c r="B57" s="58"/>
      <c r="C57" s="26"/>
      <c r="D57" s="15"/>
      <c r="E57" s="15"/>
      <c r="F57" s="580"/>
      <c r="G57" s="422"/>
      <c r="H57" s="17" t="str">
        <f t="shared" si="0"/>
        <v/>
      </c>
      <c r="I57" s="18"/>
      <c r="J57" s="62"/>
      <c r="K57" s="62"/>
      <c r="L57" s="420" t="str">
        <f t="shared" si="2"/>
        <v/>
      </c>
      <c r="M57" s="401" t="str">
        <f t="shared" si="3"/>
        <v/>
      </c>
    </row>
    <row r="58" spans="2:13" x14ac:dyDescent="0.25">
      <c r="B58" s="58" t="s">
        <v>100</v>
      </c>
      <c r="C58" s="14" t="s">
        <v>109</v>
      </c>
      <c r="D58" s="15" t="s">
        <v>34</v>
      </c>
      <c r="E58" s="15"/>
      <c r="F58" s="580">
        <v>2</v>
      </c>
      <c r="G58" s="422"/>
      <c r="H58" s="17">
        <f t="shared" si="0"/>
        <v>0</v>
      </c>
      <c r="I58" s="18"/>
      <c r="J58" s="62"/>
      <c r="K58" s="62"/>
      <c r="L58" s="420" t="str">
        <f t="shared" si="2"/>
        <v/>
      </c>
      <c r="M58" s="401" t="str">
        <f t="shared" si="3"/>
        <v/>
      </c>
    </row>
    <row r="59" spans="2:13" x14ac:dyDescent="0.25">
      <c r="B59" s="58"/>
      <c r="C59" s="14"/>
      <c r="D59" s="15"/>
      <c r="E59" s="15"/>
      <c r="F59" s="580"/>
      <c r="G59" s="422"/>
      <c r="H59" s="17" t="str">
        <f t="shared" si="0"/>
        <v/>
      </c>
      <c r="I59" s="18"/>
      <c r="J59" s="62"/>
      <c r="K59" s="62"/>
      <c r="L59" s="420" t="str">
        <f t="shared" si="2"/>
        <v/>
      </c>
      <c r="M59" s="401" t="str">
        <f t="shared" si="3"/>
        <v/>
      </c>
    </row>
    <row r="60" spans="2:13" x14ac:dyDescent="0.25">
      <c r="B60" s="58" t="s">
        <v>101</v>
      </c>
      <c r="C60" s="14" t="s">
        <v>110</v>
      </c>
      <c r="D60" s="15" t="s">
        <v>34</v>
      </c>
      <c r="E60" s="15"/>
      <c r="F60" s="580">
        <v>4</v>
      </c>
      <c r="G60" s="422"/>
      <c r="H60" s="17">
        <f t="shared" si="0"/>
        <v>0</v>
      </c>
      <c r="I60" s="18"/>
      <c r="J60" s="62"/>
      <c r="K60" s="62"/>
      <c r="L60" s="420" t="str">
        <f t="shared" si="2"/>
        <v/>
      </c>
      <c r="M60" s="401" t="str">
        <f t="shared" si="3"/>
        <v/>
      </c>
    </row>
    <row r="61" spans="2:13" x14ac:dyDescent="0.25">
      <c r="B61" s="58"/>
      <c r="C61" s="14"/>
      <c r="D61" s="15"/>
      <c r="E61" s="15"/>
      <c r="F61" s="580"/>
      <c r="G61" s="411"/>
      <c r="H61" s="17" t="str">
        <f t="shared" si="0"/>
        <v/>
      </c>
      <c r="I61" s="18"/>
      <c r="J61" s="62"/>
      <c r="K61" s="62"/>
      <c r="L61" s="420" t="str">
        <f t="shared" si="2"/>
        <v/>
      </c>
      <c r="M61" s="401" t="str">
        <f t="shared" si="3"/>
        <v/>
      </c>
    </row>
    <row r="62" spans="2:13" x14ac:dyDescent="0.25">
      <c r="B62" s="58" t="s">
        <v>102</v>
      </c>
      <c r="C62" s="14" t="s">
        <v>1683</v>
      </c>
      <c r="D62" s="15" t="s">
        <v>34</v>
      </c>
      <c r="E62" s="15"/>
      <c r="F62" s="580">
        <v>4</v>
      </c>
      <c r="G62" s="422"/>
      <c r="H62" s="17">
        <f t="shared" si="0"/>
        <v>0</v>
      </c>
      <c r="I62" s="18"/>
      <c r="J62" s="62"/>
      <c r="K62" s="62"/>
      <c r="L62" s="420" t="str">
        <f t="shared" si="2"/>
        <v/>
      </c>
      <c r="M62" s="401" t="str">
        <f t="shared" si="3"/>
        <v/>
      </c>
    </row>
    <row r="63" spans="2:13" x14ac:dyDescent="0.25">
      <c r="B63" s="58"/>
      <c r="C63" s="14"/>
      <c r="D63" s="15"/>
      <c r="E63" s="15"/>
      <c r="F63" s="580"/>
      <c r="G63" s="422"/>
      <c r="H63" s="17" t="str">
        <f t="shared" si="0"/>
        <v/>
      </c>
      <c r="I63" s="18"/>
      <c r="J63" s="62"/>
      <c r="K63" s="62"/>
      <c r="L63" s="420" t="str">
        <f t="shared" si="2"/>
        <v/>
      </c>
      <c r="M63" s="401" t="str">
        <f t="shared" si="3"/>
        <v/>
      </c>
    </row>
    <row r="64" spans="2:13" x14ac:dyDescent="0.25">
      <c r="B64" s="58" t="s">
        <v>1873</v>
      </c>
      <c r="C64" s="14" t="s">
        <v>1904</v>
      </c>
      <c r="D64" s="15" t="s">
        <v>34</v>
      </c>
      <c r="E64" s="15"/>
      <c r="F64" s="580">
        <v>1</v>
      </c>
      <c r="G64" s="422"/>
      <c r="H64" s="17">
        <f t="shared" si="0"/>
        <v>0</v>
      </c>
      <c r="I64" s="18"/>
      <c r="J64" s="61"/>
      <c r="K64" s="62"/>
      <c r="L64" s="420" t="str">
        <f t="shared" si="2"/>
        <v/>
      </c>
      <c r="M64" s="401" t="str">
        <f t="shared" si="3"/>
        <v/>
      </c>
    </row>
    <row r="65" spans="2:13" x14ac:dyDescent="0.25">
      <c r="B65" s="58"/>
      <c r="C65" s="14"/>
      <c r="D65" s="15"/>
      <c r="E65" s="15"/>
      <c r="F65" s="580"/>
      <c r="G65" s="422"/>
      <c r="H65" s="17" t="str">
        <f t="shared" si="0"/>
        <v/>
      </c>
      <c r="I65" s="18"/>
      <c r="J65" s="61"/>
      <c r="K65" s="62"/>
      <c r="L65" s="420" t="str">
        <f t="shared" si="2"/>
        <v/>
      </c>
      <c r="M65" s="401" t="str">
        <f t="shared" si="3"/>
        <v/>
      </c>
    </row>
    <row r="66" spans="2:13" ht="14.25" customHeight="1" x14ac:dyDescent="0.25">
      <c r="B66" s="58" t="s">
        <v>103</v>
      </c>
      <c r="C66" s="14" t="s">
        <v>111</v>
      </c>
      <c r="D66" s="15" t="s">
        <v>34</v>
      </c>
      <c r="E66" s="15"/>
      <c r="F66" s="580">
        <v>1</v>
      </c>
      <c r="G66" s="422"/>
      <c r="H66" s="17">
        <f t="shared" si="0"/>
        <v>0</v>
      </c>
      <c r="I66" s="18"/>
      <c r="J66" s="61"/>
      <c r="K66" s="695"/>
      <c r="L66" s="420" t="str">
        <f t="shared" si="2"/>
        <v/>
      </c>
      <c r="M66" s="401" t="str">
        <f t="shared" si="3"/>
        <v/>
      </c>
    </row>
    <row r="67" spans="2:13" ht="14.25" customHeight="1" x14ac:dyDescent="0.25">
      <c r="B67" s="58"/>
      <c r="C67" s="14"/>
      <c r="D67" s="15"/>
      <c r="E67" s="15"/>
      <c r="F67" s="580"/>
      <c r="G67" s="422"/>
      <c r="H67" s="17" t="str">
        <f t="shared" si="0"/>
        <v/>
      </c>
      <c r="I67" s="18"/>
      <c r="J67" s="61"/>
      <c r="K67" s="695"/>
      <c r="L67" s="420" t="str">
        <f t="shared" si="2"/>
        <v/>
      </c>
      <c r="M67" s="401" t="str">
        <f t="shared" si="3"/>
        <v/>
      </c>
    </row>
    <row r="68" spans="2:13" x14ac:dyDescent="0.25">
      <c r="B68" s="58" t="s">
        <v>104</v>
      </c>
      <c r="C68" s="14" t="s">
        <v>112</v>
      </c>
      <c r="D68" s="15" t="s">
        <v>34</v>
      </c>
      <c r="E68" s="15"/>
      <c r="F68" s="580">
        <v>1</v>
      </c>
      <c r="G68" s="422"/>
      <c r="H68" s="17">
        <f t="shared" si="0"/>
        <v>0</v>
      </c>
      <c r="I68" s="18"/>
      <c r="J68" s="61"/>
      <c r="K68" s="695"/>
      <c r="L68" s="420" t="str">
        <f t="shared" si="2"/>
        <v/>
      </c>
      <c r="M68" s="401" t="str">
        <f t="shared" si="3"/>
        <v/>
      </c>
    </row>
    <row r="69" spans="2:13" ht="14.25" customHeight="1" x14ac:dyDescent="0.25">
      <c r="B69" s="58"/>
      <c r="C69" s="14"/>
      <c r="D69" s="15"/>
      <c r="E69" s="15"/>
      <c r="F69" s="580"/>
      <c r="G69" s="422"/>
      <c r="H69" s="17" t="str">
        <f t="shared" si="0"/>
        <v/>
      </c>
      <c r="I69" s="18"/>
      <c r="J69" s="61"/>
      <c r="K69" s="695"/>
      <c r="L69" s="420" t="str">
        <f t="shared" si="2"/>
        <v/>
      </c>
      <c r="M69" s="401" t="str">
        <f t="shared" si="3"/>
        <v/>
      </c>
    </row>
    <row r="70" spans="2:13" x14ac:dyDescent="0.25">
      <c r="B70" s="58"/>
      <c r="C70" s="14"/>
      <c r="D70" s="15"/>
      <c r="E70" s="15"/>
      <c r="F70" s="580"/>
      <c r="G70" s="422"/>
      <c r="H70" s="17" t="str">
        <f t="shared" si="0"/>
        <v/>
      </c>
      <c r="I70" s="18"/>
      <c r="J70" s="61"/>
      <c r="K70" s="696"/>
      <c r="L70" s="420" t="str">
        <f t="shared" si="2"/>
        <v/>
      </c>
      <c r="M70" s="401" t="str">
        <f t="shared" si="3"/>
        <v/>
      </c>
    </row>
    <row r="71" spans="2:13" s="28" customFormat="1" ht="20.149999999999999" customHeight="1" x14ac:dyDescent="0.25">
      <c r="B71" s="80" t="str">
        <f>$B$12</f>
        <v>C1.4</v>
      </c>
      <c r="C71" s="498" t="str">
        <f>"TOTAL CARRIED FORWARD"&amp;IF(H71=H$1," TO SUMMARY (Page C"&amp;Page_A&amp;")","")</f>
        <v>TOTAL CARRIED FORWARD</v>
      </c>
      <c r="D71" s="31"/>
      <c r="E71" s="31"/>
      <c r="F71" s="32"/>
      <c r="G71" s="31"/>
      <c r="H71" s="33">
        <f>SUM(H11:H70)</f>
        <v>0</v>
      </c>
      <c r="I71" s="34"/>
      <c r="J71" s="408"/>
      <c r="K71" s="406"/>
      <c r="L71" s="418">
        <f>SUM(L11:L70)</f>
        <v>0</v>
      </c>
      <c r="M71" s="407" t="str">
        <f t="shared" ref="M71" si="6">IF(J71="","",IF(SUM(H71)=0,"",L71/H71))</f>
        <v/>
      </c>
    </row>
    <row r="72" spans="2:13" ht="13" x14ac:dyDescent="0.25">
      <c r="B72" s="1108" t="str">
        <f>Client1</f>
        <v>Province of KwaZulu-Natal</v>
      </c>
      <c r="C72" s="1108"/>
      <c r="D72" s="1108"/>
      <c r="E72" s="87"/>
      <c r="F72" s="1109" t="str">
        <f>"Contract No. "&amp;ContractNo</f>
        <v>Contract No. ZNB 00399/00000/HOD/INF/21/T</v>
      </c>
      <c r="G72" s="1109"/>
      <c r="H72" s="1109"/>
    </row>
    <row r="73" spans="2:13" ht="13" x14ac:dyDescent="0.25">
      <c r="B73" s="1108" t="str">
        <f>Client2</f>
        <v>Department of Transport</v>
      </c>
      <c r="C73" s="1108"/>
      <c r="D73" s="1108"/>
      <c r="E73" s="87"/>
      <c r="F73" s="1109"/>
      <c r="G73" s="1109"/>
      <c r="H73" s="1109"/>
    </row>
    <row r="74" spans="2:13" x14ac:dyDescent="0.25">
      <c r="B74" s="1111"/>
      <c r="C74" s="1111"/>
      <c r="D74" s="1111"/>
      <c r="E74" s="78"/>
      <c r="F74" s="1110"/>
      <c r="G74" s="1110"/>
      <c r="H74" s="1110"/>
    </row>
    <row r="75" spans="2:13" ht="13" x14ac:dyDescent="0.25">
      <c r="B75" s="1112" t="s">
        <v>8</v>
      </c>
      <c r="C75" s="1113"/>
      <c r="D75" s="1113"/>
      <c r="E75" s="1113"/>
      <c r="F75" s="1113"/>
      <c r="G75" s="1113"/>
      <c r="H75" s="1114" t="str">
        <f>$H$6</f>
        <v>CHAPTER C1.4</v>
      </c>
      <c r="I75" s="6"/>
    </row>
    <row r="76" spans="2:13" ht="13" x14ac:dyDescent="0.25">
      <c r="B76" s="1117" t="str">
        <f>ContractDescription</f>
        <v>THE CONSTRUCTION OF EARTHWORKS, LAYERWORKS, SURFACING, CULVERTS AND CWAKA RIVER BRIDGE FROM KM 11.600 TO KM 14.000 ON MAIN ROAD P494 IN THE KING CETSHWAYO DISTRICT UNDER EMPANGENI REGION</v>
      </c>
      <c r="C76" s="1118"/>
      <c r="D76" s="1118"/>
      <c r="E76" s="1118"/>
      <c r="F76" s="1118"/>
      <c r="G76" s="1118"/>
      <c r="H76" s="1115"/>
      <c r="I76" s="8"/>
    </row>
    <row r="77" spans="2:13" ht="13" x14ac:dyDescent="0.25">
      <c r="B77" s="1117"/>
      <c r="C77" s="1118"/>
      <c r="D77" s="1118"/>
      <c r="E77" s="1118"/>
      <c r="F77" s="1118"/>
      <c r="G77" s="1118"/>
      <c r="H77" s="1115"/>
      <c r="I77" s="8"/>
    </row>
    <row r="78" spans="2:13" ht="13" x14ac:dyDescent="0.25">
      <c r="B78" s="1119"/>
      <c r="C78" s="1120"/>
      <c r="D78" s="1120"/>
      <c r="E78" s="1120"/>
      <c r="F78" s="1120"/>
      <c r="G78" s="1120"/>
      <c r="H78" s="1116"/>
      <c r="I78" s="8"/>
    </row>
    <row r="79" spans="2:13" s="9" customFormat="1" ht="25" customHeight="1" x14ac:dyDescent="0.25">
      <c r="B79" s="74" t="s">
        <v>0</v>
      </c>
      <c r="C79" s="11" t="s">
        <v>1</v>
      </c>
      <c r="D79" s="11" t="s">
        <v>2</v>
      </c>
      <c r="E79" s="11" t="s">
        <v>996</v>
      </c>
      <c r="F79" s="11" t="s">
        <v>3</v>
      </c>
      <c r="G79" s="11" t="s">
        <v>4</v>
      </c>
      <c r="H79" s="11" t="s">
        <v>5</v>
      </c>
      <c r="I79" s="12"/>
      <c r="J79" s="408" t="s">
        <v>996</v>
      </c>
      <c r="K79" s="253" t="s">
        <v>997</v>
      </c>
      <c r="L79" s="253" t="s">
        <v>998</v>
      </c>
      <c r="M79" s="253" t="s">
        <v>999</v>
      </c>
    </row>
    <row r="80" spans="2:13" s="28" customFormat="1" ht="20.149999999999999" customHeight="1" x14ac:dyDescent="0.25">
      <c r="B80" s="80"/>
      <c r="C80" s="30" t="s">
        <v>27</v>
      </c>
      <c r="D80" s="31"/>
      <c r="E80" s="31"/>
      <c r="F80" s="32"/>
      <c r="G80" s="31"/>
      <c r="H80" s="33">
        <f>H71</f>
        <v>0</v>
      </c>
      <c r="I80" s="34"/>
      <c r="J80" s="416"/>
      <c r="K80" s="409"/>
      <c r="L80" s="419">
        <f>L71</f>
        <v>0</v>
      </c>
      <c r="M80" s="410" t="str">
        <f>IF(F80="","",IF(SUM(I80)=0,"",L80/I80))</f>
        <v/>
      </c>
    </row>
    <row r="81" spans="2:13" x14ac:dyDescent="0.25">
      <c r="B81" s="58"/>
      <c r="C81" s="14"/>
      <c r="D81" s="15"/>
      <c r="E81" s="15"/>
      <c r="F81" s="580"/>
      <c r="G81" s="422"/>
      <c r="H81" s="17" t="str">
        <f t="shared" ref="H81:H112" si="7">IF(D81="","",F81*G81)</f>
        <v/>
      </c>
      <c r="I81" s="18"/>
      <c r="J81" s="61"/>
      <c r="K81" s="399"/>
      <c r="L81" s="420" t="str">
        <f t="shared" ref="L81" si="8">IF(J81="","",F81*K81)</f>
        <v/>
      </c>
      <c r="M81" s="401" t="str">
        <f t="shared" ref="M81" si="9">IF(J81="","",IF(SUM(H81)=0,"",L81/H81))</f>
        <v/>
      </c>
    </row>
    <row r="82" spans="2:13" x14ac:dyDescent="0.25">
      <c r="B82" s="58" t="s">
        <v>105</v>
      </c>
      <c r="C82" s="14" t="s">
        <v>113</v>
      </c>
      <c r="D82" s="15" t="s">
        <v>34</v>
      </c>
      <c r="E82" s="15"/>
      <c r="F82" s="580">
        <v>1</v>
      </c>
      <c r="G82" s="422"/>
      <c r="H82" s="17">
        <f t="shared" si="7"/>
        <v>0</v>
      </c>
      <c r="I82" s="18"/>
      <c r="J82" s="61"/>
      <c r="K82" s="399"/>
      <c r="L82" s="420" t="str">
        <f t="shared" ref="L82:L128" si="10">IF(J82="","",F82*K82)</f>
        <v/>
      </c>
      <c r="M82" s="401" t="str">
        <f t="shared" ref="M82:M134" si="11">IF(J82="","",IF(SUM(H82)=0,"",L82/H82))</f>
        <v/>
      </c>
    </row>
    <row r="83" spans="2:13" x14ac:dyDescent="0.25">
      <c r="B83" s="58"/>
      <c r="C83" s="14"/>
      <c r="D83" s="15"/>
      <c r="E83" s="15"/>
      <c r="F83" s="580"/>
      <c r="G83" s="422"/>
      <c r="H83" s="17" t="str">
        <f t="shared" si="7"/>
        <v/>
      </c>
      <c r="I83" s="18"/>
      <c r="J83" s="61"/>
      <c r="K83" s="399"/>
      <c r="L83" s="420" t="str">
        <f t="shared" si="10"/>
        <v/>
      </c>
      <c r="M83" s="401" t="str">
        <f t="shared" si="11"/>
        <v/>
      </c>
    </row>
    <row r="84" spans="2:13" ht="25" x14ac:dyDescent="0.25">
      <c r="B84" s="58" t="s">
        <v>106</v>
      </c>
      <c r="C84" s="14" t="s">
        <v>114</v>
      </c>
      <c r="D84" s="15" t="s">
        <v>34</v>
      </c>
      <c r="E84" s="15"/>
      <c r="F84" s="580">
        <v>1</v>
      </c>
      <c r="G84" s="422"/>
      <c r="H84" s="17">
        <f t="shared" si="7"/>
        <v>0</v>
      </c>
      <c r="I84" s="18"/>
      <c r="J84" s="61"/>
      <c r="K84" s="399"/>
      <c r="L84" s="420" t="str">
        <f t="shared" si="10"/>
        <v/>
      </c>
      <c r="M84" s="401" t="str">
        <f t="shared" si="11"/>
        <v/>
      </c>
    </row>
    <row r="85" spans="2:13" x14ac:dyDescent="0.25">
      <c r="B85" s="58"/>
      <c r="C85" s="14"/>
      <c r="D85" s="15"/>
      <c r="E85" s="15"/>
      <c r="F85" s="580"/>
      <c r="G85" s="422"/>
      <c r="H85" s="17" t="str">
        <f t="shared" si="7"/>
        <v/>
      </c>
      <c r="I85" s="18"/>
      <c r="J85" s="61"/>
      <c r="K85" s="400"/>
      <c r="L85" s="420" t="str">
        <f t="shared" si="10"/>
        <v/>
      </c>
      <c r="M85" s="401" t="str">
        <f t="shared" si="11"/>
        <v/>
      </c>
    </row>
    <row r="86" spans="2:13" x14ac:dyDescent="0.25">
      <c r="B86" s="58" t="s">
        <v>107</v>
      </c>
      <c r="C86" s="14" t="s">
        <v>115</v>
      </c>
      <c r="D86" s="15" t="s">
        <v>34</v>
      </c>
      <c r="E86" s="15"/>
      <c r="F86" s="580">
        <v>1</v>
      </c>
      <c r="G86" s="422"/>
      <c r="H86" s="17">
        <f t="shared" si="7"/>
        <v>0</v>
      </c>
      <c r="I86" s="18"/>
      <c r="J86" s="61"/>
      <c r="K86" s="399"/>
      <c r="L86" s="420" t="str">
        <f t="shared" si="10"/>
        <v/>
      </c>
      <c r="M86" s="401" t="str">
        <f t="shared" si="11"/>
        <v/>
      </c>
    </row>
    <row r="87" spans="2:13" x14ac:dyDescent="0.25">
      <c r="B87" s="58"/>
      <c r="C87" s="14"/>
      <c r="D87" s="15"/>
      <c r="E87" s="15"/>
      <c r="F87" s="580"/>
      <c r="G87" s="422"/>
      <c r="H87" s="17" t="str">
        <f t="shared" si="7"/>
        <v/>
      </c>
      <c r="I87" s="18"/>
      <c r="J87" s="61"/>
      <c r="K87" s="399"/>
      <c r="L87" s="420" t="str">
        <f t="shared" si="10"/>
        <v/>
      </c>
      <c r="M87" s="401" t="str">
        <f t="shared" si="11"/>
        <v/>
      </c>
    </row>
    <row r="88" spans="2:13" ht="25" x14ac:dyDescent="0.25">
      <c r="B88" s="58" t="s">
        <v>108</v>
      </c>
      <c r="C88" s="14" t="s">
        <v>116</v>
      </c>
      <c r="D88" s="15" t="s">
        <v>34</v>
      </c>
      <c r="E88" s="15"/>
      <c r="F88" s="580">
        <v>1</v>
      </c>
      <c r="G88" s="422"/>
      <c r="H88" s="17">
        <f t="shared" si="7"/>
        <v>0</v>
      </c>
      <c r="I88" s="18"/>
      <c r="J88" s="61"/>
      <c r="K88" s="399"/>
      <c r="L88" s="420" t="str">
        <f t="shared" si="10"/>
        <v/>
      </c>
      <c r="M88" s="401" t="str">
        <f t="shared" si="11"/>
        <v/>
      </c>
    </row>
    <row r="89" spans="2:13" x14ac:dyDescent="0.25">
      <c r="B89" s="58"/>
      <c r="C89" s="14"/>
      <c r="D89" s="15"/>
      <c r="E89" s="15"/>
      <c r="F89" s="580"/>
      <c r="G89" s="424"/>
      <c r="H89" s="17" t="str">
        <f t="shared" si="7"/>
        <v/>
      </c>
      <c r="I89" s="18"/>
      <c r="J89" s="61"/>
      <c r="K89" s="402"/>
      <c r="L89" s="420" t="str">
        <f t="shared" si="10"/>
        <v/>
      </c>
      <c r="M89" s="401" t="str">
        <f t="shared" si="11"/>
        <v/>
      </c>
    </row>
    <row r="90" spans="2:13" ht="13" x14ac:dyDescent="0.25">
      <c r="B90" s="146" t="s">
        <v>117</v>
      </c>
      <c r="C90" s="19" t="s">
        <v>118</v>
      </c>
      <c r="D90" s="15"/>
      <c r="E90" s="15"/>
      <c r="F90" s="580"/>
      <c r="G90" s="422"/>
      <c r="H90" s="17" t="str">
        <f t="shared" si="7"/>
        <v/>
      </c>
      <c r="I90" s="18"/>
      <c r="J90" s="61"/>
      <c r="K90" s="402"/>
      <c r="L90" s="420" t="str">
        <f t="shared" si="10"/>
        <v/>
      </c>
      <c r="M90" s="401" t="str">
        <f t="shared" si="11"/>
        <v/>
      </c>
    </row>
    <row r="91" spans="2:13" x14ac:dyDescent="0.25">
      <c r="B91" s="58"/>
      <c r="C91" s="14"/>
      <c r="D91" s="15"/>
      <c r="E91" s="15"/>
      <c r="F91" s="580"/>
      <c r="G91" s="422"/>
      <c r="H91" s="17" t="str">
        <f t="shared" si="7"/>
        <v/>
      </c>
      <c r="I91" s="18"/>
      <c r="J91" s="61"/>
      <c r="K91" s="402"/>
      <c r="L91" s="420" t="str">
        <f t="shared" si="10"/>
        <v/>
      </c>
      <c r="M91" s="401" t="str">
        <f t="shared" si="11"/>
        <v/>
      </c>
    </row>
    <row r="92" spans="2:13" ht="25" x14ac:dyDescent="0.25">
      <c r="B92" s="58" t="s">
        <v>119</v>
      </c>
      <c r="C92" s="65" t="s">
        <v>123</v>
      </c>
      <c r="D92" s="15" t="s">
        <v>557</v>
      </c>
      <c r="E92" s="15"/>
      <c r="F92" s="580">
        <v>50000</v>
      </c>
      <c r="G92" s="422">
        <v>1</v>
      </c>
      <c r="H92" s="17">
        <f t="shared" si="7"/>
        <v>50000</v>
      </c>
      <c r="I92" s="18"/>
      <c r="J92" s="61"/>
      <c r="K92" s="402"/>
      <c r="L92" s="420" t="str">
        <f t="shared" si="10"/>
        <v/>
      </c>
      <c r="M92" s="401" t="str">
        <f t="shared" si="11"/>
        <v/>
      </c>
    </row>
    <row r="93" spans="2:13" x14ac:dyDescent="0.25">
      <c r="B93" s="58"/>
      <c r="C93" s="14"/>
      <c r="D93" s="15"/>
      <c r="E93" s="15"/>
      <c r="F93" s="580"/>
      <c r="G93" s="422"/>
      <c r="H93" s="17" t="str">
        <f t="shared" si="7"/>
        <v/>
      </c>
      <c r="I93" s="18"/>
      <c r="J93" s="61"/>
      <c r="K93" s="402"/>
      <c r="L93" s="420" t="str">
        <f t="shared" si="10"/>
        <v/>
      </c>
      <c r="M93" s="401" t="str">
        <f t="shared" si="11"/>
        <v/>
      </c>
    </row>
    <row r="94" spans="2:13" x14ac:dyDescent="0.25">
      <c r="B94" s="58" t="s">
        <v>120</v>
      </c>
      <c r="C94" s="14" t="s">
        <v>124</v>
      </c>
      <c r="D94" s="15" t="s">
        <v>26</v>
      </c>
      <c r="E94" s="15"/>
      <c r="F94" s="580">
        <f>F92</f>
        <v>50000</v>
      </c>
      <c r="G94" s="425"/>
      <c r="H94" s="17">
        <f t="shared" si="7"/>
        <v>0</v>
      </c>
      <c r="I94" s="18"/>
      <c r="J94" s="61"/>
      <c r="K94" s="402"/>
      <c r="L94" s="420" t="str">
        <f t="shared" si="10"/>
        <v/>
      </c>
      <c r="M94" s="401" t="str">
        <f t="shared" si="11"/>
        <v/>
      </c>
    </row>
    <row r="95" spans="2:13" x14ac:dyDescent="0.25">
      <c r="B95" s="58"/>
      <c r="C95" s="14"/>
      <c r="D95" s="15"/>
      <c r="E95" s="15"/>
      <c r="F95" s="580"/>
      <c r="G95" s="422"/>
      <c r="H95" s="17" t="str">
        <f t="shared" si="7"/>
        <v/>
      </c>
      <c r="I95" s="18"/>
      <c r="J95" s="61"/>
      <c r="K95" s="399"/>
      <c r="L95" s="420" t="str">
        <f t="shared" si="10"/>
        <v/>
      </c>
      <c r="M95" s="401" t="str">
        <f t="shared" si="11"/>
        <v/>
      </c>
    </row>
    <row r="96" spans="2:13" ht="25" x14ac:dyDescent="0.25">
      <c r="B96" s="58" t="s">
        <v>121</v>
      </c>
      <c r="C96" s="14" t="s">
        <v>1905</v>
      </c>
      <c r="D96" s="15" t="s">
        <v>557</v>
      </c>
      <c r="E96" s="15"/>
      <c r="F96" s="580">
        <v>10000</v>
      </c>
      <c r="G96" s="422">
        <v>1</v>
      </c>
      <c r="H96" s="17">
        <f t="shared" si="7"/>
        <v>10000</v>
      </c>
      <c r="I96" s="18"/>
      <c r="J96" s="61"/>
      <c r="K96" s="399"/>
      <c r="L96" s="420" t="str">
        <f t="shared" si="10"/>
        <v/>
      </c>
      <c r="M96" s="401" t="str">
        <f t="shared" si="11"/>
        <v/>
      </c>
    </row>
    <row r="97" spans="2:13" x14ac:dyDescent="0.25">
      <c r="B97" s="58"/>
      <c r="C97" s="14"/>
      <c r="D97" s="15"/>
      <c r="E97" s="15"/>
      <c r="F97" s="580"/>
      <c r="G97" s="422"/>
      <c r="H97" s="17" t="str">
        <f t="shared" si="7"/>
        <v/>
      </c>
      <c r="I97" s="18"/>
      <c r="J97" s="61"/>
      <c r="K97" s="400"/>
      <c r="L97" s="420" t="str">
        <f t="shared" si="10"/>
        <v/>
      </c>
      <c r="M97" s="401" t="str">
        <f t="shared" si="11"/>
        <v/>
      </c>
    </row>
    <row r="98" spans="2:13" x14ac:dyDescent="0.25">
      <c r="B98" s="58" t="s">
        <v>122</v>
      </c>
      <c r="C98" s="14" t="s">
        <v>135</v>
      </c>
      <c r="D98" s="15" t="s">
        <v>26</v>
      </c>
      <c r="E98" s="15"/>
      <c r="F98" s="580">
        <f>F96</f>
        <v>10000</v>
      </c>
      <c r="G98" s="425"/>
      <c r="H98" s="17">
        <f t="shared" si="7"/>
        <v>0</v>
      </c>
      <c r="I98" s="18"/>
      <c r="J98" s="61"/>
      <c r="K98" s="399"/>
      <c r="L98" s="420" t="str">
        <f t="shared" si="10"/>
        <v/>
      </c>
      <c r="M98" s="401" t="str">
        <f t="shared" si="11"/>
        <v/>
      </c>
    </row>
    <row r="99" spans="2:13" x14ac:dyDescent="0.25">
      <c r="B99" s="58"/>
      <c r="C99" s="14"/>
      <c r="D99" s="15"/>
      <c r="E99" s="15"/>
      <c r="F99" s="580"/>
      <c r="G99" s="422"/>
      <c r="H99" s="17" t="str">
        <f t="shared" si="7"/>
        <v/>
      </c>
      <c r="I99" s="18"/>
      <c r="J99" s="61"/>
      <c r="K99" s="399"/>
      <c r="L99" s="420" t="str">
        <f t="shared" si="10"/>
        <v/>
      </c>
      <c r="M99" s="401" t="str">
        <f t="shared" si="11"/>
        <v/>
      </c>
    </row>
    <row r="100" spans="2:13" ht="26" x14ac:dyDescent="0.25">
      <c r="B100" s="146" t="s">
        <v>125</v>
      </c>
      <c r="C100" s="19" t="s">
        <v>126</v>
      </c>
      <c r="D100" s="15"/>
      <c r="E100" s="15"/>
      <c r="F100" s="580"/>
      <c r="G100" s="422"/>
      <c r="H100" s="17" t="str">
        <f t="shared" si="7"/>
        <v/>
      </c>
      <c r="I100" s="18"/>
      <c r="J100" s="61"/>
      <c r="K100" s="399"/>
      <c r="L100" s="420" t="str">
        <f t="shared" si="10"/>
        <v/>
      </c>
      <c r="M100" s="401" t="str">
        <f t="shared" si="11"/>
        <v/>
      </c>
    </row>
    <row r="101" spans="2:13" x14ac:dyDescent="0.25">
      <c r="B101" s="58"/>
      <c r="C101" s="14"/>
      <c r="D101" s="15"/>
      <c r="E101" s="15"/>
      <c r="F101" s="580"/>
      <c r="G101" s="422"/>
      <c r="H101" s="17" t="str">
        <f t="shared" si="7"/>
        <v/>
      </c>
      <c r="I101" s="18"/>
      <c r="J101" s="61"/>
      <c r="K101" s="399"/>
      <c r="L101" s="420" t="str">
        <f t="shared" si="10"/>
        <v/>
      </c>
      <c r="M101" s="401" t="str">
        <f t="shared" si="11"/>
        <v/>
      </c>
    </row>
    <row r="102" spans="2:13" x14ac:dyDescent="0.25">
      <c r="B102" s="58" t="s">
        <v>127</v>
      </c>
      <c r="C102" s="14" t="s">
        <v>128</v>
      </c>
      <c r="D102" s="15" t="s">
        <v>11</v>
      </c>
      <c r="E102" s="15"/>
      <c r="F102" s="580">
        <v>1</v>
      </c>
      <c r="G102" s="422"/>
      <c r="H102" s="17">
        <f t="shared" si="7"/>
        <v>0</v>
      </c>
      <c r="I102" s="18"/>
      <c r="J102" s="61"/>
      <c r="K102" s="399"/>
      <c r="L102" s="420" t="str">
        <f t="shared" si="10"/>
        <v/>
      </c>
      <c r="M102" s="401" t="str">
        <f t="shared" si="11"/>
        <v/>
      </c>
    </row>
    <row r="103" spans="2:13" x14ac:dyDescent="0.25">
      <c r="B103" s="58"/>
      <c r="C103" s="14"/>
      <c r="D103" s="15"/>
      <c r="E103" s="15"/>
      <c r="F103" s="580"/>
      <c r="G103" s="422"/>
      <c r="H103" s="17" t="str">
        <f t="shared" si="7"/>
        <v/>
      </c>
      <c r="I103" s="18"/>
      <c r="J103" s="61"/>
      <c r="K103" s="400"/>
      <c r="L103" s="420" t="str">
        <f t="shared" si="10"/>
        <v/>
      </c>
      <c r="M103" s="401" t="str">
        <f t="shared" si="11"/>
        <v/>
      </c>
    </row>
    <row r="104" spans="2:13" x14ac:dyDescent="0.25">
      <c r="B104" s="58" t="s">
        <v>129</v>
      </c>
      <c r="C104" s="14" t="s">
        <v>130</v>
      </c>
      <c r="D104" s="15" t="s">
        <v>18</v>
      </c>
      <c r="E104" s="15"/>
      <c r="F104" s="580">
        <f>_ContractPeriod</f>
        <v>22</v>
      </c>
      <c r="G104" s="422"/>
      <c r="H104" s="17">
        <f t="shared" si="7"/>
        <v>0</v>
      </c>
      <c r="I104" s="18"/>
      <c r="J104" s="61" t="s">
        <v>1721</v>
      </c>
      <c r="K104" s="399">
        <f>G104*25/100</f>
        <v>0</v>
      </c>
      <c r="L104" s="420">
        <f t="shared" si="10"/>
        <v>0</v>
      </c>
      <c r="M104" s="401" t="str">
        <f t="shared" si="11"/>
        <v/>
      </c>
    </row>
    <row r="105" spans="2:13" x14ac:dyDescent="0.25">
      <c r="B105" s="58"/>
      <c r="C105" s="26"/>
      <c r="D105" s="15"/>
      <c r="E105" s="15"/>
      <c r="F105" s="697"/>
      <c r="G105" s="422"/>
      <c r="H105" s="17" t="str">
        <f t="shared" si="7"/>
        <v/>
      </c>
      <c r="I105" s="18"/>
      <c r="J105" s="61"/>
      <c r="K105" s="399"/>
      <c r="L105" s="420" t="str">
        <f t="shared" si="10"/>
        <v/>
      </c>
      <c r="M105" s="401" t="str">
        <f t="shared" si="11"/>
        <v/>
      </c>
    </row>
    <row r="106" spans="2:13" ht="13" x14ac:dyDescent="0.25">
      <c r="B106" s="146" t="s">
        <v>131</v>
      </c>
      <c r="C106" s="672" t="s">
        <v>132</v>
      </c>
      <c r="D106" s="15"/>
      <c r="E106" s="15"/>
      <c r="F106" s="580"/>
      <c r="G106" s="422"/>
      <c r="H106" s="17" t="str">
        <f t="shared" si="7"/>
        <v/>
      </c>
      <c r="I106" s="63"/>
      <c r="J106" s="61"/>
      <c r="K106" s="399"/>
      <c r="L106" s="420" t="str">
        <f t="shared" si="10"/>
        <v/>
      </c>
      <c r="M106" s="401" t="str">
        <f t="shared" si="11"/>
        <v/>
      </c>
    </row>
    <row r="107" spans="2:13" x14ac:dyDescent="0.25">
      <c r="B107" s="58"/>
      <c r="C107" s="14"/>
      <c r="D107" s="15"/>
      <c r="E107" s="15"/>
      <c r="F107" s="580"/>
      <c r="G107" s="422"/>
      <c r="H107" s="17" t="str">
        <f t="shared" si="7"/>
        <v/>
      </c>
      <c r="I107" s="63"/>
      <c r="J107" s="61"/>
      <c r="K107" s="399"/>
      <c r="L107" s="420" t="str">
        <f t="shared" si="10"/>
        <v/>
      </c>
      <c r="M107" s="401" t="str">
        <f t="shared" si="11"/>
        <v/>
      </c>
    </row>
    <row r="108" spans="2:13" ht="37.5" x14ac:dyDescent="0.25">
      <c r="B108" s="58" t="s">
        <v>133</v>
      </c>
      <c r="C108" s="14" t="s">
        <v>1874</v>
      </c>
      <c r="D108" s="15" t="s">
        <v>11</v>
      </c>
      <c r="E108" s="15"/>
      <c r="F108" s="580">
        <v>1</v>
      </c>
      <c r="G108" s="422"/>
      <c r="H108" s="17">
        <f t="shared" si="7"/>
        <v>0</v>
      </c>
      <c r="I108" s="18"/>
      <c r="J108" s="61"/>
      <c r="K108" s="399"/>
      <c r="L108" s="420" t="str">
        <f t="shared" si="10"/>
        <v/>
      </c>
      <c r="M108" s="401" t="str">
        <f t="shared" si="11"/>
        <v/>
      </c>
    </row>
    <row r="109" spans="2:13" x14ac:dyDescent="0.25">
      <c r="B109" s="58"/>
      <c r="C109" s="26"/>
      <c r="D109" s="15"/>
      <c r="E109" s="15"/>
      <c r="F109" s="697"/>
      <c r="G109" s="422"/>
      <c r="H109" s="17" t="str">
        <f t="shared" si="7"/>
        <v/>
      </c>
      <c r="I109" s="18"/>
      <c r="J109" s="61"/>
      <c r="K109" s="399"/>
      <c r="L109" s="420" t="str">
        <f t="shared" si="10"/>
        <v/>
      </c>
      <c r="M109" s="401" t="str">
        <f t="shared" si="11"/>
        <v/>
      </c>
    </row>
    <row r="110" spans="2:13" ht="13" x14ac:dyDescent="0.25">
      <c r="B110" s="58" t="s">
        <v>1778</v>
      </c>
      <c r="C110" s="860" t="s">
        <v>1144</v>
      </c>
      <c r="D110" s="684"/>
      <c r="E110" s="684"/>
      <c r="F110" s="687"/>
      <c r="G110" s="685"/>
      <c r="H110" s="17" t="str">
        <f t="shared" si="7"/>
        <v/>
      </c>
      <c r="I110" s="69"/>
      <c r="J110" s="61"/>
      <c r="K110" s="399"/>
      <c r="L110" s="420" t="str">
        <f t="shared" si="10"/>
        <v/>
      </c>
      <c r="M110" s="401" t="str">
        <f t="shared" si="11"/>
        <v/>
      </c>
    </row>
    <row r="111" spans="2:13" x14ac:dyDescent="0.25">
      <c r="B111" s="58"/>
      <c r="C111" s="686"/>
      <c r="D111" s="684"/>
      <c r="E111" s="684"/>
      <c r="F111" s="687"/>
      <c r="G111" s="685"/>
      <c r="H111" s="17" t="str">
        <f t="shared" si="7"/>
        <v/>
      </c>
      <c r="I111" s="69"/>
      <c r="J111" s="61"/>
      <c r="K111" s="399"/>
      <c r="L111" s="420" t="str">
        <f t="shared" si="10"/>
        <v/>
      </c>
      <c r="M111" s="401" t="str">
        <f t="shared" si="11"/>
        <v/>
      </c>
    </row>
    <row r="112" spans="2:13" ht="25" x14ac:dyDescent="0.25">
      <c r="B112" s="58" t="s">
        <v>39</v>
      </c>
      <c r="C112" s="668" t="s">
        <v>1146</v>
      </c>
      <c r="D112" s="684" t="s">
        <v>557</v>
      </c>
      <c r="E112" s="684"/>
      <c r="F112" s="687">
        <v>100000</v>
      </c>
      <c r="G112" s="685">
        <v>1</v>
      </c>
      <c r="H112" s="17">
        <f t="shared" si="7"/>
        <v>100000</v>
      </c>
      <c r="I112" s="63"/>
      <c r="J112" s="61"/>
      <c r="K112" s="399"/>
      <c r="L112" s="420" t="str">
        <f t="shared" si="10"/>
        <v/>
      </c>
      <c r="M112" s="401" t="str">
        <f t="shared" si="11"/>
        <v/>
      </c>
    </row>
    <row r="113" spans="2:13" x14ac:dyDescent="0.25">
      <c r="B113" s="58"/>
      <c r="C113" s="686"/>
      <c r="D113" s="684"/>
      <c r="E113" s="684"/>
      <c r="F113" s="687"/>
      <c r="G113" s="685"/>
      <c r="H113" s="17" t="str">
        <f t="shared" ref="H113:H133" si="12">IF(D113="","",F113*G113)</f>
        <v/>
      </c>
      <c r="I113" s="63"/>
      <c r="J113" s="61"/>
      <c r="K113" s="399"/>
      <c r="L113" s="420" t="str">
        <f t="shared" si="10"/>
        <v/>
      </c>
      <c r="M113" s="401" t="str">
        <f t="shared" si="11"/>
        <v/>
      </c>
    </row>
    <row r="114" spans="2:13" ht="25" x14ac:dyDescent="0.25">
      <c r="B114" s="58" t="s">
        <v>41</v>
      </c>
      <c r="C114" s="668" t="s">
        <v>1831</v>
      </c>
      <c r="D114" s="684" t="s">
        <v>26</v>
      </c>
      <c r="E114" s="684"/>
      <c r="F114" s="687">
        <f>F112</f>
        <v>100000</v>
      </c>
      <c r="G114" s="688"/>
      <c r="H114" s="17">
        <f t="shared" si="12"/>
        <v>0</v>
      </c>
      <c r="I114" s="18"/>
      <c r="J114" s="61"/>
      <c r="K114" s="399"/>
      <c r="L114" s="420" t="str">
        <f t="shared" si="10"/>
        <v/>
      </c>
      <c r="M114" s="401" t="str">
        <f t="shared" si="11"/>
        <v/>
      </c>
    </row>
    <row r="115" spans="2:13" x14ac:dyDescent="0.25">
      <c r="B115" s="58"/>
      <c r="C115" s="686"/>
      <c r="D115" s="684"/>
      <c r="E115" s="684"/>
      <c r="F115" s="687"/>
      <c r="G115" s="685"/>
      <c r="H115" s="17" t="str">
        <f t="shared" si="12"/>
        <v/>
      </c>
      <c r="I115" s="18"/>
      <c r="J115" s="61"/>
      <c r="K115" s="402"/>
      <c r="L115" s="420" t="str">
        <f t="shared" si="10"/>
        <v/>
      </c>
      <c r="M115" s="401" t="str">
        <f t="shared" si="11"/>
        <v/>
      </c>
    </row>
    <row r="116" spans="2:13" ht="26" x14ac:dyDescent="0.25">
      <c r="B116" s="58" t="s">
        <v>1833</v>
      </c>
      <c r="C116" s="860" t="s">
        <v>1145</v>
      </c>
      <c r="D116" s="684"/>
      <c r="E116" s="684"/>
      <c r="F116" s="687"/>
      <c r="G116" s="685"/>
      <c r="H116" s="17" t="str">
        <f t="shared" si="12"/>
        <v/>
      </c>
      <c r="I116" s="18"/>
      <c r="J116" s="61"/>
      <c r="K116" s="399"/>
      <c r="L116" s="420" t="str">
        <f t="shared" si="10"/>
        <v/>
      </c>
      <c r="M116" s="401" t="str">
        <f t="shared" si="11"/>
        <v/>
      </c>
    </row>
    <row r="117" spans="2:13" x14ac:dyDescent="0.25">
      <c r="B117" s="58"/>
      <c r="C117" s="686"/>
      <c r="D117" s="684"/>
      <c r="E117" s="684"/>
      <c r="F117" s="687"/>
      <c r="G117" s="685"/>
      <c r="H117" s="17" t="str">
        <f t="shared" si="12"/>
        <v/>
      </c>
      <c r="I117" s="18"/>
      <c r="J117" s="61"/>
      <c r="K117" s="402"/>
      <c r="L117" s="420" t="str">
        <f t="shared" si="10"/>
        <v/>
      </c>
      <c r="M117" s="401" t="str">
        <f t="shared" si="11"/>
        <v/>
      </c>
    </row>
    <row r="118" spans="2:13" x14ac:dyDescent="0.25">
      <c r="B118" s="58" t="s">
        <v>39</v>
      </c>
      <c r="C118" s="668" t="s">
        <v>1147</v>
      </c>
      <c r="D118" s="684" t="s">
        <v>557</v>
      </c>
      <c r="E118" s="684" t="s">
        <v>996</v>
      </c>
      <c r="F118" s="687">
        <v>50000</v>
      </c>
      <c r="G118" s="685">
        <v>1</v>
      </c>
      <c r="H118" s="17">
        <f t="shared" si="12"/>
        <v>50000</v>
      </c>
      <c r="I118" s="18"/>
      <c r="J118" s="61" t="s">
        <v>996</v>
      </c>
      <c r="K118" s="402">
        <f>0.8*G118</f>
        <v>0.8</v>
      </c>
      <c r="L118" s="420">
        <f t="shared" si="10"/>
        <v>40000</v>
      </c>
      <c r="M118" s="401">
        <f t="shared" si="11"/>
        <v>0.8</v>
      </c>
    </row>
    <row r="119" spans="2:13" x14ac:dyDescent="0.25">
      <c r="B119" s="58"/>
      <c r="C119" s="668"/>
      <c r="D119" s="684"/>
      <c r="E119" s="684"/>
      <c r="F119" s="687"/>
      <c r="G119" s="685"/>
      <c r="H119" s="17" t="str">
        <f t="shared" si="12"/>
        <v/>
      </c>
      <c r="I119" s="18"/>
      <c r="J119" s="61"/>
      <c r="K119" s="399"/>
      <c r="L119" s="420" t="str">
        <f t="shared" si="10"/>
        <v/>
      </c>
      <c r="M119" s="401" t="str">
        <f t="shared" si="11"/>
        <v/>
      </c>
    </row>
    <row r="120" spans="2:13" ht="25" x14ac:dyDescent="0.25">
      <c r="B120" s="58" t="s">
        <v>41</v>
      </c>
      <c r="C120" s="668" t="s">
        <v>1832</v>
      </c>
      <c r="D120" s="684" t="s">
        <v>26</v>
      </c>
      <c r="E120" s="684"/>
      <c r="F120" s="687">
        <f>F118</f>
        <v>50000</v>
      </c>
      <c r="G120" s="688"/>
      <c r="H120" s="17">
        <f t="shared" si="12"/>
        <v>0</v>
      </c>
      <c r="I120" s="18"/>
      <c r="J120" s="61"/>
      <c r="K120" s="399"/>
      <c r="L120" s="420" t="str">
        <f t="shared" si="10"/>
        <v/>
      </c>
      <c r="M120" s="401" t="str">
        <f t="shared" si="11"/>
        <v/>
      </c>
    </row>
    <row r="121" spans="2:13" x14ac:dyDescent="0.25">
      <c r="B121" s="58"/>
      <c r="C121" s="668"/>
      <c r="D121" s="684"/>
      <c r="E121" s="684"/>
      <c r="F121" s="687"/>
      <c r="G121" s="685"/>
      <c r="H121" s="17" t="str">
        <f t="shared" si="12"/>
        <v/>
      </c>
      <c r="I121" s="18"/>
      <c r="J121" s="61"/>
      <c r="K121" s="399"/>
      <c r="L121" s="420" t="str">
        <f t="shared" si="10"/>
        <v/>
      </c>
      <c r="M121" s="401" t="str">
        <f t="shared" si="11"/>
        <v/>
      </c>
    </row>
    <row r="122" spans="2:13" x14ac:dyDescent="0.25">
      <c r="B122" s="58"/>
      <c r="C122" s="668"/>
      <c r="D122" s="684"/>
      <c r="E122" s="684"/>
      <c r="F122" s="687"/>
      <c r="G122" s="688"/>
      <c r="H122" s="17" t="str">
        <f t="shared" si="12"/>
        <v/>
      </c>
      <c r="I122" s="18"/>
      <c r="J122" s="61"/>
      <c r="K122" s="399"/>
      <c r="L122" s="420" t="str">
        <f t="shared" si="10"/>
        <v/>
      </c>
      <c r="M122" s="401" t="str">
        <f t="shared" si="11"/>
        <v/>
      </c>
    </row>
    <row r="123" spans="2:13" x14ac:dyDescent="0.25">
      <c r="B123" s="58"/>
      <c r="C123" s="686"/>
      <c r="D123" s="684"/>
      <c r="E123" s="684"/>
      <c r="F123" s="687"/>
      <c r="G123" s="685"/>
      <c r="H123" s="17" t="str">
        <f t="shared" si="12"/>
        <v/>
      </c>
      <c r="I123" s="18"/>
      <c r="J123" s="61"/>
      <c r="K123" s="399"/>
      <c r="L123" s="420" t="str">
        <f t="shared" si="10"/>
        <v/>
      </c>
      <c r="M123" s="401" t="str">
        <f t="shared" si="11"/>
        <v/>
      </c>
    </row>
    <row r="124" spans="2:13" x14ac:dyDescent="0.25">
      <c r="B124" s="58"/>
      <c r="C124" s="14"/>
      <c r="D124" s="15"/>
      <c r="E124" s="15"/>
      <c r="F124" s="580"/>
      <c r="G124" s="424"/>
      <c r="H124" s="17" t="str">
        <f t="shared" si="12"/>
        <v/>
      </c>
      <c r="I124" s="18"/>
      <c r="J124" s="61"/>
      <c r="K124" s="62"/>
      <c r="L124" s="420" t="str">
        <f t="shared" si="10"/>
        <v/>
      </c>
      <c r="M124" s="401" t="str">
        <f t="shared" si="11"/>
        <v/>
      </c>
    </row>
    <row r="125" spans="2:13" x14ac:dyDescent="0.25">
      <c r="B125" s="58"/>
      <c r="C125" s="14"/>
      <c r="D125" s="15"/>
      <c r="E125" s="15"/>
      <c r="F125" s="580"/>
      <c r="G125" s="424"/>
      <c r="H125" s="17"/>
      <c r="I125" s="18"/>
      <c r="J125" s="61"/>
      <c r="K125" s="62"/>
      <c r="L125" s="420" t="str">
        <f t="shared" si="10"/>
        <v/>
      </c>
      <c r="M125" s="401" t="str">
        <f t="shared" si="11"/>
        <v/>
      </c>
    </row>
    <row r="126" spans="2:13" x14ac:dyDescent="0.25">
      <c r="B126" s="58"/>
      <c r="C126" s="14"/>
      <c r="D126" s="15"/>
      <c r="E126" s="15"/>
      <c r="F126" s="580"/>
      <c r="G126" s="424"/>
      <c r="H126" s="17" t="str">
        <f t="shared" si="12"/>
        <v/>
      </c>
      <c r="I126" s="18"/>
      <c r="J126" s="61"/>
      <c r="K126" s="402"/>
      <c r="L126" s="420" t="str">
        <f t="shared" si="10"/>
        <v/>
      </c>
      <c r="M126" s="401" t="str">
        <f t="shared" si="11"/>
        <v/>
      </c>
    </row>
    <row r="127" spans="2:13" x14ac:dyDescent="0.25">
      <c r="B127" s="58"/>
      <c r="C127" s="14"/>
      <c r="D127" s="15"/>
      <c r="E127" s="15"/>
      <c r="F127" s="580"/>
      <c r="G127" s="424"/>
      <c r="H127" s="17" t="str">
        <f t="shared" si="12"/>
        <v/>
      </c>
      <c r="I127" s="18"/>
      <c r="J127" s="62"/>
      <c r="K127" s="62"/>
      <c r="L127" s="420" t="str">
        <f t="shared" si="10"/>
        <v/>
      </c>
      <c r="M127" s="401" t="str">
        <f t="shared" si="11"/>
        <v/>
      </c>
    </row>
    <row r="128" spans="2:13" x14ac:dyDescent="0.25">
      <c r="B128" s="58"/>
      <c r="C128" s="14"/>
      <c r="D128" s="15"/>
      <c r="E128" s="15"/>
      <c r="F128" s="580"/>
      <c r="G128" s="424"/>
      <c r="H128" s="17" t="str">
        <f t="shared" si="12"/>
        <v/>
      </c>
      <c r="I128" s="18"/>
      <c r="J128" s="62"/>
      <c r="K128" s="62"/>
      <c r="L128" s="420" t="str">
        <f t="shared" si="10"/>
        <v/>
      </c>
      <c r="M128" s="401" t="str">
        <f t="shared" si="11"/>
        <v/>
      </c>
    </row>
    <row r="129" spans="2:13" x14ac:dyDescent="0.25">
      <c r="B129" s="58"/>
      <c r="C129" s="14"/>
      <c r="D129" s="15"/>
      <c r="E129" s="15"/>
      <c r="F129" s="580"/>
      <c r="G129" s="424"/>
      <c r="H129" s="17" t="str">
        <f t="shared" si="12"/>
        <v/>
      </c>
      <c r="I129" s="18"/>
      <c r="J129" s="62"/>
      <c r="K129" s="62"/>
      <c r="L129" s="420" t="str">
        <f t="shared" ref="L129:L133" si="13">IF(J129="","",F129*K129)</f>
        <v/>
      </c>
      <c r="M129" s="401" t="str">
        <f t="shared" ref="M129:M133" si="14">IF(J129="","",IF(SUM(H129)=0,"",L129/H129))</f>
        <v/>
      </c>
    </row>
    <row r="130" spans="2:13" x14ac:dyDescent="0.25">
      <c r="B130" s="58"/>
      <c r="C130" s="14"/>
      <c r="D130" s="15"/>
      <c r="E130" s="15"/>
      <c r="F130" s="580"/>
      <c r="G130" s="424"/>
      <c r="H130" s="17" t="str">
        <f t="shared" si="12"/>
        <v/>
      </c>
      <c r="I130" s="18"/>
      <c r="J130" s="61"/>
      <c r="K130" s="62"/>
      <c r="L130" s="420" t="str">
        <f t="shared" si="13"/>
        <v/>
      </c>
      <c r="M130" s="401" t="str">
        <f t="shared" si="14"/>
        <v/>
      </c>
    </row>
    <row r="131" spans="2:13" x14ac:dyDescent="0.25">
      <c r="B131" s="58"/>
      <c r="C131" s="14"/>
      <c r="D131" s="15"/>
      <c r="E131" s="15"/>
      <c r="F131" s="580"/>
      <c r="G131" s="424"/>
      <c r="H131" s="17" t="str">
        <f t="shared" si="12"/>
        <v/>
      </c>
      <c r="I131" s="18"/>
      <c r="J131" s="61"/>
      <c r="K131" s="695"/>
      <c r="L131" s="420" t="str">
        <f t="shared" si="13"/>
        <v/>
      </c>
      <c r="M131" s="401" t="str">
        <f t="shared" si="14"/>
        <v/>
      </c>
    </row>
    <row r="132" spans="2:13" ht="14.25" customHeight="1" x14ac:dyDescent="0.25">
      <c r="B132" s="58"/>
      <c r="C132" s="14"/>
      <c r="D132" s="15"/>
      <c r="E132" s="15"/>
      <c r="F132" s="580"/>
      <c r="G132" s="424"/>
      <c r="H132" s="17" t="str">
        <f t="shared" si="12"/>
        <v/>
      </c>
      <c r="I132" s="18"/>
      <c r="J132" s="61"/>
      <c r="K132" s="695"/>
      <c r="L132" s="420" t="str">
        <f t="shared" si="13"/>
        <v/>
      </c>
      <c r="M132" s="401" t="str">
        <f t="shared" si="14"/>
        <v/>
      </c>
    </row>
    <row r="133" spans="2:13" x14ac:dyDescent="0.25">
      <c r="B133" s="58"/>
      <c r="C133" s="14"/>
      <c r="D133" s="15"/>
      <c r="E133" s="15"/>
      <c r="F133" s="580"/>
      <c r="G133" s="424"/>
      <c r="H133" s="17" t="str">
        <f t="shared" si="12"/>
        <v/>
      </c>
      <c r="I133" s="18"/>
      <c r="J133" s="61"/>
      <c r="K133" s="696"/>
      <c r="L133" s="420" t="str">
        <f t="shared" si="13"/>
        <v/>
      </c>
      <c r="M133" s="401" t="str">
        <f t="shared" si="14"/>
        <v/>
      </c>
    </row>
    <row r="134" spans="2:13" s="28" customFormat="1" ht="20.149999999999999" customHeight="1" x14ac:dyDescent="0.25">
      <c r="B134" s="80" t="str">
        <f>$B$12</f>
        <v>C1.4</v>
      </c>
      <c r="C134" s="498" t="str">
        <f>"TOTAL CARRIED FORWARD"&amp;IF(H134=H$1," TO SUMMARY (Page C"&amp;Page_A&amp;")","")</f>
        <v>TOTAL CARRIED FORWARD TO SUMMARY (Page C48)</v>
      </c>
      <c r="D134" s="31"/>
      <c r="E134" s="31"/>
      <c r="F134" s="32"/>
      <c r="G134" s="31"/>
      <c r="H134" s="33">
        <f>SUM(H80:H133)</f>
        <v>210000</v>
      </c>
      <c r="I134" s="34"/>
      <c r="J134" s="408"/>
      <c r="K134" s="406"/>
      <c r="L134" s="418">
        <f>SUM(L80:L133)</f>
        <v>40000</v>
      </c>
      <c r="M134" s="407" t="str">
        <f t="shared" si="11"/>
        <v/>
      </c>
    </row>
    <row r="135" spans="2:13" ht="13" x14ac:dyDescent="0.25">
      <c r="B135" s="1108" t="str">
        <f>Client1</f>
        <v>Province of KwaZulu-Natal</v>
      </c>
      <c r="C135" s="1108"/>
      <c r="D135" s="1108"/>
      <c r="E135" s="87"/>
      <c r="F135" s="1109" t="str">
        <f>"Contract No. "&amp;ContractNo</f>
        <v>Contract No. ZNB 00399/00000/HOD/INF/21/T</v>
      </c>
      <c r="G135" s="1109"/>
      <c r="H135" s="1109"/>
    </row>
    <row r="136" spans="2:13" ht="13" x14ac:dyDescent="0.25">
      <c r="B136" s="1108" t="str">
        <f>Client2</f>
        <v>Department of Transport</v>
      </c>
      <c r="C136" s="1108"/>
      <c r="D136" s="1108"/>
      <c r="E136" s="87"/>
      <c r="F136" s="1109"/>
      <c r="G136" s="1109"/>
      <c r="H136" s="1109"/>
    </row>
    <row r="137" spans="2:13" x14ac:dyDescent="0.25">
      <c r="B137" s="1111"/>
      <c r="C137" s="1111"/>
      <c r="D137" s="1111"/>
      <c r="E137" s="78"/>
      <c r="F137" s="1110"/>
      <c r="G137" s="1110"/>
      <c r="H137" s="1110"/>
    </row>
    <row r="138" spans="2:13" ht="13" x14ac:dyDescent="0.25">
      <c r="B138" s="1112" t="s">
        <v>8</v>
      </c>
      <c r="C138" s="1113"/>
      <c r="D138" s="1113"/>
      <c r="E138" s="1113"/>
      <c r="F138" s="1113"/>
      <c r="G138" s="1113"/>
      <c r="H138" s="1114" t="str">
        <f>$H$6</f>
        <v>CHAPTER C1.4</v>
      </c>
      <c r="I138" s="6"/>
    </row>
    <row r="139" spans="2:13" ht="13" x14ac:dyDescent="0.25">
      <c r="B139" s="1117" t="str">
        <f>ContractDescription</f>
        <v>THE CONSTRUCTION OF EARTHWORKS, LAYERWORKS, SURFACING, CULVERTS AND CWAKA RIVER BRIDGE FROM KM 11.600 TO KM 14.000 ON MAIN ROAD P494 IN THE KING CETSHWAYO DISTRICT UNDER EMPANGENI REGION</v>
      </c>
      <c r="C139" s="1118"/>
      <c r="D139" s="1118"/>
      <c r="E139" s="1118"/>
      <c r="F139" s="1118"/>
      <c r="G139" s="1118"/>
      <c r="H139" s="1115"/>
      <c r="I139" s="8"/>
    </row>
    <row r="140" spans="2:13" ht="13" x14ac:dyDescent="0.25">
      <c r="B140" s="1117"/>
      <c r="C140" s="1118"/>
      <c r="D140" s="1118"/>
      <c r="E140" s="1118"/>
      <c r="F140" s="1118"/>
      <c r="G140" s="1118"/>
      <c r="H140" s="1115"/>
      <c r="I140" s="8"/>
    </row>
    <row r="141" spans="2:13" ht="13" x14ac:dyDescent="0.25">
      <c r="B141" s="1119"/>
      <c r="C141" s="1120"/>
      <c r="D141" s="1120"/>
      <c r="E141" s="1120"/>
      <c r="F141" s="1120"/>
      <c r="G141" s="1120"/>
      <c r="H141" s="1116"/>
      <c r="I141" s="8"/>
    </row>
    <row r="142" spans="2:13" s="9" customFormat="1" ht="25" customHeight="1" x14ac:dyDescent="0.25">
      <c r="B142" s="74" t="s">
        <v>0</v>
      </c>
      <c r="C142" s="11" t="s">
        <v>1</v>
      </c>
      <c r="D142" s="11" t="s">
        <v>2</v>
      </c>
      <c r="E142" s="11" t="s">
        <v>996</v>
      </c>
      <c r="F142" s="11" t="s">
        <v>3</v>
      </c>
      <c r="G142" s="11" t="s">
        <v>4</v>
      </c>
      <c r="H142" s="11" t="s">
        <v>5</v>
      </c>
      <c r="I142" s="12"/>
      <c r="J142" s="408" t="s">
        <v>996</v>
      </c>
      <c r="K142" s="253" t="s">
        <v>997</v>
      </c>
      <c r="L142" s="253" t="s">
        <v>998</v>
      </c>
      <c r="M142" s="253" t="s">
        <v>999</v>
      </c>
    </row>
    <row r="143" spans="2:13" s="28" customFormat="1" ht="20.149999999999999" customHeight="1" x14ac:dyDescent="0.25">
      <c r="B143" s="80"/>
      <c r="C143" s="30" t="s">
        <v>27</v>
      </c>
      <c r="D143" s="31"/>
      <c r="E143" s="31"/>
      <c r="F143" s="32"/>
      <c r="G143" s="31"/>
      <c r="H143" s="33">
        <f>H134</f>
        <v>210000</v>
      </c>
      <c r="I143" s="34"/>
      <c r="J143" s="416"/>
      <c r="K143" s="409"/>
      <c r="L143" s="419">
        <f>L134</f>
        <v>40000</v>
      </c>
      <c r="M143" s="410" t="str">
        <f>IF(F143="","",IF(SUM(I143)=0,"",L143/I143))</f>
        <v/>
      </c>
    </row>
    <row r="144" spans="2:13" x14ac:dyDescent="0.25">
      <c r="B144" s="58"/>
      <c r="C144" s="14"/>
      <c r="D144" s="15"/>
      <c r="E144" s="15"/>
      <c r="F144" s="15"/>
      <c r="G144" s="422"/>
      <c r="H144" s="17" t="str">
        <f t="shared" ref="H144:H211" si="15">IF(D144="","",F144*G144)</f>
        <v/>
      </c>
      <c r="I144" s="18"/>
      <c r="J144" s="61"/>
      <c r="K144" s="399"/>
      <c r="L144" s="420" t="str">
        <f t="shared" ref="L144" si="16">IF(J144="","",F144*K144)</f>
        <v/>
      </c>
      <c r="M144" s="401" t="str">
        <f t="shared" ref="M144" si="17">IF(J144="","",IF(SUM(H144)=0,"",L144/H144))</f>
        <v/>
      </c>
    </row>
    <row r="145" spans="2:13" x14ac:dyDescent="0.25">
      <c r="B145" s="58"/>
      <c r="C145" s="14"/>
      <c r="D145" s="15"/>
      <c r="E145" s="15"/>
      <c r="F145" s="15"/>
      <c r="G145" s="422"/>
      <c r="H145" s="17" t="str">
        <f t="shared" si="15"/>
        <v/>
      </c>
      <c r="I145" s="18"/>
      <c r="J145" s="61"/>
      <c r="K145" s="399"/>
      <c r="L145" s="420" t="str">
        <f t="shared" ref="L145:L211" si="18">IF(J145="","",F145*K145)</f>
        <v/>
      </c>
      <c r="M145" s="401" t="str">
        <f t="shared" ref="M145:M212" si="19">IF(J145="","",IF(SUM(H145)=0,"",L145/H145))</f>
        <v/>
      </c>
    </row>
    <row r="146" spans="2:13" x14ac:dyDescent="0.25">
      <c r="B146" s="58"/>
      <c r="C146" s="14"/>
      <c r="D146" s="15"/>
      <c r="E146" s="15"/>
      <c r="F146" s="15"/>
      <c r="G146" s="422"/>
      <c r="H146" s="17" t="str">
        <f t="shared" si="15"/>
        <v/>
      </c>
      <c r="I146" s="18"/>
      <c r="J146" s="61"/>
      <c r="K146" s="399"/>
      <c r="L146" s="420" t="str">
        <f t="shared" si="18"/>
        <v/>
      </c>
      <c r="M146" s="401" t="str">
        <f t="shared" si="19"/>
        <v/>
      </c>
    </row>
    <row r="147" spans="2:13" x14ac:dyDescent="0.25">
      <c r="B147" s="58"/>
      <c r="C147" s="14"/>
      <c r="D147" s="15"/>
      <c r="E147" s="15"/>
      <c r="F147" s="15"/>
      <c r="G147" s="422"/>
      <c r="H147" s="17" t="str">
        <f t="shared" si="15"/>
        <v/>
      </c>
      <c r="I147" s="18"/>
      <c r="J147" s="61"/>
      <c r="K147" s="399"/>
      <c r="L147" s="420" t="str">
        <f t="shared" si="18"/>
        <v/>
      </c>
      <c r="M147" s="401" t="str">
        <f t="shared" si="19"/>
        <v/>
      </c>
    </row>
    <row r="148" spans="2:13" x14ac:dyDescent="0.25">
      <c r="B148" s="58"/>
      <c r="C148" s="14"/>
      <c r="D148" s="15"/>
      <c r="E148" s="15"/>
      <c r="F148" s="15"/>
      <c r="G148" s="422"/>
      <c r="H148" s="17" t="str">
        <f t="shared" si="15"/>
        <v/>
      </c>
      <c r="I148" s="18"/>
      <c r="J148" s="61"/>
      <c r="K148" s="400"/>
      <c r="L148" s="420" t="str">
        <f t="shared" si="18"/>
        <v/>
      </c>
      <c r="M148" s="401" t="str">
        <f t="shared" si="19"/>
        <v/>
      </c>
    </row>
    <row r="149" spans="2:13" x14ac:dyDescent="0.25">
      <c r="B149" s="58"/>
      <c r="C149" s="14"/>
      <c r="D149" s="15"/>
      <c r="E149" s="15"/>
      <c r="F149" s="15"/>
      <c r="G149" s="422"/>
      <c r="H149" s="17" t="str">
        <f t="shared" si="15"/>
        <v/>
      </c>
      <c r="I149" s="18"/>
      <c r="J149" s="61"/>
      <c r="K149" s="399"/>
      <c r="L149" s="420" t="str">
        <f t="shared" si="18"/>
        <v/>
      </c>
      <c r="M149" s="401" t="str">
        <f t="shared" si="19"/>
        <v/>
      </c>
    </row>
    <row r="150" spans="2:13" x14ac:dyDescent="0.25">
      <c r="B150" s="58"/>
      <c r="C150" s="14"/>
      <c r="D150" s="15"/>
      <c r="E150" s="15"/>
      <c r="F150" s="15"/>
      <c r="G150" s="422"/>
      <c r="H150" s="17" t="str">
        <f t="shared" si="15"/>
        <v/>
      </c>
      <c r="I150" s="18"/>
      <c r="J150" s="61"/>
      <c r="K150" s="399"/>
      <c r="L150" s="420" t="str">
        <f t="shared" si="18"/>
        <v/>
      </c>
      <c r="M150" s="401" t="str">
        <f t="shared" si="19"/>
        <v/>
      </c>
    </row>
    <row r="151" spans="2:13" x14ac:dyDescent="0.25">
      <c r="B151" s="58"/>
      <c r="C151" s="14"/>
      <c r="D151" s="15"/>
      <c r="E151" s="15"/>
      <c r="F151" s="15"/>
      <c r="G151" s="422"/>
      <c r="H151" s="17" t="str">
        <f t="shared" si="15"/>
        <v/>
      </c>
      <c r="I151" s="18"/>
      <c r="J151" s="61"/>
      <c r="K151" s="399"/>
      <c r="L151" s="420" t="str">
        <f t="shared" si="18"/>
        <v/>
      </c>
      <c r="M151" s="401" t="str">
        <f t="shared" si="19"/>
        <v/>
      </c>
    </row>
    <row r="152" spans="2:13" x14ac:dyDescent="0.25">
      <c r="B152" s="58"/>
      <c r="C152" s="14"/>
      <c r="D152" s="15"/>
      <c r="E152" s="15"/>
      <c r="F152" s="15"/>
      <c r="G152" s="422"/>
      <c r="H152" s="17" t="str">
        <f t="shared" si="15"/>
        <v/>
      </c>
      <c r="I152" s="18"/>
      <c r="J152" s="61"/>
      <c r="K152" s="402"/>
      <c r="L152" s="420" t="str">
        <f t="shared" ref="L152:L206" si="20">IF(J152="","",F152*K152)</f>
        <v/>
      </c>
      <c r="M152" s="401" t="str">
        <f t="shared" ref="M152:M206" si="21">IF(J152="","",IF(SUM(H152)=0,"",L152/H152))</f>
        <v/>
      </c>
    </row>
    <row r="153" spans="2:13" x14ac:dyDescent="0.25">
      <c r="B153" s="58"/>
      <c r="C153" s="14"/>
      <c r="D153" s="15"/>
      <c r="E153" s="15"/>
      <c r="F153" s="15"/>
      <c r="G153" s="422"/>
      <c r="H153" s="17" t="str">
        <f t="shared" si="15"/>
        <v/>
      </c>
      <c r="I153" s="18"/>
      <c r="J153" s="61"/>
      <c r="K153" s="402"/>
      <c r="L153" s="420" t="str">
        <f t="shared" si="20"/>
        <v/>
      </c>
      <c r="M153" s="401" t="str">
        <f t="shared" si="21"/>
        <v/>
      </c>
    </row>
    <row r="154" spans="2:13" x14ac:dyDescent="0.25">
      <c r="B154" s="58"/>
      <c r="C154" s="14"/>
      <c r="D154" s="15"/>
      <c r="E154" s="15"/>
      <c r="F154" s="15"/>
      <c r="G154" s="422"/>
      <c r="H154" s="17" t="str">
        <f t="shared" si="15"/>
        <v/>
      </c>
      <c r="I154" s="18"/>
      <c r="J154" s="61"/>
      <c r="K154" s="402"/>
      <c r="L154" s="420" t="str">
        <f t="shared" si="20"/>
        <v/>
      </c>
      <c r="M154" s="401" t="str">
        <f t="shared" si="21"/>
        <v/>
      </c>
    </row>
    <row r="155" spans="2:13" x14ac:dyDescent="0.25">
      <c r="B155" s="58"/>
      <c r="C155" s="14"/>
      <c r="D155" s="15"/>
      <c r="E155" s="15"/>
      <c r="F155" s="15"/>
      <c r="G155" s="422"/>
      <c r="H155" s="17" t="str">
        <f t="shared" si="15"/>
        <v/>
      </c>
      <c r="I155" s="18"/>
      <c r="J155" s="61"/>
      <c r="K155" s="402"/>
      <c r="L155" s="420" t="str">
        <f t="shared" si="20"/>
        <v/>
      </c>
      <c r="M155" s="401" t="str">
        <f t="shared" si="21"/>
        <v/>
      </c>
    </row>
    <row r="156" spans="2:13" x14ac:dyDescent="0.25">
      <c r="B156" s="58"/>
      <c r="C156" s="14"/>
      <c r="D156" s="15"/>
      <c r="E156" s="15"/>
      <c r="F156" s="15"/>
      <c r="G156" s="422"/>
      <c r="H156" s="17" t="str">
        <f t="shared" si="15"/>
        <v/>
      </c>
      <c r="I156" s="18"/>
      <c r="J156" s="61"/>
      <c r="K156" s="402"/>
      <c r="L156" s="420" t="str">
        <f t="shared" si="20"/>
        <v/>
      </c>
      <c r="M156" s="401" t="str">
        <f t="shared" si="21"/>
        <v/>
      </c>
    </row>
    <row r="157" spans="2:13" x14ac:dyDescent="0.25">
      <c r="B157" s="58"/>
      <c r="C157" s="14"/>
      <c r="D157" s="15"/>
      <c r="E157" s="15"/>
      <c r="F157" s="15"/>
      <c r="G157" s="422"/>
      <c r="H157" s="17" t="str">
        <f t="shared" si="15"/>
        <v/>
      </c>
      <c r="I157" s="18"/>
      <c r="J157" s="61"/>
      <c r="K157" s="402"/>
      <c r="L157" s="420" t="str">
        <f t="shared" si="20"/>
        <v/>
      </c>
      <c r="M157" s="401" t="str">
        <f t="shared" si="21"/>
        <v/>
      </c>
    </row>
    <row r="158" spans="2:13" x14ac:dyDescent="0.25">
      <c r="B158" s="58"/>
      <c r="C158" s="14"/>
      <c r="D158" s="15"/>
      <c r="E158" s="15"/>
      <c r="F158" s="15"/>
      <c r="G158" s="422"/>
      <c r="H158" s="17" t="str">
        <f t="shared" si="15"/>
        <v/>
      </c>
      <c r="I158" s="18"/>
      <c r="J158" s="61"/>
      <c r="K158" s="399"/>
      <c r="L158" s="420" t="str">
        <f t="shared" si="20"/>
        <v/>
      </c>
      <c r="M158" s="401" t="str">
        <f t="shared" si="21"/>
        <v/>
      </c>
    </row>
    <row r="159" spans="2:13" x14ac:dyDescent="0.25">
      <c r="B159" s="58"/>
      <c r="C159" s="14"/>
      <c r="D159" s="15"/>
      <c r="E159" s="15"/>
      <c r="F159" s="15"/>
      <c r="G159" s="422"/>
      <c r="H159" s="17" t="str">
        <f t="shared" si="15"/>
        <v/>
      </c>
      <c r="I159" s="18"/>
      <c r="J159" s="61"/>
      <c r="K159" s="399"/>
      <c r="L159" s="420" t="str">
        <f t="shared" si="20"/>
        <v/>
      </c>
      <c r="M159" s="401" t="str">
        <f t="shared" si="21"/>
        <v/>
      </c>
    </row>
    <row r="160" spans="2:13" x14ac:dyDescent="0.25">
      <c r="B160" s="58"/>
      <c r="C160" s="14"/>
      <c r="D160" s="15"/>
      <c r="E160" s="15"/>
      <c r="F160" s="15"/>
      <c r="G160" s="422"/>
      <c r="H160" s="17"/>
      <c r="I160" s="18"/>
      <c r="J160" s="61"/>
      <c r="K160" s="399"/>
      <c r="L160" s="420" t="str">
        <f t="shared" si="20"/>
        <v/>
      </c>
      <c r="M160" s="401" t="str">
        <f t="shared" si="21"/>
        <v/>
      </c>
    </row>
    <row r="161" spans="2:13" x14ac:dyDescent="0.25">
      <c r="B161" s="58"/>
      <c r="C161" s="14"/>
      <c r="D161" s="15"/>
      <c r="E161" s="15"/>
      <c r="F161" s="15"/>
      <c r="G161" s="422"/>
      <c r="H161" s="17"/>
      <c r="I161" s="18"/>
      <c r="J161" s="61"/>
      <c r="K161" s="399"/>
      <c r="L161" s="420" t="str">
        <f t="shared" si="20"/>
        <v/>
      </c>
      <c r="M161" s="401" t="str">
        <f t="shared" si="21"/>
        <v/>
      </c>
    </row>
    <row r="162" spans="2:13" x14ac:dyDescent="0.25">
      <c r="B162" s="58"/>
      <c r="C162" s="14"/>
      <c r="D162" s="15"/>
      <c r="E162" s="15"/>
      <c r="F162" s="15"/>
      <c r="G162" s="422"/>
      <c r="H162" s="17"/>
      <c r="I162" s="18"/>
      <c r="J162" s="61"/>
      <c r="K162" s="399"/>
      <c r="L162" s="420" t="str">
        <f t="shared" si="20"/>
        <v/>
      </c>
      <c r="M162" s="401" t="str">
        <f t="shared" si="21"/>
        <v/>
      </c>
    </row>
    <row r="163" spans="2:13" x14ac:dyDescent="0.25">
      <c r="B163" s="58"/>
      <c r="C163" s="14"/>
      <c r="D163" s="15"/>
      <c r="E163" s="15"/>
      <c r="F163" s="15"/>
      <c r="G163" s="422"/>
      <c r="H163" s="17"/>
      <c r="I163" s="18"/>
      <c r="J163" s="61"/>
      <c r="K163" s="399"/>
      <c r="L163" s="420" t="str">
        <f t="shared" si="20"/>
        <v/>
      </c>
      <c r="M163" s="401" t="str">
        <f t="shared" si="21"/>
        <v/>
      </c>
    </row>
    <row r="164" spans="2:13" x14ac:dyDescent="0.25">
      <c r="B164" s="58"/>
      <c r="C164" s="14"/>
      <c r="D164" s="15"/>
      <c r="E164" s="15"/>
      <c r="F164" s="15"/>
      <c r="G164" s="422"/>
      <c r="H164" s="17" t="str">
        <f t="shared" si="15"/>
        <v/>
      </c>
      <c r="I164" s="18"/>
      <c r="J164" s="61"/>
      <c r="K164" s="400"/>
      <c r="L164" s="420" t="str">
        <f t="shared" si="20"/>
        <v/>
      </c>
      <c r="M164" s="401" t="str">
        <f t="shared" si="21"/>
        <v/>
      </c>
    </row>
    <row r="165" spans="2:13" x14ac:dyDescent="0.25">
      <c r="B165" s="58"/>
      <c r="C165" s="14"/>
      <c r="D165" s="15"/>
      <c r="E165" s="15"/>
      <c r="F165" s="15"/>
      <c r="G165" s="425"/>
      <c r="H165" s="17" t="str">
        <f t="shared" si="15"/>
        <v/>
      </c>
      <c r="I165" s="18"/>
      <c r="J165" s="61"/>
      <c r="K165" s="399"/>
      <c r="L165" s="420" t="str">
        <f t="shared" si="20"/>
        <v/>
      </c>
      <c r="M165" s="401" t="str">
        <f t="shared" si="21"/>
        <v/>
      </c>
    </row>
    <row r="166" spans="2:13" x14ac:dyDescent="0.25">
      <c r="B166" s="58"/>
      <c r="C166" s="14"/>
      <c r="D166" s="15"/>
      <c r="E166" s="15"/>
      <c r="F166" s="15"/>
      <c r="G166" s="422"/>
      <c r="H166" s="17" t="str">
        <f t="shared" si="15"/>
        <v/>
      </c>
      <c r="I166" s="18"/>
      <c r="J166" s="61"/>
      <c r="K166" s="399"/>
      <c r="L166" s="420" t="str">
        <f t="shared" si="20"/>
        <v/>
      </c>
      <c r="M166" s="401" t="str">
        <f t="shared" si="21"/>
        <v/>
      </c>
    </row>
    <row r="167" spans="2:13" x14ac:dyDescent="0.25">
      <c r="B167" s="58"/>
      <c r="C167" s="14"/>
      <c r="D167" s="15"/>
      <c r="E167" s="15"/>
      <c r="F167" s="15"/>
      <c r="G167" s="422"/>
      <c r="H167" s="17" t="str">
        <f t="shared" si="15"/>
        <v/>
      </c>
      <c r="I167" s="18"/>
      <c r="J167" s="61"/>
      <c r="K167" s="399"/>
      <c r="L167" s="420" t="str">
        <f t="shared" si="20"/>
        <v/>
      </c>
      <c r="M167" s="401" t="str">
        <f t="shared" si="21"/>
        <v/>
      </c>
    </row>
    <row r="168" spans="2:13" x14ac:dyDescent="0.25">
      <c r="B168" s="58"/>
      <c r="C168" s="14"/>
      <c r="D168" s="15"/>
      <c r="E168" s="15"/>
      <c r="F168" s="15"/>
      <c r="G168" s="422"/>
      <c r="H168" s="17" t="str">
        <f t="shared" si="15"/>
        <v/>
      </c>
      <c r="I168" s="18"/>
      <c r="J168" s="61"/>
      <c r="K168" s="399"/>
      <c r="L168" s="420" t="str">
        <f t="shared" si="20"/>
        <v/>
      </c>
      <c r="M168" s="401" t="str">
        <f t="shared" si="21"/>
        <v/>
      </c>
    </row>
    <row r="169" spans="2:13" x14ac:dyDescent="0.25">
      <c r="B169" s="58"/>
      <c r="C169" s="14"/>
      <c r="D169" s="15"/>
      <c r="E169" s="15"/>
      <c r="F169" s="15"/>
      <c r="G169" s="422"/>
      <c r="H169" s="17" t="str">
        <f t="shared" si="15"/>
        <v/>
      </c>
      <c r="I169" s="18"/>
      <c r="J169" s="61"/>
      <c r="K169" s="399"/>
      <c r="L169" s="420" t="str">
        <f t="shared" si="20"/>
        <v/>
      </c>
      <c r="M169" s="401" t="str">
        <f t="shared" si="21"/>
        <v/>
      </c>
    </row>
    <row r="170" spans="2:13" x14ac:dyDescent="0.25">
      <c r="B170" s="58"/>
      <c r="C170" s="14"/>
      <c r="D170" s="15"/>
      <c r="E170" s="15"/>
      <c r="F170" s="15"/>
      <c r="G170" s="422"/>
      <c r="H170" s="17" t="str">
        <f t="shared" si="15"/>
        <v/>
      </c>
      <c r="I170" s="18"/>
      <c r="J170" s="61"/>
      <c r="K170" s="400"/>
      <c r="L170" s="420" t="str">
        <f t="shared" si="20"/>
        <v/>
      </c>
      <c r="M170" s="401" t="str">
        <f t="shared" si="21"/>
        <v/>
      </c>
    </row>
    <row r="171" spans="2:13" x14ac:dyDescent="0.25">
      <c r="B171" s="58"/>
      <c r="C171" s="14"/>
      <c r="D171" s="15"/>
      <c r="E171" s="15"/>
      <c r="F171" s="15"/>
      <c r="G171" s="422"/>
      <c r="H171" s="17" t="str">
        <f t="shared" si="15"/>
        <v/>
      </c>
      <c r="I171" s="18"/>
      <c r="J171" s="61"/>
      <c r="K171" s="399"/>
      <c r="L171" s="420" t="str">
        <f t="shared" si="20"/>
        <v/>
      </c>
      <c r="M171" s="401" t="str">
        <f t="shared" si="21"/>
        <v/>
      </c>
    </row>
    <row r="172" spans="2:13" x14ac:dyDescent="0.25">
      <c r="B172" s="58"/>
      <c r="C172" s="14"/>
      <c r="D172" s="15"/>
      <c r="E172" s="15"/>
      <c r="F172" s="15"/>
      <c r="G172" s="422"/>
      <c r="H172" s="17" t="str">
        <f t="shared" si="15"/>
        <v/>
      </c>
      <c r="I172" s="18"/>
      <c r="J172" s="61"/>
      <c r="K172" s="399"/>
      <c r="L172" s="420" t="str">
        <f t="shared" si="20"/>
        <v/>
      </c>
      <c r="M172" s="401" t="str">
        <f t="shared" si="21"/>
        <v/>
      </c>
    </row>
    <row r="173" spans="2:13" x14ac:dyDescent="0.25">
      <c r="B173" s="58"/>
      <c r="C173" s="14"/>
      <c r="D173" s="15"/>
      <c r="E173" s="15"/>
      <c r="F173" s="15"/>
      <c r="G173" s="422"/>
      <c r="H173" s="17" t="str">
        <f t="shared" si="15"/>
        <v/>
      </c>
      <c r="I173" s="18"/>
      <c r="J173" s="61"/>
      <c r="K173" s="399"/>
      <c r="L173" s="420" t="str">
        <f t="shared" si="20"/>
        <v/>
      </c>
      <c r="M173" s="401" t="str">
        <f t="shared" si="21"/>
        <v/>
      </c>
    </row>
    <row r="174" spans="2:13" x14ac:dyDescent="0.25">
      <c r="B174" s="58"/>
      <c r="C174" s="14"/>
      <c r="D174" s="15"/>
      <c r="E174" s="15"/>
      <c r="F174" s="15"/>
      <c r="G174" s="422"/>
      <c r="H174" s="17"/>
      <c r="I174" s="18"/>
      <c r="J174" s="61"/>
      <c r="K174" s="399"/>
      <c r="L174" s="420" t="str">
        <f t="shared" si="20"/>
        <v/>
      </c>
      <c r="M174" s="401" t="str">
        <f t="shared" si="21"/>
        <v/>
      </c>
    </row>
    <row r="175" spans="2:13" x14ac:dyDescent="0.25">
      <c r="B175" s="58"/>
      <c r="C175" s="14"/>
      <c r="D175" s="15"/>
      <c r="E175" s="15"/>
      <c r="F175" s="15"/>
      <c r="G175" s="422"/>
      <c r="H175" s="17"/>
      <c r="I175" s="18"/>
      <c r="J175" s="61"/>
      <c r="K175" s="399"/>
      <c r="L175" s="420" t="str">
        <f t="shared" si="20"/>
        <v/>
      </c>
      <c r="M175" s="401" t="str">
        <f t="shared" si="21"/>
        <v/>
      </c>
    </row>
    <row r="176" spans="2:13" x14ac:dyDescent="0.25">
      <c r="B176" s="58"/>
      <c r="C176" s="14"/>
      <c r="D176" s="15"/>
      <c r="E176" s="15"/>
      <c r="F176" s="15"/>
      <c r="G176" s="422"/>
      <c r="H176" s="17"/>
      <c r="I176" s="18"/>
      <c r="J176" s="61"/>
      <c r="K176" s="399"/>
      <c r="L176" s="420" t="str">
        <f t="shared" si="20"/>
        <v/>
      </c>
      <c r="M176" s="401" t="str">
        <f t="shared" si="21"/>
        <v/>
      </c>
    </row>
    <row r="177" spans="2:13" x14ac:dyDescent="0.25">
      <c r="B177" s="58"/>
      <c r="C177" s="14"/>
      <c r="D177" s="15"/>
      <c r="E177" s="15"/>
      <c r="F177" s="15"/>
      <c r="G177" s="422"/>
      <c r="H177" s="17"/>
      <c r="I177" s="18"/>
      <c r="J177" s="61"/>
      <c r="K177" s="399"/>
      <c r="L177" s="420" t="str">
        <f t="shared" si="20"/>
        <v/>
      </c>
      <c r="M177" s="401" t="str">
        <f t="shared" si="21"/>
        <v/>
      </c>
    </row>
    <row r="178" spans="2:13" x14ac:dyDescent="0.25">
      <c r="B178" s="58"/>
      <c r="C178" s="14"/>
      <c r="D178" s="15"/>
      <c r="E178" s="15"/>
      <c r="F178" s="15"/>
      <c r="G178" s="422"/>
      <c r="H178" s="17"/>
      <c r="I178" s="18"/>
      <c r="J178" s="61"/>
      <c r="K178" s="399"/>
      <c r="L178" s="420" t="str">
        <f t="shared" si="20"/>
        <v/>
      </c>
      <c r="M178" s="401" t="str">
        <f t="shared" si="21"/>
        <v/>
      </c>
    </row>
    <row r="179" spans="2:13" x14ac:dyDescent="0.25">
      <c r="B179" s="58"/>
      <c r="C179" s="14"/>
      <c r="D179" s="15"/>
      <c r="E179" s="15"/>
      <c r="F179" s="15"/>
      <c r="G179" s="422"/>
      <c r="H179" s="17"/>
      <c r="I179" s="18"/>
      <c r="J179" s="61"/>
      <c r="K179" s="399"/>
      <c r="L179" s="420" t="str">
        <f t="shared" si="20"/>
        <v/>
      </c>
      <c r="M179" s="401" t="str">
        <f t="shared" si="21"/>
        <v/>
      </c>
    </row>
    <row r="180" spans="2:13" x14ac:dyDescent="0.25">
      <c r="B180" s="58"/>
      <c r="C180" s="14"/>
      <c r="D180" s="15"/>
      <c r="E180" s="15"/>
      <c r="F180" s="15"/>
      <c r="G180" s="422"/>
      <c r="H180" s="17"/>
      <c r="I180" s="18"/>
      <c r="J180" s="61"/>
      <c r="K180" s="399"/>
      <c r="L180" s="420" t="str">
        <f t="shared" si="20"/>
        <v/>
      </c>
      <c r="M180" s="401" t="str">
        <f t="shared" si="21"/>
        <v/>
      </c>
    </row>
    <row r="181" spans="2:13" x14ac:dyDescent="0.25">
      <c r="B181" s="58"/>
      <c r="C181" s="14"/>
      <c r="D181" s="15"/>
      <c r="E181" s="15"/>
      <c r="F181" s="15"/>
      <c r="G181" s="422"/>
      <c r="H181" s="17"/>
      <c r="I181" s="18"/>
      <c r="J181" s="61"/>
      <c r="K181" s="399"/>
      <c r="L181" s="420" t="str">
        <f t="shared" si="20"/>
        <v/>
      </c>
      <c r="M181" s="401" t="str">
        <f t="shared" si="21"/>
        <v/>
      </c>
    </row>
    <row r="182" spans="2:13" x14ac:dyDescent="0.25">
      <c r="B182" s="58"/>
      <c r="C182" s="14"/>
      <c r="D182" s="15"/>
      <c r="E182" s="15"/>
      <c r="F182" s="15"/>
      <c r="G182" s="422"/>
      <c r="H182" s="17"/>
      <c r="I182" s="18"/>
      <c r="J182" s="61"/>
      <c r="K182" s="399"/>
      <c r="L182" s="420" t="str">
        <f t="shared" si="20"/>
        <v/>
      </c>
      <c r="M182" s="401" t="str">
        <f t="shared" si="21"/>
        <v/>
      </c>
    </row>
    <row r="183" spans="2:13" x14ac:dyDescent="0.25">
      <c r="B183" s="58"/>
      <c r="C183" s="14"/>
      <c r="D183" s="15"/>
      <c r="E183" s="15"/>
      <c r="F183" s="15"/>
      <c r="G183" s="422"/>
      <c r="H183" s="17"/>
      <c r="I183" s="18"/>
      <c r="J183" s="61"/>
      <c r="K183" s="399"/>
      <c r="L183" s="420" t="str">
        <f t="shared" si="20"/>
        <v/>
      </c>
      <c r="M183" s="401" t="str">
        <f t="shared" si="21"/>
        <v/>
      </c>
    </row>
    <row r="184" spans="2:13" x14ac:dyDescent="0.25">
      <c r="B184" s="58"/>
      <c r="C184" s="14"/>
      <c r="D184" s="15"/>
      <c r="E184" s="15"/>
      <c r="F184" s="15"/>
      <c r="G184" s="422"/>
      <c r="H184" s="17"/>
      <c r="I184" s="18"/>
      <c r="J184" s="61"/>
      <c r="K184" s="399"/>
      <c r="L184" s="420" t="str">
        <f t="shared" si="20"/>
        <v/>
      </c>
      <c r="M184" s="401" t="str">
        <f t="shared" si="21"/>
        <v/>
      </c>
    </row>
    <row r="185" spans="2:13" x14ac:dyDescent="0.25">
      <c r="B185" s="58"/>
      <c r="C185" s="14"/>
      <c r="D185" s="15"/>
      <c r="E185" s="15"/>
      <c r="F185" s="15"/>
      <c r="G185" s="422"/>
      <c r="H185" s="17"/>
      <c r="I185" s="18"/>
      <c r="J185" s="61"/>
      <c r="K185" s="399"/>
      <c r="L185" s="420" t="str">
        <f t="shared" si="20"/>
        <v/>
      </c>
      <c r="M185" s="401" t="str">
        <f t="shared" si="21"/>
        <v/>
      </c>
    </row>
    <row r="186" spans="2:13" x14ac:dyDescent="0.25">
      <c r="B186" s="58"/>
      <c r="C186" s="14"/>
      <c r="D186" s="15"/>
      <c r="E186" s="15"/>
      <c r="F186" s="15"/>
      <c r="G186" s="422"/>
      <c r="H186" s="17"/>
      <c r="I186" s="18"/>
      <c r="J186" s="61"/>
      <c r="K186" s="399"/>
      <c r="L186" s="420" t="str">
        <f t="shared" si="20"/>
        <v/>
      </c>
      <c r="M186" s="401" t="str">
        <f t="shared" si="21"/>
        <v/>
      </c>
    </row>
    <row r="187" spans="2:13" x14ac:dyDescent="0.25">
      <c r="B187" s="58"/>
      <c r="C187" s="14"/>
      <c r="D187" s="15"/>
      <c r="E187" s="15"/>
      <c r="F187" s="15"/>
      <c r="G187" s="422"/>
      <c r="H187" s="17"/>
      <c r="I187" s="18"/>
      <c r="J187" s="61"/>
      <c r="K187" s="399"/>
      <c r="L187" s="420" t="str">
        <f t="shared" si="20"/>
        <v/>
      </c>
      <c r="M187" s="401" t="str">
        <f t="shared" si="21"/>
        <v/>
      </c>
    </row>
    <row r="188" spans="2:13" x14ac:dyDescent="0.25">
      <c r="B188" s="58"/>
      <c r="C188" s="14"/>
      <c r="D188" s="15"/>
      <c r="E188" s="15"/>
      <c r="F188" s="15"/>
      <c r="G188" s="422"/>
      <c r="H188" s="17"/>
      <c r="I188" s="18"/>
      <c r="J188" s="61"/>
      <c r="K188" s="399"/>
      <c r="L188" s="420" t="str">
        <f t="shared" si="20"/>
        <v/>
      </c>
      <c r="M188" s="401" t="str">
        <f t="shared" si="21"/>
        <v/>
      </c>
    </row>
    <row r="189" spans="2:13" x14ac:dyDescent="0.25">
      <c r="B189" s="58"/>
      <c r="C189" s="14"/>
      <c r="D189" s="15"/>
      <c r="E189" s="15"/>
      <c r="F189" s="15"/>
      <c r="G189" s="422"/>
      <c r="H189" s="17"/>
      <c r="I189" s="18"/>
      <c r="J189" s="61"/>
      <c r="K189" s="399"/>
      <c r="L189" s="420" t="str">
        <f t="shared" si="20"/>
        <v/>
      </c>
      <c r="M189" s="401" t="str">
        <f t="shared" si="21"/>
        <v/>
      </c>
    </row>
    <row r="190" spans="2:13" x14ac:dyDescent="0.25">
      <c r="B190" s="58"/>
      <c r="C190" s="14"/>
      <c r="D190" s="15"/>
      <c r="E190" s="15"/>
      <c r="F190" s="15"/>
      <c r="G190" s="422"/>
      <c r="H190" s="17" t="str">
        <f t="shared" si="15"/>
        <v/>
      </c>
      <c r="I190" s="18"/>
      <c r="J190" s="61"/>
      <c r="K190" s="399"/>
      <c r="L190" s="420" t="str">
        <f t="shared" si="20"/>
        <v/>
      </c>
      <c r="M190" s="401" t="str">
        <f t="shared" si="21"/>
        <v/>
      </c>
    </row>
    <row r="191" spans="2:13" x14ac:dyDescent="0.25">
      <c r="B191" s="58"/>
      <c r="C191" s="14"/>
      <c r="D191" s="15"/>
      <c r="E191" s="15"/>
      <c r="F191" s="15"/>
      <c r="G191" s="422"/>
      <c r="H191" s="17" t="str">
        <f t="shared" si="15"/>
        <v/>
      </c>
      <c r="I191" s="18"/>
      <c r="J191" s="61"/>
      <c r="K191" s="399"/>
      <c r="L191" s="420" t="str">
        <f t="shared" si="20"/>
        <v/>
      </c>
      <c r="M191" s="401" t="str">
        <f t="shared" si="21"/>
        <v/>
      </c>
    </row>
    <row r="192" spans="2:13" x14ac:dyDescent="0.25">
      <c r="B192" s="58"/>
      <c r="C192" s="14"/>
      <c r="D192" s="15"/>
      <c r="E192" s="15"/>
      <c r="F192" s="15"/>
      <c r="G192" s="422"/>
      <c r="H192" s="17" t="str">
        <f t="shared" si="15"/>
        <v/>
      </c>
      <c r="I192" s="18"/>
      <c r="J192" s="61"/>
      <c r="K192" s="399"/>
      <c r="L192" s="420" t="str">
        <f t="shared" si="20"/>
        <v/>
      </c>
      <c r="M192" s="401" t="str">
        <f t="shared" si="21"/>
        <v/>
      </c>
    </row>
    <row r="193" spans="2:13" x14ac:dyDescent="0.25">
      <c r="B193" s="58"/>
      <c r="C193" s="14"/>
      <c r="D193" s="15"/>
      <c r="E193" s="15"/>
      <c r="F193" s="15"/>
      <c r="G193" s="425"/>
      <c r="H193" s="17" t="str">
        <f t="shared" si="15"/>
        <v/>
      </c>
      <c r="I193" s="18"/>
      <c r="J193" s="61"/>
      <c r="K193" s="399"/>
      <c r="L193" s="420" t="str">
        <f t="shared" si="20"/>
        <v/>
      </c>
      <c r="M193" s="401" t="str">
        <f t="shared" si="21"/>
        <v/>
      </c>
    </row>
    <row r="194" spans="2:13" x14ac:dyDescent="0.25">
      <c r="B194" s="58"/>
      <c r="C194" s="14"/>
      <c r="D194" s="15"/>
      <c r="E194" s="15"/>
      <c r="F194" s="15"/>
      <c r="G194" s="422"/>
      <c r="H194" s="17" t="str">
        <f t="shared" si="15"/>
        <v/>
      </c>
      <c r="I194" s="18"/>
      <c r="J194" s="62"/>
      <c r="K194" s="62"/>
      <c r="L194" s="420" t="str">
        <f t="shared" si="20"/>
        <v/>
      </c>
      <c r="M194" s="401" t="str">
        <f t="shared" si="21"/>
        <v/>
      </c>
    </row>
    <row r="195" spans="2:13" x14ac:dyDescent="0.25">
      <c r="B195" s="58"/>
      <c r="C195" s="14"/>
      <c r="D195" s="15"/>
      <c r="E195" s="15"/>
      <c r="F195" s="15"/>
      <c r="G195" s="422"/>
      <c r="H195" s="17" t="str">
        <f t="shared" si="15"/>
        <v/>
      </c>
      <c r="I195" s="18"/>
      <c r="J195" s="62"/>
      <c r="K195" s="62"/>
      <c r="L195" s="420" t="str">
        <f t="shared" si="20"/>
        <v/>
      </c>
      <c r="M195" s="401" t="str">
        <f t="shared" si="21"/>
        <v/>
      </c>
    </row>
    <row r="196" spans="2:13" x14ac:dyDescent="0.25">
      <c r="B196" s="58"/>
      <c r="C196" s="14"/>
      <c r="D196" s="15"/>
      <c r="E196" s="15"/>
      <c r="F196" s="15"/>
      <c r="G196" s="422"/>
      <c r="H196" s="17" t="str">
        <f t="shared" si="15"/>
        <v/>
      </c>
      <c r="I196" s="18"/>
      <c r="J196" s="62"/>
      <c r="K196" s="62"/>
      <c r="L196" s="420" t="str">
        <f t="shared" si="20"/>
        <v/>
      </c>
      <c r="M196" s="401" t="str">
        <f t="shared" si="21"/>
        <v/>
      </c>
    </row>
    <row r="197" spans="2:13" x14ac:dyDescent="0.25">
      <c r="B197" s="58"/>
      <c r="C197" s="14"/>
      <c r="D197" s="15"/>
      <c r="E197" s="15"/>
      <c r="F197" s="15"/>
      <c r="G197" s="425"/>
      <c r="H197" s="17" t="str">
        <f t="shared" si="15"/>
        <v/>
      </c>
      <c r="I197" s="18"/>
      <c r="J197" s="61"/>
      <c r="K197" s="62"/>
      <c r="L197" s="420" t="str">
        <f t="shared" si="20"/>
        <v/>
      </c>
      <c r="M197" s="401" t="str">
        <f t="shared" si="21"/>
        <v/>
      </c>
    </row>
    <row r="198" spans="2:13" x14ac:dyDescent="0.25">
      <c r="B198" s="58"/>
      <c r="C198" s="14"/>
      <c r="D198" s="15"/>
      <c r="E198" s="15"/>
      <c r="F198" s="15"/>
      <c r="G198" s="422"/>
      <c r="H198" s="17" t="str">
        <f t="shared" si="15"/>
        <v/>
      </c>
      <c r="I198" s="18"/>
      <c r="J198" s="61"/>
      <c r="K198" s="62"/>
      <c r="L198" s="420" t="str">
        <f t="shared" si="20"/>
        <v/>
      </c>
      <c r="M198" s="401" t="str">
        <f t="shared" si="21"/>
        <v/>
      </c>
    </row>
    <row r="199" spans="2:13" x14ac:dyDescent="0.25">
      <c r="B199" s="58"/>
      <c r="C199" s="14"/>
      <c r="D199" s="15"/>
      <c r="E199" s="15"/>
      <c r="F199" s="15"/>
      <c r="G199" s="422"/>
      <c r="H199" s="17" t="str">
        <f t="shared" si="15"/>
        <v/>
      </c>
      <c r="I199" s="18"/>
      <c r="J199" s="62"/>
      <c r="K199" s="62"/>
      <c r="L199" s="420" t="str">
        <f t="shared" si="20"/>
        <v/>
      </c>
      <c r="M199" s="401" t="str">
        <f t="shared" si="21"/>
        <v/>
      </c>
    </row>
    <row r="200" spans="2:13" x14ac:dyDescent="0.25">
      <c r="B200" s="58"/>
      <c r="C200" s="14"/>
      <c r="D200" s="15"/>
      <c r="E200" s="15"/>
      <c r="F200" s="15"/>
      <c r="G200" s="422"/>
      <c r="H200" s="17" t="str">
        <f t="shared" si="15"/>
        <v/>
      </c>
      <c r="I200" s="18"/>
      <c r="J200" s="62"/>
      <c r="K200" s="62"/>
      <c r="L200" s="420" t="str">
        <f t="shared" si="20"/>
        <v/>
      </c>
      <c r="M200" s="401" t="str">
        <f t="shared" si="21"/>
        <v/>
      </c>
    </row>
    <row r="201" spans="2:13" x14ac:dyDescent="0.25">
      <c r="B201" s="58"/>
      <c r="C201" s="14"/>
      <c r="D201" s="15"/>
      <c r="E201" s="15"/>
      <c r="F201" s="15"/>
      <c r="G201" s="425"/>
      <c r="H201" s="17" t="str">
        <f t="shared" si="15"/>
        <v/>
      </c>
      <c r="I201" s="18"/>
      <c r="J201" s="62"/>
      <c r="K201" s="62"/>
      <c r="L201" s="420" t="str">
        <f t="shared" si="20"/>
        <v/>
      </c>
      <c r="M201" s="401" t="str">
        <f t="shared" si="21"/>
        <v/>
      </c>
    </row>
    <row r="202" spans="2:13" x14ac:dyDescent="0.25">
      <c r="B202" s="58"/>
      <c r="C202" s="14"/>
      <c r="D202" s="15"/>
      <c r="E202" s="15"/>
      <c r="F202" s="15"/>
      <c r="G202" s="422"/>
      <c r="H202" s="17" t="str">
        <f t="shared" si="15"/>
        <v/>
      </c>
      <c r="I202" s="18"/>
      <c r="J202" s="62"/>
      <c r="K202" s="62"/>
      <c r="L202" s="420" t="str">
        <f t="shared" si="20"/>
        <v/>
      </c>
      <c r="M202" s="401" t="str">
        <f t="shared" si="21"/>
        <v/>
      </c>
    </row>
    <row r="203" spans="2:13" x14ac:dyDescent="0.25">
      <c r="B203" s="58"/>
      <c r="C203" s="14"/>
      <c r="D203" s="15"/>
      <c r="E203" s="15"/>
      <c r="F203" s="15"/>
      <c r="G203" s="422"/>
      <c r="H203" s="17" t="str">
        <f t="shared" si="15"/>
        <v/>
      </c>
      <c r="I203" s="18"/>
      <c r="J203" s="62"/>
      <c r="K203" s="62"/>
      <c r="L203" s="420" t="str">
        <f t="shared" si="20"/>
        <v/>
      </c>
      <c r="M203" s="401" t="str">
        <f t="shared" si="21"/>
        <v/>
      </c>
    </row>
    <row r="204" spans="2:13" x14ac:dyDescent="0.25">
      <c r="B204" s="58"/>
      <c r="C204" s="14"/>
      <c r="D204" s="15"/>
      <c r="E204" s="15"/>
      <c r="F204" s="15"/>
      <c r="G204" s="422"/>
      <c r="H204" s="17" t="str">
        <f t="shared" si="15"/>
        <v/>
      </c>
      <c r="I204" s="18"/>
      <c r="J204" s="62"/>
      <c r="K204" s="62"/>
      <c r="L204" s="420" t="str">
        <f t="shared" si="20"/>
        <v/>
      </c>
      <c r="M204" s="401" t="str">
        <f t="shared" si="21"/>
        <v/>
      </c>
    </row>
    <row r="205" spans="2:13" x14ac:dyDescent="0.25">
      <c r="B205" s="58"/>
      <c r="C205" s="14"/>
      <c r="D205" s="15"/>
      <c r="E205" s="15"/>
      <c r="F205" s="15"/>
      <c r="G205" s="425"/>
      <c r="H205" s="17" t="str">
        <f t="shared" si="15"/>
        <v/>
      </c>
      <c r="I205" s="18"/>
      <c r="J205" s="62"/>
      <c r="K205" s="62"/>
      <c r="L205" s="420" t="str">
        <f t="shared" si="20"/>
        <v/>
      </c>
      <c r="M205" s="401" t="str">
        <f t="shared" si="21"/>
        <v/>
      </c>
    </row>
    <row r="206" spans="2:13" x14ac:dyDescent="0.25">
      <c r="B206" s="58"/>
      <c r="C206" s="14"/>
      <c r="D206" s="15"/>
      <c r="E206" s="15"/>
      <c r="F206" s="15"/>
      <c r="G206" s="422"/>
      <c r="H206" s="17" t="str">
        <f t="shared" si="15"/>
        <v/>
      </c>
      <c r="I206" s="18"/>
      <c r="J206" s="62"/>
      <c r="K206" s="62"/>
      <c r="L206" s="420" t="str">
        <f t="shared" si="20"/>
        <v/>
      </c>
      <c r="M206" s="401" t="str">
        <f t="shared" si="21"/>
        <v/>
      </c>
    </row>
    <row r="207" spans="2:13" x14ac:dyDescent="0.25">
      <c r="B207" s="58"/>
      <c r="C207" s="14"/>
      <c r="D207" s="15"/>
      <c r="E207" s="15"/>
      <c r="F207" s="15"/>
      <c r="G207" s="422"/>
      <c r="H207" s="17" t="str">
        <f t="shared" si="15"/>
        <v/>
      </c>
      <c r="I207" s="18"/>
      <c r="J207" s="61"/>
      <c r="K207" s="62"/>
      <c r="L207" s="420" t="str">
        <f t="shared" si="18"/>
        <v/>
      </c>
      <c r="M207" s="401" t="str">
        <f t="shared" si="19"/>
        <v/>
      </c>
    </row>
    <row r="208" spans="2:13" x14ac:dyDescent="0.25">
      <c r="B208" s="58"/>
      <c r="C208" s="14"/>
      <c r="D208" s="15"/>
      <c r="E208" s="15"/>
      <c r="F208" s="15"/>
      <c r="G208" s="422"/>
      <c r="H208" s="17" t="str">
        <f t="shared" si="15"/>
        <v/>
      </c>
      <c r="I208" s="18"/>
      <c r="J208" s="61"/>
      <c r="K208" s="62"/>
      <c r="L208" s="420" t="str">
        <f t="shared" si="18"/>
        <v/>
      </c>
      <c r="M208" s="401" t="str">
        <f t="shared" si="19"/>
        <v/>
      </c>
    </row>
    <row r="209" spans="2:13" x14ac:dyDescent="0.25">
      <c r="B209" s="58"/>
      <c r="C209" s="14"/>
      <c r="D209" s="15"/>
      <c r="E209" s="15"/>
      <c r="F209" s="15"/>
      <c r="G209" s="425"/>
      <c r="H209" s="17" t="str">
        <f t="shared" si="15"/>
        <v/>
      </c>
      <c r="I209" s="18"/>
      <c r="J209" s="61"/>
      <c r="K209" s="695"/>
      <c r="L209" s="420" t="str">
        <f t="shared" si="18"/>
        <v/>
      </c>
      <c r="M209" s="401" t="str">
        <f t="shared" si="19"/>
        <v/>
      </c>
    </row>
    <row r="210" spans="2:13" x14ac:dyDescent="0.25">
      <c r="B210" s="58"/>
      <c r="C210" s="14"/>
      <c r="D210" s="15"/>
      <c r="E210" s="15"/>
      <c r="F210" s="15"/>
      <c r="G210" s="422"/>
      <c r="H210" s="17" t="str">
        <f t="shared" si="15"/>
        <v/>
      </c>
      <c r="I210" s="18"/>
      <c r="J210" s="61"/>
      <c r="K210" s="695"/>
      <c r="L210" s="420" t="str">
        <f t="shared" si="18"/>
        <v/>
      </c>
      <c r="M210" s="401" t="str">
        <f t="shared" si="19"/>
        <v/>
      </c>
    </row>
    <row r="211" spans="2:13" x14ac:dyDescent="0.25">
      <c r="B211" s="58"/>
      <c r="C211" s="14"/>
      <c r="D211" s="15"/>
      <c r="E211" s="15"/>
      <c r="F211" s="15"/>
      <c r="G211" s="422"/>
      <c r="H211" s="17" t="str">
        <f t="shared" si="15"/>
        <v/>
      </c>
      <c r="I211" s="18"/>
      <c r="J211" s="61"/>
      <c r="K211" s="696"/>
      <c r="L211" s="420" t="str">
        <f t="shared" si="18"/>
        <v/>
      </c>
      <c r="M211" s="401" t="str">
        <f t="shared" si="19"/>
        <v/>
      </c>
    </row>
    <row r="212" spans="2:13" s="28" customFormat="1" ht="20.149999999999999" customHeight="1" x14ac:dyDescent="0.25">
      <c r="B212" s="80" t="str">
        <f>$B$12</f>
        <v>C1.4</v>
      </c>
      <c r="C212" s="498" t="str">
        <f>"TOTAL CARRIED FORWARD"&amp;IF(H212=H$1," TO SUMMARY (Page C"&amp;Page_A&amp;")","")</f>
        <v>TOTAL CARRIED FORWARD TO SUMMARY (Page C48)</v>
      </c>
      <c r="D212" s="31"/>
      <c r="E212" s="31"/>
      <c r="F212" s="32"/>
      <c r="G212" s="31"/>
      <c r="H212" s="33">
        <f>SUM(H143:H211)</f>
        <v>210000</v>
      </c>
      <c r="I212" s="34"/>
      <c r="J212" s="408"/>
      <c r="K212" s="406"/>
      <c r="L212" s="418">
        <f>SUM(L143:L211)</f>
        <v>40000</v>
      </c>
      <c r="M212" s="407" t="str">
        <f t="shared" si="19"/>
        <v/>
      </c>
    </row>
    <row r="213" spans="2:13" ht="13" x14ac:dyDescent="0.25">
      <c r="B213" s="1108" t="str">
        <f>Client1</f>
        <v>Province of KwaZulu-Natal</v>
      </c>
      <c r="C213" s="1108"/>
      <c r="D213" s="1108"/>
      <c r="E213" s="87"/>
      <c r="F213" s="1109" t="str">
        <f>"Contract No. "&amp;ContractNo</f>
        <v>Contract No. ZNB 00399/00000/HOD/INF/21/T</v>
      </c>
      <c r="G213" s="1109"/>
      <c r="H213" s="1109"/>
    </row>
    <row r="214" spans="2:13" ht="13" x14ac:dyDescent="0.25">
      <c r="B214" s="1108" t="str">
        <f>Client2</f>
        <v>Department of Transport</v>
      </c>
      <c r="C214" s="1108"/>
      <c r="D214" s="1108"/>
      <c r="E214" s="87"/>
      <c r="F214" s="1109"/>
      <c r="G214" s="1109"/>
      <c r="H214" s="1109"/>
    </row>
    <row r="215" spans="2:13" x14ac:dyDescent="0.25">
      <c r="B215" s="1111"/>
      <c r="C215" s="1111"/>
      <c r="D215" s="1111"/>
      <c r="E215" s="78"/>
      <c r="F215" s="1110"/>
      <c r="G215" s="1110"/>
      <c r="H215" s="1110"/>
    </row>
    <row r="216" spans="2:13" ht="13" x14ac:dyDescent="0.25">
      <c r="B216" s="1112" t="s">
        <v>8</v>
      </c>
      <c r="C216" s="1113"/>
      <c r="D216" s="1113"/>
      <c r="E216" s="1113"/>
      <c r="F216" s="1113"/>
      <c r="G216" s="1113"/>
      <c r="H216" s="1114" t="str">
        <f>$H$6</f>
        <v>CHAPTER C1.4</v>
      </c>
      <c r="I216" s="6"/>
    </row>
    <row r="217" spans="2:13" ht="13" x14ac:dyDescent="0.25">
      <c r="B217" s="1117" t="str">
        <f>ContractDescription</f>
        <v>THE CONSTRUCTION OF EARTHWORKS, LAYERWORKS, SURFACING, CULVERTS AND CWAKA RIVER BRIDGE FROM KM 11.600 TO KM 14.000 ON MAIN ROAD P494 IN THE KING CETSHWAYO DISTRICT UNDER EMPANGENI REGION</v>
      </c>
      <c r="C217" s="1118"/>
      <c r="D217" s="1118"/>
      <c r="E217" s="1118"/>
      <c r="F217" s="1118"/>
      <c r="G217" s="1118"/>
      <c r="H217" s="1115"/>
      <c r="I217" s="8"/>
    </row>
    <row r="218" spans="2:13" ht="13" x14ac:dyDescent="0.25">
      <c r="B218" s="1117"/>
      <c r="C218" s="1118"/>
      <c r="D218" s="1118"/>
      <c r="E218" s="1118"/>
      <c r="F218" s="1118"/>
      <c r="G218" s="1118"/>
      <c r="H218" s="1115"/>
      <c r="I218" s="8"/>
    </row>
    <row r="219" spans="2:13" ht="13" x14ac:dyDescent="0.25">
      <c r="B219" s="1119"/>
      <c r="C219" s="1120"/>
      <c r="D219" s="1120"/>
      <c r="E219" s="1120"/>
      <c r="F219" s="1120"/>
      <c r="G219" s="1120"/>
      <c r="H219" s="1116"/>
      <c r="I219" s="8"/>
    </row>
    <row r="220" spans="2:13" s="9" customFormat="1" ht="25" customHeight="1" x14ac:dyDescent="0.25">
      <c r="B220" s="74" t="s">
        <v>0</v>
      </c>
      <c r="C220" s="11" t="s">
        <v>1</v>
      </c>
      <c r="D220" s="11" t="s">
        <v>2</v>
      </c>
      <c r="E220" s="11"/>
      <c r="F220" s="11" t="s">
        <v>3</v>
      </c>
      <c r="G220" s="11" t="s">
        <v>4</v>
      </c>
      <c r="H220" s="11" t="s">
        <v>5</v>
      </c>
      <c r="I220" s="12"/>
      <c r="J220" s="408" t="s">
        <v>996</v>
      </c>
      <c r="K220" s="253" t="s">
        <v>997</v>
      </c>
      <c r="L220" s="253" t="s">
        <v>998</v>
      </c>
      <c r="M220" s="253" t="s">
        <v>999</v>
      </c>
    </row>
    <row r="221" spans="2:13" s="28" customFormat="1" ht="20.149999999999999" customHeight="1" x14ac:dyDescent="0.25">
      <c r="B221" s="80"/>
      <c r="C221" s="30" t="s">
        <v>27</v>
      </c>
      <c r="D221" s="31"/>
      <c r="E221" s="31"/>
      <c r="F221" s="32"/>
      <c r="G221" s="31"/>
      <c r="H221" s="33">
        <f>H212</f>
        <v>210000</v>
      </c>
      <c r="I221" s="34"/>
      <c r="J221" s="416"/>
      <c r="K221" s="409"/>
      <c r="L221" s="419">
        <f>L212</f>
        <v>40000</v>
      </c>
      <c r="M221" s="410" t="str">
        <f>IF(F221="","",IF(SUM(I221)=0,"",L221/I221))</f>
        <v/>
      </c>
    </row>
    <row r="222" spans="2:13" ht="13" x14ac:dyDescent="0.25">
      <c r="B222" s="146"/>
      <c r="C222" s="95"/>
      <c r="D222" s="82"/>
      <c r="E222" s="82"/>
      <c r="F222" s="82"/>
      <c r="G222" s="701"/>
      <c r="H222" s="17" t="str">
        <f t="shared" ref="H222:H257" si="22">IF(D222="","",F222*G222)</f>
        <v/>
      </c>
      <c r="I222" s="18"/>
      <c r="J222" s="61"/>
      <c r="K222" s="399"/>
      <c r="L222" s="420" t="str">
        <f t="shared" ref="L222" si="23">IF(J222="","",F222*K222)</f>
        <v/>
      </c>
      <c r="M222" s="401" t="str">
        <f t="shared" ref="M222" si="24">IF(J222="","",IF(SUM(H222)=0,"",L222/H222))</f>
        <v/>
      </c>
    </row>
    <row r="223" spans="2:13" x14ac:dyDescent="0.25">
      <c r="B223" s="58"/>
      <c r="C223" s="14"/>
      <c r="D223" s="15"/>
      <c r="E223" s="15"/>
      <c r="F223" s="15"/>
      <c r="G223" s="422"/>
      <c r="H223" s="17" t="str">
        <f t="shared" si="22"/>
        <v/>
      </c>
      <c r="I223" s="18"/>
      <c r="J223" s="61"/>
      <c r="K223" s="399"/>
      <c r="L223" s="420" t="str">
        <f t="shared" ref="L223:L274" si="25">IF(J223="","",F223*K223)</f>
        <v/>
      </c>
      <c r="M223" s="401" t="str">
        <f t="shared" ref="M223:M275" si="26">IF(J223="","",IF(SUM(H223)=0,"",L223/H223))</f>
        <v/>
      </c>
    </row>
    <row r="224" spans="2:13" x14ac:dyDescent="0.25">
      <c r="B224" s="58"/>
      <c r="C224" s="14"/>
      <c r="D224" s="15"/>
      <c r="E224" s="15"/>
      <c r="F224" s="15"/>
      <c r="G224" s="422"/>
      <c r="H224" s="17" t="str">
        <f t="shared" si="22"/>
        <v/>
      </c>
      <c r="I224" s="18"/>
      <c r="J224" s="61"/>
      <c r="K224" s="399"/>
      <c r="L224" s="420" t="str">
        <f t="shared" si="25"/>
        <v/>
      </c>
      <c r="M224" s="401" t="str">
        <f t="shared" si="26"/>
        <v/>
      </c>
    </row>
    <row r="225" spans="2:13" x14ac:dyDescent="0.25">
      <c r="B225" s="58"/>
      <c r="C225" s="14"/>
      <c r="D225" s="15"/>
      <c r="E225" s="15"/>
      <c r="F225" s="15"/>
      <c r="G225" s="422"/>
      <c r="H225" s="17" t="str">
        <f t="shared" si="22"/>
        <v/>
      </c>
      <c r="I225" s="18"/>
      <c r="J225" s="61"/>
      <c r="K225" s="399"/>
      <c r="L225" s="420" t="str">
        <f t="shared" si="25"/>
        <v/>
      </c>
      <c r="M225" s="401" t="str">
        <f t="shared" si="26"/>
        <v/>
      </c>
    </row>
    <row r="226" spans="2:13" x14ac:dyDescent="0.25">
      <c r="B226" s="58"/>
      <c r="C226" s="14"/>
      <c r="D226" s="15"/>
      <c r="E226" s="15"/>
      <c r="F226" s="15"/>
      <c r="G226" s="422"/>
      <c r="H226" s="17" t="str">
        <f t="shared" si="22"/>
        <v/>
      </c>
      <c r="I226" s="18"/>
      <c r="J226" s="61"/>
      <c r="K226" s="400"/>
      <c r="L226" s="420" t="str">
        <f t="shared" si="25"/>
        <v/>
      </c>
      <c r="M226" s="401" t="str">
        <f t="shared" si="26"/>
        <v/>
      </c>
    </row>
    <row r="227" spans="2:13" x14ac:dyDescent="0.25">
      <c r="B227" s="58"/>
      <c r="C227" s="14"/>
      <c r="D227" s="15"/>
      <c r="E227" s="15"/>
      <c r="F227" s="15"/>
      <c r="G227" s="422"/>
      <c r="H227" s="17" t="str">
        <f t="shared" si="22"/>
        <v/>
      </c>
      <c r="I227" s="18"/>
      <c r="J227" s="61"/>
      <c r="K227" s="399"/>
      <c r="L227" s="420" t="str">
        <f t="shared" si="25"/>
        <v/>
      </c>
      <c r="M227" s="401" t="str">
        <f t="shared" si="26"/>
        <v/>
      </c>
    </row>
    <row r="228" spans="2:13" x14ac:dyDescent="0.25">
      <c r="B228" s="58"/>
      <c r="C228" s="14"/>
      <c r="D228" s="15"/>
      <c r="E228" s="15"/>
      <c r="F228" s="15"/>
      <c r="G228" s="422"/>
      <c r="H228" s="17" t="str">
        <f t="shared" si="22"/>
        <v/>
      </c>
      <c r="I228" s="18"/>
      <c r="J228" s="61"/>
      <c r="K228" s="399"/>
      <c r="L228" s="420" t="str">
        <f t="shared" si="25"/>
        <v/>
      </c>
      <c r="M228" s="401" t="str">
        <f t="shared" si="26"/>
        <v/>
      </c>
    </row>
    <row r="229" spans="2:13" x14ac:dyDescent="0.25">
      <c r="B229" s="58"/>
      <c r="C229" s="14"/>
      <c r="D229" s="15"/>
      <c r="E229" s="15"/>
      <c r="F229" s="15"/>
      <c r="G229" s="422"/>
      <c r="H229" s="17" t="str">
        <f t="shared" si="22"/>
        <v/>
      </c>
      <c r="I229" s="18"/>
      <c r="J229" s="61"/>
      <c r="K229" s="399"/>
      <c r="L229" s="420" t="str">
        <f t="shared" si="25"/>
        <v/>
      </c>
      <c r="M229" s="401" t="str">
        <f t="shared" si="26"/>
        <v/>
      </c>
    </row>
    <row r="230" spans="2:13" x14ac:dyDescent="0.25">
      <c r="B230" s="58"/>
      <c r="C230" s="14"/>
      <c r="D230" s="15"/>
      <c r="E230" s="15"/>
      <c r="F230" s="15"/>
      <c r="G230" s="422"/>
      <c r="H230" s="17" t="str">
        <f t="shared" si="22"/>
        <v/>
      </c>
      <c r="I230" s="18"/>
      <c r="J230" s="61"/>
      <c r="K230" s="402"/>
      <c r="L230" s="420" t="str">
        <f t="shared" si="25"/>
        <v/>
      </c>
      <c r="M230" s="401" t="str">
        <f t="shared" si="26"/>
        <v/>
      </c>
    </row>
    <row r="231" spans="2:13" x14ac:dyDescent="0.25">
      <c r="B231" s="58"/>
      <c r="C231" s="14"/>
      <c r="D231" s="15"/>
      <c r="E231" s="15"/>
      <c r="F231" s="15"/>
      <c r="G231" s="422"/>
      <c r="H231" s="17" t="str">
        <f t="shared" si="22"/>
        <v/>
      </c>
      <c r="I231" s="18"/>
      <c r="J231" s="61"/>
      <c r="K231" s="402"/>
      <c r="L231" s="420" t="str">
        <f t="shared" si="25"/>
        <v/>
      </c>
      <c r="M231" s="401" t="str">
        <f t="shared" si="26"/>
        <v/>
      </c>
    </row>
    <row r="232" spans="2:13" x14ac:dyDescent="0.25">
      <c r="B232" s="58"/>
      <c r="C232" s="14"/>
      <c r="D232" s="15"/>
      <c r="E232" s="15"/>
      <c r="F232" s="15"/>
      <c r="G232" s="422"/>
      <c r="H232" s="17" t="str">
        <f t="shared" si="22"/>
        <v/>
      </c>
      <c r="I232" s="18"/>
      <c r="J232" s="61"/>
      <c r="K232" s="402"/>
      <c r="L232" s="420" t="str">
        <f t="shared" si="25"/>
        <v/>
      </c>
      <c r="M232" s="401" t="str">
        <f t="shared" si="26"/>
        <v/>
      </c>
    </row>
    <row r="233" spans="2:13" x14ac:dyDescent="0.25">
      <c r="B233" s="58"/>
      <c r="C233" s="14"/>
      <c r="D233" s="15"/>
      <c r="E233" s="15"/>
      <c r="F233" s="15"/>
      <c r="G233" s="422"/>
      <c r="H233" s="17" t="str">
        <f t="shared" si="22"/>
        <v/>
      </c>
      <c r="I233" s="18"/>
      <c r="J233" s="61"/>
      <c r="K233" s="402"/>
      <c r="L233" s="420" t="str">
        <f t="shared" si="25"/>
        <v/>
      </c>
      <c r="M233" s="401" t="str">
        <f t="shared" si="26"/>
        <v/>
      </c>
    </row>
    <row r="234" spans="2:13" x14ac:dyDescent="0.25">
      <c r="B234" s="58"/>
      <c r="C234" s="14"/>
      <c r="D234" s="15"/>
      <c r="E234" s="15"/>
      <c r="F234" s="15"/>
      <c r="G234" s="422"/>
      <c r="H234" s="17" t="str">
        <f t="shared" si="22"/>
        <v/>
      </c>
      <c r="I234" s="18"/>
      <c r="J234" s="61"/>
      <c r="K234" s="402"/>
      <c r="L234" s="420" t="str">
        <f t="shared" si="25"/>
        <v/>
      </c>
      <c r="M234" s="401" t="str">
        <f t="shared" si="26"/>
        <v/>
      </c>
    </row>
    <row r="235" spans="2:13" x14ac:dyDescent="0.25">
      <c r="B235" s="58"/>
      <c r="C235" s="14"/>
      <c r="D235" s="15"/>
      <c r="E235" s="15"/>
      <c r="F235" s="15"/>
      <c r="G235" s="422"/>
      <c r="H235" s="17" t="str">
        <f t="shared" si="22"/>
        <v/>
      </c>
      <c r="I235" s="18"/>
      <c r="J235" s="61"/>
      <c r="K235" s="402"/>
      <c r="L235" s="420" t="str">
        <f t="shared" si="25"/>
        <v/>
      </c>
      <c r="M235" s="401" t="str">
        <f t="shared" si="26"/>
        <v/>
      </c>
    </row>
    <row r="236" spans="2:13" x14ac:dyDescent="0.25">
      <c r="B236" s="58"/>
      <c r="C236" s="14"/>
      <c r="D236" s="15"/>
      <c r="E236" s="15"/>
      <c r="F236" s="15"/>
      <c r="G236" s="422"/>
      <c r="H236" s="17" t="str">
        <f t="shared" si="22"/>
        <v/>
      </c>
      <c r="I236" s="18"/>
      <c r="J236" s="61"/>
      <c r="K236" s="399"/>
      <c r="L236" s="420" t="str">
        <f t="shared" si="25"/>
        <v/>
      </c>
      <c r="M236" s="401" t="str">
        <f t="shared" si="26"/>
        <v/>
      </c>
    </row>
    <row r="237" spans="2:13" x14ac:dyDescent="0.25">
      <c r="B237" s="58"/>
      <c r="C237" s="14"/>
      <c r="D237" s="15"/>
      <c r="E237" s="15"/>
      <c r="F237" s="15"/>
      <c r="G237" s="422"/>
      <c r="H237" s="17" t="str">
        <f t="shared" si="22"/>
        <v/>
      </c>
      <c r="I237" s="18"/>
      <c r="J237" s="61"/>
      <c r="K237" s="399"/>
      <c r="L237" s="420" t="str">
        <f t="shared" si="25"/>
        <v/>
      </c>
      <c r="M237" s="401" t="str">
        <f t="shared" si="26"/>
        <v/>
      </c>
    </row>
    <row r="238" spans="2:13" x14ac:dyDescent="0.25">
      <c r="B238" s="58"/>
      <c r="C238" s="14"/>
      <c r="D238" s="15"/>
      <c r="E238" s="15"/>
      <c r="F238" s="15"/>
      <c r="G238" s="422"/>
      <c r="H238" s="17" t="str">
        <f t="shared" si="22"/>
        <v/>
      </c>
      <c r="I238" s="18"/>
      <c r="J238" s="61"/>
      <c r="K238" s="400"/>
      <c r="L238" s="420" t="str">
        <f t="shared" si="25"/>
        <v/>
      </c>
      <c r="M238" s="401" t="str">
        <f t="shared" si="26"/>
        <v/>
      </c>
    </row>
    <row r="239" spans="2:13" x14ac:dyDescent="0.25">
      <c r="B239" s="58"/>
      <c r="C239" s="14"/>
      <c r="D239" s="15"/>
      <c r="E239" s="15"/>
      <c r="F239" s="15"/>
      <c r="G239" s="422"/>
      <c r="H239" s="17" t="str">
        <f t="shared" si="22"/>
        <v/>
      </c>
      <c r="I239" s="18"/>
      <c r="J239" s="61"/>
      <c r="K239" s="399"/>
      <c r="L239" s="420" t="str">
        <f t="shared" si="25"/>
        <v/>
      </c>
      <c r="M239" s="401" t="str">
        <f t="shared" si="26"/>
        <v/>
      </c>
    </row>
    <row r="240" spans="2:13" x14ac:dyDescent="0.25">
      <c r="B240" s="58"/>
      <c r="C240" s="14"/>
      <c r="D240" s="15"/>
      <c r="E240" s="15"/>
      <c r="F240" s="15"/>
      <c r="G240" s="422"/>
      <c r="H240" s="17" t="str">
        <f t="shared" si="22"/>
        <v/>
      </c>
      <c r="I240" s="18"/>
      <c r="J240" s="61"/>
      <c r="K240" s="399"/>
      <c r="L240" s="420" t="str">
        <f t="shared" si="25"/>
        <v/>
      </c>
      <c r="M240" s="401" t="str">
        <f t="shared" si="26"/>
        <v/>
      </c>
    </row>
    <row r="241" spans="2:13" x14ac:dyDescent="0.25">
      <c r="B241" s="58"/>
      <c r="C241" s="14"/>
      <c r="D241" s="15"/>
      <c r="E241" s="15"/>
      <c r="F241" s="15"/>
      <c r="G241" s="422"/>
      <c r="H241" s="17" t="str">
        <f t="shared" si="22"/>
        <v/>
      </c>
      <c r="I241" s="18"/>
      <c r="J241" s="61"/>
      <c r="K241" s="399"/>
      <c r="L241" s="420" t="str">
        <f t="shared" si="25"/>
        <v/>
      </c>
      <c r="M241" s="401" t="str">
        <f t="shared" si="26"/>
        <v/>
      </c>
    </row>
    <row r="242" spans="2:13" x14ac:dyDescent="0.25">
      <c r="B242" s="58"/>
      <c r="C242" s="14"/>
      <c r="D242" s="15"/>
      <c r="E242" s="15"/>
      <c r="F242" s="15"/>
      <c r="G242" s="422"/>
      <c r="H242" s="17" t="str">
        <f t="shared" si="22"/>
        <v/>
      </c>
      <c r="I242" s="18"/>
      <c r="J242" s="61"/>
      <c r="K242" s="399"/>
      <c r="L242" s="420" t="str">
        <f t="shared" si="25"/>
        <v/>
      </c>
      <c r="M242" s="401" t="str">
        <f t="shared" si="26"/>
        <v/>
      </c>
    </row>
    <row r="243" spans="2:13" x14ac:dyDescent="0.25">
      <c r="B243" s="58"/>
      <c r="C243" s="14"/>
      <c r="D243" s="15"/>
      <c r="E243" s="15"/>
      <c r="F243" s="15"/>
      <c r="G243" s="422"/>
      <c r="H243" s="17" t="str">
        <f t="shared" si="22"/>
        <v/>
      </c>
      <c r="I243" s="18"/>
      <c r="J243" s="61"/>
      <c r="K243" s="399"/>
      <c r="L243" s="420" t="str">
        <f t="shared" si="25"/>
        <v/>
      </c>
      <c r="M243" s="401" t="str">
        <f t="shared" si="26"/>
        <v/>
      </c>
    </row>
    <row r="244" spans="2:13" x14ac:dyDescent="0.25">
      <c r="B244" s="58"/>
      <c r="C244" s="14"/>
      <c r="D244" s="15"/>
      <c r="E244" s="15"/>
      <c r="F244" s="15"/>
      <c r="G244" s="422"/>
      <c r="H244" s="17" t="str">
        <f t="shared" si="22"/>
        <v/>
      </c>
      <c r="I244" s="18"/>
      <c r="J244" s="61"/>
      <c r="K244" s="400"/>
      <c r="L244" s="420" t="str">
        <f t="shared" si="25"/>
        <v/>
      </c>
      <c r="M244" s="401" t="str">
        <f t="shared" si="26"/>
        <v/>
      </c>
    </row>
    <row r="245" spans="2:13" x14ac:dyDescent="0.25">
      <c r="B245" s="58"/>
      <c r="C245" s="14"/>
      <c r="D245" s="15"/>
      <c r="E245" s="15"/>
      <c r="F245" s="15"/>
      <c r="G245" s="422"/>
      <c r="H245" s="17" t="str">
        <f t="shared" si="22"/>
        <v/>
      </c>
      <c r="I245" s="18"/>
      <c r="J245" s="61"/>
      <c r="K245" s="399"/>
      <c r="L245" s="420" t="str">
        <f t="shared" si="25"/>
        <v/>
      </c>
      <c r="M245" s="401" t="str">
        <f t="shared" si="26"/>
        <v/>
      </c>
    </row>
    <row r="246" spans="2:13" x14ac:dyDescent="0.25">
      <c r="B246" s="58"/>
      <c r="C246" s="14"/>
      <c r="D246" s="15"/>
      <c r="E246" s="15"/>
      <c r="F246" s="15"/>
      <c r="G246" s="422"/>
      <c r="H246" s="17" t="str">
        <f t="shared" si="22"/>
        <v/>
      </c>
      <c r="I246" s="18"/>
      <c r="J246" s="61"/>
      <c r="K246" s="399"/>
      <c r="L246" s="420" t="str">
        <f t="shared" si="25"/>
        <v/>
      </c>
      <c r="M246" s="401" t="str">
        <f t="shared" si="26"/>
        <v/>
      </c>
    </row>
    <row r="247" spans="2:13" x14ac:dyDescent="0.25">
      <c r="B247" s="58"/>
      <c r="C247" s="14"/>
      <c r="D247" s="15"/>
      <c r="E247" s="15"/>
      <c r="F247" s="15"/>
      <c r="G247" s="422"/>
      <c r="H247" s="17" t="str">
        <f t="shared" si="22"/>
        <v/>
      </c>
      <c r="I247" s="18"/>
      <c r="J247" s="61"/>
      <c r="K247" s="399"/>
      <c r="L247" s="420" t="str">
        <f t="shared" si="25"/>
        <v/>
      </c>
      <c r="M247" s="401" t="str">
        <f t="shared" si="26"/>
        <v/>
      </c>
    </row>
    <row r="248" spans="2:13" x14ac:dyDescent="0.25">
      <c r="B248" s="58"/>
      <c r="C248" s="14"/>
      <c r="D248" s="15"/>
      <c r="E248" s="15"/>
      <c r="F248" s="15"/>
      <c r="G248" s="422"/>
      <c r="H248" s="17" t="str">
        <f t="shared" si="22"/>
        <v/>
      </c>
      <c r="I248" s="18"/>
      <c r="J248" s="61"/>
      <c r="K248" s="399"/>
      <c r="L248" s="420" t="str">
        <f t="shared" si="25"/>
        <v/>
      </c>
      <c r="M248" s="401" t="str">
        <f t="shared" si="26"/>
        <v/>
      </c>
    </row>
    <row r="249" spans="2:13" x14ac:dyDescent="0.25">
      <c r="B249" s="58"/>
      <c r="C249" s="14"/>
      <c r="D249" s="15"/>
      <c r="E249" s="15"/>
      <c r="F249" s="15"/>
      <c r="G249" s="422"/>
      <c r="H249" s="17" t="str">
        <f t="shared" si="22"/>
        <v/>
      </c>
      <c r="I249" s="18"/>
      <c r="J249" s="61"/>
      <c r="K249" s="399"/>
      <c r="L249" s="420" t="str">
        <f t="shared" si="25"/>
        <v/>
      </c>
      <c r="M249" s="401" t="str">
        <f t="shared" si="26"/>
        <v/>
      </c>
    </row>
    <row r="250" spans="2:13" x14ac:dyDescent="0.25">
      <c r="B250" s="58"/>
      <c r="C250" s="14"/>
      <c r="D250" s="15"/>
      <c r="E250" s="15"/>
      <c r="F250" s="15"/>
      <c r="G250" s="422"/>
      <c r="H250" s="17" t="str">
        <f t="shared" si="22"/>
        <v/>
      </c>
      <c r="I250" s="18"/>
      <c r="J250" s="61"/>
      <c r="K250" s="399"/>
      <c r="L250" s="420" t="str">
        <f t="shared" si="25"/>
        <v/>
      </c>
      <c r="M250" s="401" t="str">
        <f t="shared" si="26"/>
        <v/>
      </c>
    </row>
    <row r="251" spans="2:13" x14ac:dyDescent="0.25">
      <c r="B251" s="58"/>
      <c r="C251" s="14"/>
      <c r="D251" s="15"/>
      <c r="E251" s="15"/>
      <c r="F251" s="15"/>
      <c r="G251" s="422"/>
      <c r="H251" s="17" t="str">
        <f t="shared" si="22"/>
        <v/>
      </c>
      <c r="I251" s="18"/>
      <c r="J251" s="61"/>
      <c r="K251" s="399"/>
      <c r="L251" s="420" t="str">
        <f t="shared" si="25"/>
        <v/>
      </c>
      <c r="M251" s="401" t="str">
        <f t="shared" si="26"/>
        <v/>
      </c>
    </row>
    <row r="252" spans="2:13" x14ac:dyDescent="0.25">
      <c r="B252" s="58"/>
      <c r="C252" s="14"/>
      <c r="D252" s="15"/>
      <c r="E252" s="15"/>
      <c r="F252" s="15"/>
      <c r="G252" s="422"/>
      <c r="H252" s="17" t="str">
        <f t="shared" si="22"/>
        <v/>
      </c>
      <c r="I252" s="18"/>
      <c r="J252" s="62"/>
      <c r="K252" s="62"/>
      <c r="L252" s="420" t="str">
        <f t="shared" si="25"/>
        <v/>
      </c>
      <c r="M252" s="401" t="str">
        <f t="shared" si="26"/>
        <v/>
      </c>
    </row>
    <row r="253" spans="2:13" x14ac:dyDescent="0.25">
      <c r="B253" s="58"/>
      <c r="C253" s="14"/>
      <c r="D253" s="15"/>
      <c r="E253" s="15"/>
      <c r="F253" s="15"/>
      <c r="G253" s="422"/>
      <c r="H253" s="17" t="str">
        <f t="shared" si="22"/>
        <v/>
      </c>
      <c r="I253" s="18"/>
      <c r="J253" s="62"/>
      <c r="K253" s="62"/>
      <c r="L253" s="420" t="str">
        <f t="shared" si="25"/>
        <v/>
      </c>
      <c r="M253" s="401" t="str">
        <f t="shared" si="26"/>
        <v/>
      </c>
    </row>
    <row r="254" spans="2:13" x14ac:dyDescent="0.25">
      <c r="B254" s="58"/>
      <c r="C254" s="14"/>
      <c r="D254" s="15"/>
      <c r="E254" s="15"/>
      <c r="F254" s="15"/>
      <c r="G254" s="422"/>
      <c r="H254" s="17" t="str">
        <f t="shared" si="22"/>
        <v/>
      </c>
      <c r="I254" s="18"/>
      <c r="J254" s="62"/>
      <c r="K254" s="62"/>
      <c r="L254" s="420" t="str">
        <f t="shared" si="25"/>
        <v/>
      </c>
      <c r="M254" s="401" t="str">
        <f t="shared" si="26"/>
        <v/>
      </c>
    </row>
    <row r="255" spans="2:13" x14ac:dyDescent="0.25">
      <c r="B255" s="395"/>
      <c r="C255" s="559"/>
      <c r="D255" s="390"/>
      <c r="E255" s="390"/>
      <c r="F255" s="390"/>
      <c r="G255" s="504"/>
      <c r="H255" s="17" t="str">
        <f t="shared" si="22"/>
        <v/>
      </c>
      <c r="I255" s="18"/>
      <c r="J255" s="61"/>
      <c r="K255" s="62"/>
      <c r="L255" s="420" t="str">
        <f t="shared" si="25"/>
        <v/>
      </c>
      <c r="M255" s="401" t="str">
        <f t="shared" si="26"/>
        <v/>
      </c>
    </row>
    <row r="256" spans="2:13" x14ac:dyDescent="0.25">
      <c r="B256" s="58"/>
      <c r="C256" s="503"/>
      <c r="D256" s="390"/>
      <c r="E256" s="390"/>
      <c r="F256" s="390"/>
      <c r="G256" s="504"/>
      <c r="H256" s="17" t="str">
        <f t="shared" si="22"/>
        <v/>
      </c>
      <c r="I256" s="18"/>
      <c r="J256" s="61"/>
      <c r="K256" s="62"/>
      <c r="L256" s="420" t="str">
        <f t="shared" si="25"/>
        <v/>
      </c>
      <c r="M256" s="401" t="str">
        <f t="shared" si="26"/>
        <v/>
      </c>
    </row>
    <row r="257" spans="2:13" ht="12" customHeight="1" x14ac:dyDescent="0.25">
      <c r="B257" s="395"/>
      <c r="C257" s="560"/>
      <c r="D257" s="391"/>
      <c r="E257" s="391"/>
      <c r="F257" s="561"/>
      <c r="G257" s="562"/>
      <c r="H257" s="389" t="str">
        <f t="shared" si="22"/>
        <v/>
      </c>
      <c r="I257" s="18"/>
      <c r="J257" s="62"/>
      <c r="K257" s="62"/>
      <c r="L257" s="420" t="str">
        <f t="shared" si="25"/>
        <v/>
      </c>
      <c r="M257" s="401" t="str">
        <f t="shared" si="26"/>
        <v/>
      </c>
    </row>
    <row r="258" spans="2:13" x14ac:dyDescent="0.25">
      <c r="B258" s="395"/>
      <c r="C258" s="560"/>
      <c r="D258" s="391"/>
      <c r="E258" s="391"/>
      <c r="F258" s="391"/>
      <c r="G258" s="562"/>
      <c r="H258" s="389"/>
      <c r="I258" s="18"/>
      <c r="J258" s="62"/>
      <c r="K258" s="62"/>
      <c r="L258" s="420" t="str">
        <f t="shared" si="25"/>
        <v/>
      </c>
      <c r="M258" s="401" t="str">
        <f t="shared" si="26"/>
        <v/>
      </c>
    </row>
    <row r="259" spans="2:13" x14ac:dyDescent="0.25">
      <c r="B259" s="395"/>
      <c r="C259" s="560"/>
      <c r="D259" s="391"/>
      <c r="E259" s="391"/>
      <c r="F259" s="561"/>
      <c r="G259" s="563"/>
      <c r="H259" s="389" t="str">
        <f t="shared" ref="H259:H274" si="27">IF(D259="","",F259*G259)</f>
        <v/>
      </c>
      <c r="I259" s="18"/>
      <c r="J259" s="62"/>
      <c r="K259" s="62"/>
      <c r="L259" s="420" t="str">
        <f t="shared" si="25"/>
        <v/>
      </c>
      <c r="M259" s="401" t="str">
        <f t="shared" si="26"/>
        <v/>
      </c>
    </row>
    <row r="260" spans="2:13" x14ac:dyDescent="0.25">
      <c r="B260" s="58"/>
      <c r="C260" s="503"/>
      <c r="D260" s="390"/>
      <c r="E260" s="390"/>
      <c r="F260" s="390"/>
      <c r="G260" s="504"/>
      <c r="H260" s="389" t="str">
        <f t="shared" si="27"/>
        <v/>
      </c>
      <c r="I260" s="18"/>
      <c r="J260" s="62"/>
      <c r="K260" s="62"/>
      <c r="L260" s="420" t="str">
        <f t="shared" si="25"/>
        <v/>
      </c>
      <c r="M260" s="401" t="str">
        <f t="shared" si="26"/>
        <v/>
      </c>
    </row>
    <row r="261" spans="2:13" x14ac:dyDescent="0.25">
      <c r="B261" s="395"/>
      <c r="C261" s="559"/>
      <c r="D261" s="391"/>
      <c r="E261" s="391"/>
      <c r="F261" s="391"/>
      <c r="G261" s="562"/>
      <c r="H261" s="389" t="str">
        <f t="shared" si="27"/>
        <v/>
      </c>
      <c r="I261" s="18"/>
      <c r="J261" s="62"/>
      <c r="K261" s="62"/>
      <c r="L261" s="420" t="str">
        <f t="shared" si="25"/>
        <v/>
      </c>
      <c r="M261" s="401" t="str">
        <f t="shared" si="26"/>
        <v/>
      </c>
    </row>
    <row r="262" spans="2:13" x14ac:dyDescent="0.25">
      <c r="B262" s="395"/>
      <c r="C262" s="560"/>
      <c r="D262" s="391"/>
      <c r="E262" s="391"/>
      <c r="F262" s="391"/>
      <c r="G262" s="562"/>
      <c r="H262" s="389" t="str">
        <f t="shared" si="27"/>
        <v/>
      </c>
      <c r="I262" s="18"/>
      <c r="J262" s="62"/>
      <c r="K262" s="62"/>
      <c r="L262" s="420" t="str">
        <f t="shared" si="25"/>
        <v/>
      </c>
      <c r="M262" s="401" t="str">
        <f t="shared" si="26"/>
        <v/>
      </c>
    </row>
    <row r="263" spans="2:13" x14ac:dyDescent="0.25">
      <c r="B263" s="395"/>
      <c r="C263" s="560"/>
      <c r="D263" s="391"/>
      <c r="E263" s="391"/>
      <c r="F263" s="561"/>
      <c r="G263" s="562"/>
      <c r="H263" s="389" t="str">
        <f t="shared" si="27"/>
        <v/>
      </c>
      <c r="I263" s="18"/>
      <c r="J263" s="62"/>
      <c r="K263" s="62"/>
      <c r="L263" s="420" t="str">
        <f t="shared" si="25"/>
        <v/>
      </c>
      <c r="M263" s="401" t="str">
        <f t="shared" si="26"/>
        <v/>
      </c>
    </row>
    <row r="264" spans="2:13" x14ac:dyDescent="0.25">
      <c r="B264" s="395"/>
      <c r="C264" s="387"/>
      <c r="D264" s="391"/>
      <c r="E264" s="391"/>
      <c r="F264" s="391"/>
      <c r="G264" s="562"/>
      <c r="H264" s="389" t="str">
        <f t="shared" si="27"/>
        <v/>
      </c>
      <c r="I264" s="18"/>
      <c r="J264" s="62"/>
      <c r="K264" s="62"/>
      <c r="L264" s="420" t="str">
        <f t="shared" si="25"/>
        <v/>
      </c>
      <c r="M264" s="401" t="str">
        <f t="shared" si="26"/>
        <v/>
      </c>
    </row>
    <row r="265" spans="2:13" x14ac:dyDescent="0.25">
      <c r="B265" s="395"/>
      <c r="C265" s="560"/>
      <c r="D265" s="391"/>
      <c r="E265" s="391"/>
      <c r="F265" s="561"/>
      <c r="G265" s="563"/>
      <c r="H265" s="389" t="str">
        <f t="shared" si="27"/>
        <v/>
      </c>
      <c r="I265" s="18"/>
      <c r="J265" s="62"/>
      <c r="K265" s="62"/>
      <c r="L265" s="420" t="str">
        <f t="shared" si="25"/>
        <v/>
      </c>
      <c r="M265" s="401" t="str">
        <f t="shared" si="26"/>
        <v/>
      </c>
    </row>
    <row r="266" spans="2:13" x14ac:dyDescent="0.25">
      <c r="B266" s="58"/>
      <c r="C266" s="560"/>
      <c r="D266" s="390"/>
      <c r="E266" s="390"/>
      <c r="F266" s="502"/>
      <c r="G266" s="505"/>
      <c r="H266" s="17" t="str">
        <f t="shared" si="27"/>
        <v/>
      </c>
      <c r="I266" s="18"/>
      <c r="J266" s="62"/>
      <c r="K266" s="62"/>
      <c r="L266" s="420" t="str">
        <f t="shared" si="25"/>
        <v/>
      </c>
      <c r="M266" s="401" t="str">
        <f t="shared" si="26"/>
        <v/>
      </c>
    </row>
    <row r="267" spans="2:13" x14ac:dyDescent="0.25">
      <c r="B267" s="58"/>
      <c r="C267" s="14"/>
      <c r="D267" s="15"/>
      <c r="E267" s="15"/>
      <c r="F267" s="15"/>
      <c r="G267" s="422"/>
      <c r="H267" s="17" t="str">
        <f t="shared" si="27"/>
        <v/>
      </c>
      <c r="I267" s="18"/>
      <c r="J267" s="62"/>
      <c r="K267" s="62"/>
      <c r="L267" s="420" t="str">
        <f t="shared" si="25"/>
        <v/>
      </c>
      <c r="M267" s="401" t="str">
        <f t="shared" si="26"/>
        <v/>
      </c>
    </row>
    <row r="268" spans="2:13" x14ac:dyDescent="0.25">
      <c r="B268" s="58"/>
      <c r="C268" s="14"/>
      <c r="D268" s="15"/>
      <c r="E268" s="15"/>
      <c r="F268" s="15"/>
      <c r="G268" s="422"/>
      <c r="H268" s="17" t="str">
        <f t="shared" si="27"/>
        <v/>
      </c>
      <c r="I268" s="18"/>
      <c r="J268" s="62"/>
      <c r="K268" s="62"/>
      <c r="L268" s="420" t="str">
        <f t="shared" si="25"/>
        <v/>
      </c>
      <c r="M268" s="401" t="str">
        <f t="shared" si="26"/>
        <v/>
      </c>
    </row>
    <row r="269" spans="2:13" x14ac:dyDescent="0.25">
      <c r="B269" s="58"/>
      <c r="C269" s="14"/>
      <c r="D269" s="15"/>
      <c r="E269" s="15"/>
      <c r="F269" s="15"/>
      <c r="G269" s="422"/>
      <c r="H269" s="17" t="str">
        <f t="shared" si="27"/>
        <v/>
      </c>
      <c r="I269" s="18"/>
      <c r="J269" s="62"/>
      <c r="K269" s="62"/>
      <c r="L269" s="420" t="str">
        <f t="shared" si="25"/>
        <v/>
      </c>
      <c r="M269" s="401" t="str">
        <f t="shared" si="26"/>
        <v/>
      </c>
    </row>
    <row r="270" spans="2:13" x14ac:dyDescent="0.25">
      <c r="B270" s="58"/>
      <c r="C270" s="14"/>
      <c r="D270" s="15"/>
      <c r="E270" s="15"/>
      <c r="F270" s="15"/>
      <c r="G270" s="422"/>
      <c r="H270" s="17" t="str">
        <f t="shared" si="27"/>
        <v/>
      </c>
      <c r="I270" s="18"/>
      <c r="J270" s="61"/>
      <c r="K270" s="62"/>
      <c r="L270" s="420" t="str">
        <f t="shared" si="25"/>
        <v/>
      </c>
      <c r="M270" s="401" t="str">
        <f t="shared" si="26"/>
        <v/>
      </c>
    </row>
    <row r="271" spans="2:13" x14ac:dyDescent="0.25">
      <c r="B271" s="58"/>
      <c r="C271" s="14"/>
      <c r="D271" s="15"/>
      <c r="E271" s="15"/>
      <c r="F271" s="15"/>
      <c r="G271" s="422"/>
      <c r="H271" s="17" t="str">
        <f t="shared" si="27"/>
        <v/>
      </c>
      <c r="I271" s="18"/>
      <c r="J271" s="61"/>
      <c r="K271" s="62"/>
      <c r="L271" s="420" t="str">
        <f t="shared" si="25"/>
        <v/>
      </c>
      <c r="M271" s="401" t="str">
        <f t="shared" si="26"/>
        <v/>
      </c>
    </row>
    <row r="272" spans="2:13" x14ac:dyDescent="0.25">
      <c r="B272" s="58"/>
      <c r="C272" s="14"/>
      <c r="D272" s="15"/>
      <c r="E272" s="15"/>
      <c r="F272" s="15"/>
      <c r="G272" s="422"/>
      <c r="H272" s="17" t="str">
        <f t="shared" si="27"/>
        <v/>
      </c>
      <c r="I272" s="18"/>
      <c r="J272" s="61"/>
      <c r="K272" s="695"/>
      <c r="L272" s="420" t="str">
        <f t="shared" si="25"/>
        <v/>
      </c>
      <c r="M272" s="401" t="str">
        <f t="shared" si="26"/>
        <v/>
      </c>
    </row>
    <row r="273" spans="2:13" x14ac:dyDescent="0.25">
      <c r="B273" s="58"/>
      <c r="C273" s="14"/>
      <c r="D273" s="15"/>
      <c r="E273" s="15"/>
      <c r="F273" s="15"/>
      <c r="G273" s="422"/>
      <c r="H273" s="17" t="str">
        <f t="shared" si="27"/>
        <v/>
      </c>
      <c r="I273" s="18"/>
      <c r="J273" s="61"/>
      <c r="K273" s="695"/>
      <c r="L273" s="420" t="str">
        <f t="shared" si="25"/>
        <v/>
      </c>
      <c r="M273" s="401" t="str">
        <f t="shared" si="26"/>
        <v/>
      </c>
    </row>
    <row r="274" spans="2:13" x14ac:dyDescent="0.25">
      <c r="B274" s="58"/>
      <c r="C274" s="14"/>
      <c r="D274" s="15"/>
      <c r="E274" s="15"/>
      <c r="F274" s="15"/>
      <c r="G274" s="422"/>
      <c r="H274" s="17" t="str">
        <f t="shared" si="27"/>
        <v/>
      </c>
      <c r="I274" s="18"/>
      <c r="J274" s="61"/>
      <c r="K274" s="696"/>
      <c r="L274" s="420" t="str">
        <f t="shared" si="25"/>
        <v/>
      </c>
      <c r="M274" s="401" t="str">
        <f t="shared" si="26"/>
        <v/>
      </c>
    </row>
    <row r="275" spans="2:13" s="28" customFormat="1" ht="25" customHeight="1" x14ac:dyDescent="0.25">
      <c r="B275" s="29" t="str">
        <f>B12</f>
        <v>C1.4</v>
      </c>
      <c r="C275" s="498" t="str">
        <f>"TOTAL CARRIED FORWARD"&amp;IF(H275=H$1," TO SUMMARY (Page C"&amp;Page_A&amp;")","")</f>
        <v>TOTAL CARRIED FORWARD TO SUMMARY (Page C48)</v>
      </c>
      <c r="D275" s="31"/>
      <c r="E275" s="31"/>
      <c r="F275" s="32"/>
      <c r="G275" s="31"/>
      <c r="H275" s="33">
        <f>SUM(H221:H274)</f>
        <v>210000</v>
      </c>
      <c r="I275" s="34"/>
      <c r="J275" s="408"/>
      <c r="K275" s="406"/>
      <c r="L275" s="418">
        <f>SUM(L221:L274)</f>
        <v>40000</v>
      </c>
      <c r="M275" s="407" t="str">
        <f t="shared" si="26"/>
        <v/>
      </c>
    </row>
  </sheetData>
  <mergeCells count="25">
    <mergeCell ref="B216:G216"/>
    <mergeCell ref="H216:H219"/>
    <mergeCell ref="B217:G219"/>
    <mergeCell ref="B138:G138"/>
    <mergeCell ref="H138:H141"/>
    <mergeCell ref="B139:G141"/>
    <mergeCell ref="B213:D213"/>
    <mergeCell ref="F213:H215"/>
    <mergeCell ref="B214:D214"/>
    <mergeCell ref="B215:D215"/>
    <mergeCell ref="B75:G75"/>
    <mergeCell ref="H75:H78"/>
    <mergeCell ref="B76:G78"/>
    <mergeCell ref="B135:D135"/>
    <mergeCell ref="F135:H137"/>
    <mergeCell ref="B136:D136"/>
    <mergeCell ref="B137:D137"/>
    <mergeCell ref="F3:H3"/>
    <mergeCell ref="B7:G9"/>
    <mergeCell ref="H6:H9"/>
    <mergeCell ref="B6:G6"/>
    <mergeCell ref="B72:D72"/>
    <mergeCell ref="F72:H74"/>
    <mergeCell ref="B73:D73"/>
    <mergeCell ref="B74:D74"/>
  </mergeCells>
  <phoneticPr fontId="15" type="noConversion"/>
  <conditionalFormatting sqref="G11:H71 G80:H134">
    <cfRule type="expression" dxfId="79" priority="1">
      <formula>AND(_Show_Price=FALSE,$D11&lt;&gt;"PC Sum",$D11&lt;&gt;"P C Sum",$D11&lt;&gt;"Prov Sum",$D11&lt;&gt;"P Sum")</formula>
    </cfRule>
  </conditionalFormatting>
  <pageMargins left="0.43307086614173229" right="0.31496062992125984" top="0.43307086614173229" bottom="0.62992125984251968" header="0.35433070866141736" footer="0.31496062992125984"/>
  <pageSetup paperSize="9" scale="77" firstPageNumber="31" orientation="portrait" cellComments="asDisplayed" r:id="rId1"/>
  <headerFooter>
    <oddHeader xml:space="preserve">&amp;R&amp;"Arial,Bold Italic"
</oddHeader>
    <oddFooter xml:space="preserve">&amp;L&amp;"Arial,Bold"_____________________________________________________________________________________________________________________
CIDB OPEN TENDER: Contract Ver. 20-10-2021: COTO&amp;R&amp;"Arial,Bold"_____________________
C&amp;P   </oddFooter>
  </headerFooter>
  <rowBreaks count="1" manualBreakCount="1">
    <brk id="7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134</vt:i4>
      </vt:variant>
    </vt:vector>
  </HeadingPairs>
  <TitlesOfParts>
    <vt:vector size="212" baseType="lpstr">
      <vt:lpstr>Quantities</vt:lpstr>
      <vt:lpstr>Info</vt:lpstr>
      <vt:lpstr>WD Calc</vt:lpstr>
      <vt:lpstr>Labour</vt:lpstr>
      <vt:lpstr>CSDG</vt:lpstr>
      <vt:lpstr>CPG</vt:lpstr>
      <vt:lpstr>C1.2</vt:lpstr>
      <vt:lpstr>C1.3</vt:lpstr>
      <vt:lpstr>C1.4</vt:lpstr>
      <vt:lpstr>C1.5</vt:lpstr>
      <vt:lpstr>C4.1</vt:lpstr>
      <vt:lpstr>C4.2</vt:lpstr>
      <vt:lpstr>C4.4</vt:lpstr>
      <vt:lpstr>C5.1</vt:lpstr>
      <vt:lpstr>C5.2</vt:lpstr>
      <vt:lpstr>C8.1</vt:lpstr>
      <vt:lpstr>C10.1</vt:lpstr>
      <vt:lpstr>C11.8</vt:lpstr>
      <vt:lpstr>C11.9</vt:lpstr>
      <vt:lpstr>C20.1</vt:lpstr>
      <vt:lpstr>A</vt:lpstr>
      <vt:lpstr>C13.1</vt:lpstr>
      <vt:lpstr>C13.6</vt:lpstr>
      <vt:lpstr>C13.7</vt:lpstr>
      <vt:lpstr>C13.8</vt:lpstr>
      <vt:lpstr>C13.1_STC3960a</vt:lpstr>
      <vt:lpstr>C13.2_STC3960</vt:lpstr>
      <vt:lpstr>C13.3_STC3960</vt:lpstr>
      <vt:lpstr>C13.4_STC3960</vt:lpstr>
      <vt:lpstr>C13.7_STC3960</vt:lpstr>
      <vt:lpstr>C13.8_STC3960</vt:lpstr>
      <vt:lpstr>C13.1_STC3909a</vt:lpstr>
      <vt:lpstr>C13.2_STC3909</vt:lpstr>
      <vt:lpstr>C13.3_STC3909</vt:lpstr>
      <vt:lpstr>C13.4_STC3909</vt:lpstr>
      <vt:lpstr>C13.7_STC3909</vt:lpstr>
      <vt:lpstr>C13.8_STC3909</vt:lpstr>
      <vt:lpstr>B</vt:lpstr>
      <vt:lpstr>Chapter E</vt:lpstr>
      <vt:lpstr>E</vt:lpstr>
      <vt:lpstr>Chapter F</vt:lpstr>
      <vt:lpstr>F</vt:lpstr>
      <vt:lpstr>Chapter G</vt:lpstr>
      <vt:lpstr>G</vt:lpstr>
      <vt:lpstr>Summary</vt:lpstr>
      <vt:lpstr>CPG Cover</vt:lpstr>
      <vt:lpstr>CPG C1.2</vt:lpstr>
      <vt:lpstr>CPG C1.3</vt:lpstr>
      <vt:lpstr>CPG C1.5</vt:lpstr>
      <vt:lpstr>CPG C1.6</vt:lpstr>
      <vt:lpstr>CPG C2.1</vt:lpstr>
      <vt:lpstr>CPG C3.1</vt:lpstr>
      <vt:lpstr>CPG C3.2</vt:lpstr>
      <vt:lpstr>CPG C3.3</vt:lpstr>
      <vt:lpstr>CPG C5.3</vt:lpstr>
      <vt:lpstr>CPG C5.4</vt:lpstr>
      <vt:lpstr>CPG C11.1</vt:lpstr>
      <vt:lpstr>CPG C11.2</vt:lpstr>
      <vt:lpstr>CPG C11.4</vt:lpstr>
      <vt:lpstr>CPG C11.5</vt:lpstr>
      <vt:lpstr>CPG C11.6</vt:lpstr>
      <vt:lpstr>CPG C11.7</vt:lpstr>
      <vt:lpstr>C1.2_Cwaka</vt:lpstr>
      <vt:lpstr>C1.3_Cwaka</vt:lpstr>
      <vt:lpstr>C13.1_Cwaka</vt:lpstr>
      <vt:lpstr>C13.2_Cwaka</vt:lpstr>
      <vt:lpstr>C13.3_Cwaka</vt:lpstr>
      <vt:lpstr>C13.4_Cwaka</vt:lpstr>
      <vt:lpstr>C13.6_Cwaka</vt:lpstr>
      <vt:lpstr>C13.7_Cwaka</vt:lpstr>
      <vt:lpstr>C13.8_Cwaka</vt:lpstr>
      <vt:lpstr>Relegated</vt:lpstr>
      <vt:lpstr>C13.1_STC3909b</vt:lpstr>
      <vt:lpstr>C1.2(STC3909)</vt:lpstr>
      <vt:lpstr>C1.3(STC3909)</vt:lpstr>
      <vt:lpstr>C1.2(STC3960)</vt:lpstr>
      <vt:lpstr>C1.3(STC3960)</vt:lpstr>
      <vt:lpstr>C13.1_STC3960b</vt:lpstr>
      <vt:lpstr>_Backfill</vt:lpstr>
      <vt:lpstr>_Benching</vt:lpstr>
      <vt:lpstr>_Brickwork</vt:lpstr>
      <vt:lpstr>_Clearing</vt:lpstr>
      <vt:lpstr>_Contingencies</vt:lpstr>
      <vt:lpstr>_ContractPeriod</vt:lpstr>
      <vt:lpstr>_CPA</vt:lpstr>
      <vt:lpstr>_Excavation</vt:lpstr>
      <vt:lpstr>_Expansion</vt:lpstr>
      <vt:lpstr>_Formwork</vt:lpstr>
      <vt:lpstr>_Gabion</vt:lpstr>
      <vt:lpstr>_Geofabric</vt:lpstr>
      <vt:lpstr>_GPost</vt:lpstr>
      <vt:lpstr>_GRail</vt:lpstr>
      <vt:lpstr>_Haul</vt:lpstr>
      <vt:lpstr>_HaulPerMetre</vt:lpstr>
      <vt:lpstr>_KandC</vt:lpstr>
      <vt:lpstr>_Kerb</vt:lpstr>
      <vt:lpstr>_LabourDaily</vt:lpstr>
      <vt:lpstr>_LabourHours</vt:lpstr>
      <vt:lpstr>_LabourRate</vt:lpstr>
      <vt:lpstr>_Markup</vt:lpstr>
      <vt:lpstr>_Mesh</vt:lpstr>
      <vt:lpstr>_Mix</vt:lpstr>
      <vt:lpstr>_Place</vt:lpstr>
      <vt:lpstr>_Plaster</vt:lpstr>
      <vt:lpstr>_RoadLength</vt:lpstr>
      <vt:lpstr>_Roadmarkings</vt:lpstr>
      <vt:lpstr>_RoadstudSpc</vt:lpstr>
      <vt:lpstr>_Sheeting</vt:lpstr>
      <vt:lpstr>_Show_Price</vt:lpstr>
      <vt:lpstr>_Sign</vt:lpstr>
      <vt:lpstr>_Spread</vt:lpstr>
      <vt:lpstr>_Stamp</vt:lpstr>
      <vt:lpstr>_Subsoil</vt:lpstr>
      <vt:lpstr>_Summary</vt:lpstr>
      <vt:lpstr>_Wacker</vt:lpstr>
      <vt:lpstr>Client1</vt:lpstr>
      <vt:lpstr>Client2</vt:lpstr>
      <vt:lpstr>ContractDescription</vt:lpstr>
      <vt:lpstr>ContractNo</vt:lpstr>
      <vt:lpstr>Labour_perc_roads</vt:lpstr>
      <vt:lpstr>Labour_perc_structures</vt:lpstr>
      <vt:lpstr>Page_A</vt:lpstr>
      <vt:lpstr>Page_B</vt:lpstr>
      <vt:lpstr>Page_F</vt:lpstr>
      <vt:lpstr>Page_G</vt:lpstr>
      <vt:lpstr>Page_H</vt:lpstr>
      <vt:lpstr>A!Print_Area</vt:lpstr>
      <vt:lpstr>B!Print_Area</vt:lpstr>
      <vt:lpstr>C1.2!Print_Area</vt:lpstr>
      <vt:lpstr>'C1.2(STC3909)'!Print_Area</vt:lpstr>
      <vt:lpstr>'C1.2(STC3960)'!Print_Area</vt:lpstr>
      <vt:lpstr>C1.2_Cwaka!Print_Area</vt:lpstr>
      <vt:lpstr>C1.3!Print_Area</vt:lpstr>
      <vt:lpstr>'C1.3(STC3909)'!Print_Area</vt:lpstr>
      <vt:lpstr>'C1.3(STC3960)'!Print_Area</vt:lpstr>
      <vt:lpstr>C1.3_Cwaka!Print_Area</vt:lpstr>
      <vt:lpstr>C1.4!Print_Area</vt:lpstr>
      <vt:lpstr>C1.5!Print_Area</vt:lpstr>
      <vt:lpstr>C10.1!Print_Area</vt:lpstr>
      <vt:lpstr>C11.8!Print_Area</vt:lpstr>
      <vt:lpstr>C11.9!Print_Area</vt:lpstr>
      <vt:lpstr>C13.1!Print_Area</vt:lpstr>
      <vt:lpstr>C13.1_Cwaka!Print_Area</vt:lpstr>
      <vt:lpstr>C13.1_STC3909a!Print_Area</vt:lpstr>
      <vt:lpstr>C13.1_STC3909b!Print_Area</vt:lpstr>
      <vt:lpstr>C13.1_STC3960a!Print_Area</vt:lpstr>
      <vt:lpstr>C13.1_STC3960b!Print_Area</vt:lpstr>
      <vt:lpstr>C13.2_Cwaka!Print_Area</vt:lpstr>
      <vt:lpstr>C13.2_STC3909!Print_Area</vt:lpstr>
      <vt:lpstr>C13.2_STC3960!Print_Area</vt:lpstr>
      <vt:lpstr>C13.3_Cwaka!Print_Area</vt:lpstr>
      <vt:lpstr>C13.3_STC3909!Print_Area</vt:lpstr>
      <vt:lpstr>C13.3_STC3960!Print_Area</vt:lpstr>
      <vt:lpstr>C13.4_Cwaka!Print_Area</vt:lpstr>
      <vt:lpstr>C13.4_STC3909!Print_Area</vt:lpstr>
      <vt:lpstr>C13.4_STC3960!Print_Area</vt:lpstr>
      <vt:lpstr>C13.6!Print_Area</vt:lpstr>
      <vt:lpstr>C13.6_Cwaka!Print_Area</vt:lpstr>
      <vt:lpstr>C13.7!Print_Area</vt:lpstr>
      <vt:lpstr>C13.7_Cwaka!Print_Area</vt:lpstr>
      <vt:lpstr>C13.7_STC3909!Print_Area</vt:lpstr>
      <vt:lpstr>C13.7_STC3960!Print_Area</vt:lpstr>
      <vt:lpstr>C13.8!Print_Area</vt:lpstr>
      <vt:lpstr>C13.8_Cwaka!Print_Area</vt:lpstr>
      <vt:lpstr>C13.8_STC3909!Print_Area</vt:lpstr>
      <vt:lpstr>C13.8_STC3960!Print_Area</vt:lpstr>
      <vt:lpstr>C20.1!Print_Area</vt:lpstr>
      <vt:lpstr>C4.1!Print_Area</vt:lpstr>
      <vt:lpstr>C4.2!Print_Area</vt:lpstr>
      <vt:lpstr>C4.4!Print_Area</vt:lpstr>
      <vt:lpstr>C5.1!Print_Area</vt:lpstr>
      <vt:lpstr>C5.2!Print_Area</vt:lpstr>
      <vt:lpstr>C8.1!Print_Area</vt:lpstr>
      <vt:lpstr>'Chapter E'!Print_Area</vt:lpstr>
      <vt:lpstr>'Chapter F'!Print_Area</vt:lpstr>
      <vt:lpstr>'Chapter G'!Print_Area</vt:lpstr>
      <vt:lpstr>CPG!Print_Area</vt:lpstr>
      <vt:lpstr>'CPG C1.2'!Print_Area</vt:lpstr>
      <vt:lpstr>'CPG C1.3'!Print_Area</vt:lpstr>
      <vt:lpstr>'CPG C1.5'!Print_Area</vt:lpstr>
      <vt:lpstr>'CPG C1.6'!Print_Area</vt:lpstr>
      <vt:lpstr>'CPG C11.1'!Print_Area</vt:lpstr>
      <vt:lpstr>'CPG C11.2'!Print_Area</vt:lpstr>
      <vt:lpstr>'CPG C11.4'!Print_Area</vt:lpstr>
      <vt:lpstr>'CPG C11.5'!Print_Area</vt:lpstr>
      <vt:lpstr>'CPG C11.6'!Print_Area</vt:lpstr>
      <vt:lpstr>'CPG C11.7'!Print_Area</vt:lpstr>
      <vt:lpstr>'CPG C2.1'!Print_Area</vt:lpstr>
      <vt:lpstr>'CPG C3.1'!Print_Area</vt:lpstr>
      <vt:lpstr>'CPG C3.2'!Print_Area</vt:lpstr>
      <vt:lpstr>'CPG C3.3'!Print_Area</vt:lpstr>
      <vt:lpstr>'CPG C5.3'!Print_Area</vt:lpstr>
      <vt:lpstr>'CPG C5.4'!Print_Area</vt:lpstr>
      <vt:lpstr>CSDG!Print_Area</vt:lpstr>
      <vt:lpstr>E!Print_Area</vt:lpstr>
      <vt:lpstr>F!Print_Area</vt:lpstr>
      <vt:lpstr>G!Print_Area</vt:lpstr>
      <vt:lpstr>Labour!Print_Area</vt:lpstr>
      <vt:lpstr>Summary!Print_Area</vt:lpstr>
      <vt:lpstr>'WD Calc'!Print_Area</vt:lpstr>
      <vt:lpstr>C10.1!Print_Titles</vt:lpstr>
      <vt:lpstr>C11.8!Print_Titles</vt:lpstr>
      <vt:lpstr>C11.9!Print_Titles</vt:lpstr>
      <vt:lpstr>C4.4!Print_Titles</vt:lpstr>
      <vt:lpstr>CPG!Print_Titles</vt:lpstr>
      <vt:lpstr>'CPG C11.1'!Print_Titles</vt:lpstr>
      <vt:lpstr>'CPG C11.2'!Print_Titles</vt:lpstr>
      <vt:lpstr>'CPG C11.4'!Print_Titles</vt:lpstr>
      <vt:lpstr>'CPG C11.6'!Print_Titles</vt:lpstr>
      <vt:lpstr>'CPG C11.7'!Print_Titles</vt:lpstr>
      <vt:lpstr>'CPG C2.1'!Print_Titles</vt:lpstr>
      <vt:lpstr>'WD Calc'!Print_Titles</vt:lpstr>
    </vt:vector>
  </TitlesOfParts>
  <Company>Ninham Shand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Tjaart vd Walt</dc:creator>
  <cp:lastModifiedBy>Sandile Nkala</cp:lastModifiedBy>
  <cp:lastPrinted>2023-11-02T11:09:18Z</cp:lastPrinted>
  <dcterms:created xsi:type="dcterms:W3CDTF">2002-10-04T09:45:02Z</dcterms:created>
  <dcterms:modified xsi:type="dcterms:W3CDTF">2024-01-23T09:04:44Z</dcterms:modified>
</cp:coreProperties>
</file>